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comments2.xml" ContentType="application/vnd.openxmlformats-officedocument.spreadsheetml.comments+xml"/>
  <Override PartName="/xl/drawings/drawing11.xml" ContentType="application/vnd.openxmlformats-officedocument.drawing+xml"/>
  <Override PartName="/xl/comments3.xml" ContentType="application/vnd.openxmlformats-officedocument.spreadsheetml.comments+xml"/>
  <Override PartName="/xl/charts/chart5.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2.xml" ContentType="application/vnd.openxmlformats-officedocument.drawingml.chartshapes+xml"/>
  <Override PartName="/xl/drawings/drawing13.xml" ContentType="application/vnd.openxmlformats-officedocument.drawing+xml"/>
  <Override PartName="/xl/comments4.xml" ContentType="application/vnd.openxmlformats-officedocument.spreadsheetml.comments+xml"/>
  <Override PartName="/xl/charts/chart6.xml" ContentType="application/vnd.openxmlformats-officedocument.drawingml.chart+xml"/>
  <Override PartName="/xl/drawings/drawing14.xml" ContentType="application/vnd.openxmlformats-officedocument.drawingml.chartshapes+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5.xml" ContentType="application/vnd.openxmlformats-officedocument.drawingml.chartshapes+xml"/>
  <Override PartName="/xl/comments5.xml" ContentType="application/vnd.openxmlformats-officedocument.spreadsheetml.comments+xml"/>
  <Override PartName="/xl/drawings/drawing16.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6.xml" ContentType="application/vnd.openxmlformats-officedocument.spreadsheetml.comments+xml"/>
  <Override PartName="/xl/drawings/drawing17.xml" ContentType="application/vnd.openxmlformats-officedocument.drawing+xml"/>
  <Override PartName="/xl/activeX/activeX34.xml" ContentType="application/vnd.ms-office.activeX+xml"/>
  <Override PartName="/xl/activeX/activeX34.bin" ContentType="application/vnd.ms-office.activeX"/>
  <Override PartName="/xl/drawings/drawing18.xml" ContentType="application/vnd.openxmlformats-officedocument.drawing+xml"/>
  <Override PartName="/xl/activeX/activeX35.xml" ContentType="application/vnd.ms-office.activeX+xml"/>
  <Override PartName="/xl/activeX/activeX35.bin" ContentType="application/vnd.ms-office.activeX"/>
  <Override PartName="/xl/drawings/drawing19.xml" ContentType="application/vnd.openxmlformats-officedocument.drawing+xml"/>
  <Override PartName="/xl/activeX/activeX36.xml" ContentType="application/vnd.ms-office.activeX+xml"/>
  <Override PartName="/xl/activeX/activeX3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001" codeName="{2AF44A5B-4F9A-30C1-5B58-47010ADB2D0F}"/>
  <workbookPr codeName="ThisWorkbook" defaultThemeVersion="124226"/>
  <mc:AlternateContent xmlns:mc="http://schemas.openxmlformats.org/markup-compatibility/2006">
    <mc:Choice Requires="x15">
      <x15ac:absPath xmlns:x15ac="http://schemas.microsoft.com/office/spreadsheetml/2010/11/ac" url="Y:\MCST\FY2019\Hydrogen\NREL H2 Website\H2A\Version 3.2018 H2A Cases to Publish\"/>
    </mc:Choice>
  </mc:AlternateContent>
  <xr:revisionPtr revIDLastSave="0" documentId="13_ncr:1_{76E9CB5C-6376-4121-8D8E-8B23D04E5D0D}" xr6:coauthVersionLast="38" xr6:coauthVersionMax="38" xr10:uidLastSave="{00000000-0000-0000-0000-000000000000}"/>
  <bookViews>
    <workbookView xWindow="0" yWindow="0" windowWidth="56660" windowHeight="27810" tabRatio="854" xr2:uid="{53D09330-0F57-4A32-B63C-012B65194C46}"/>
  </bookViews>
  <sheets>
    <sheet name="Title" sheetId="111" r:id="rId1"/>
    <sheet name="Description" sheetId="112" r:id="rId2"/>
    <sheet name="ProcessFlow" sheetId="113" r:id="rId3"/>
    <sheet name="Input_Sheet_Template" sheetId="6" r:id="rId4"/>
    <sheet name="Replacement Costs" sheetId="17" r:id="rId5"/>
    <sheet name="Capital Costs" sheetId="35" r:id="rId6"/>
    <sheet name="Plant Scaling" sheetId="24" r:id="rId7"/>
    <sheet name="Carbon Sequestration" sheetId="33" r:id="rId8"/>
    <sheet name="Results" sheetId="34" r:id="rId9"/>
    <sheet name="Tornado Charts &amp; Risk Analysis" sheetId="119" r:id="rId10"/>
    <sheet name="Cash Flow Analysis" sheetId="15" r:id="rId11"/>
    <sheet name="Energy Feed &amp; Utility Prices" sheetId="12" r:id="rId12"/>
    <sheet name="Non-Energy Material Prices" sheetId="19" r:id="rId13"/>
    <sheet name="AEO Data" sheetId="11" r:id="rId14"/>
    <sheet name="HyARC Physical Property Data" sheetId="18" r:id="rId15"/>
    <sheet name="Debt Financing Calculations" sheetId="13" r:id="rId16"/>
    <sheet name="Depreciation" sheetId="14" r:id="rId17"/>
    <sheet name="Constants and Conversions" sheetId="5" r:id="rId18"/>
    <sheet name="Lists" sheetId="8" r:id="rId19"/>
    <sheet name="ProcessFlow - blank" sheetId="37" state="hidden" r:id="rId20"/>
    <sheet name="Description - blank" sheetId="38" state="hidden" r:id="rId21"/>
    <sheet name="Title - blank" sheetId="39" state="hidden" r:id="rId22"/>
  </sheets>
  <functionGroups builtInGroupCount="19"/>
  <definedNames>
    <definedName name="__123Graph_A" localSheetId="10" hidden="1">'Cash Flow Analysis'!$AB$65:$AB$112</definedName>
    <definedName name="__123Graph_ACUMCASH" localSheetId="10" hidden="1">'Cash Flow Analysis'!$AB$65:$AB$112</definedName>
    <definedName name="__123Graph_C" localSheetId="10" hidden="1">'Cash Flow Analysis'!#REF!</definedName>
    <definedName name="__123Graph_CCUMCASH" localSheetId="10" hidden="1">'Cash Flow Analysis'!#REF!</definedName>
    <definedName name="__123Graph_LBL_A" localSheetId="10" hidden="1">'Cash Flow Analysis'!#REF!</definedName>
    <definedName name="__123Graph_LBL_ACUMCASH" localSheetId="10" hidden="1">'Cash Flow Analysis'!#REF!</definedName>
    <definedName name="__123Graph_X" localSheetId="10" hidden="1">'Cash Flow Analysis'!$B$65:$B$112</definedName>
    <definedName name="__123Graph_XCUMCASH" localSheetId="10" hidden="1">'Cash Flow Analysis'!$B$65:$B$112</definedName>
    <definedName name="_ATPRegress_Dlg_Results" localSheetId="10" hidden="1">{2;#N/A;"R39C16:R60C16";#N/A;"R39C2:R60C2";FALSE;FALSE;FALSE;95;#N/A;#N/A;"R75C9";#N/A;FALSE;FALSE;FALSE;FALSE;#N/A;"";#N/A;FALSE;"";"";#N/A;#N/A;#N/A}</definedName>
    <definedName name="_ATPRegress_Dlg_Types" localSheetId="10" hidden="1">{"EXCELHLP.HLP!1802";5;10;5;10;13;13;13;8;5;5;10;14;13;13;13;13;5;10;14;13;5;10;1;2;24}</definedName>
    <definedName name="_ATPRegress_Range1" localSheetId="10" hidden="1">'Cash Flow Analysis'!$AB$65:$AB$112</definedName>
    <definedName name="_ATPRegress_Range2" localSheetId="10" hidden="1">'Cash Flow Analysis'!$B$65:$B$112</definedName>
    <definedName name="_ATPRegress_Range3" localSheetId="10" hidden="1">'Cash Flow Analysis'!#REF!</definedName>
    <definedName name="_ATPRegress_Range4" localSheetId="10" hidden="1">"="</definedName>
    <definedName name="_ATPRegress_Range5" localSheetId="10" hidden="1">"="</definedName>
    <definedName name="_xlnm._FilterDatabase" localSheetId="3" hidden="1">Input_Sheet_Template!$A$1:$E$51</definedName>
    <definedName name="_xlnm._FilterDatabase" localSheetId="6" hidden="1">'Plant Scaling'!#REF!</definedName>
    <definedName name="_Regression_Out" localSheetId="10" hidden="1">'Cash Flow Analysis'!#REF!</definedName>
    <definedName name="_Regression_X" localSheetId="10" hidden="1">'Cash Flow Analysis'!#REF!</definedName>
    <definedName name="_Regression_Y" localSheetId="10" hidden="1">'Cash Flow Analysis'!$AB$70:$AB$112</definedName>
    <definedName name="acre_cost">Input_Sheet_Template!$E$102</definedName>
    <definedName name="acres">Input_Sheet_Template!$E$103</definedName>
    <definedName name="Add_As_list">Lists!$A$8:$A$12</definedName>
    <definedName name="AEO_2009_Reference_Case">'Energy Feed &amp; Utility Prices'!$A$5:$CZ$18</definedName>
    <definedName name="AEO_2009_Reference_Case_Feeds">'Energy Feed &amp; Utility Prices'!$A$5:$A$18</definedName>
    <definedName name="AEO_2009_Reference_Case_Years">'Energy Feed &amp; Utility Prices'!$A$5:$CZ$5</definedName>
    <definedName name="AEO_2013_High_Price_Case">'Energy Feed &amp; Utility Prices'!$A$57:$CZ$68</definedName>
    <definedName name="AEO_2013_High_Price_Case_Feeds">'Energy Feed &amp; Utility Prices'!$A$57:$A$68</definedName>
    <definedName name="AEO_2013_High_Price_Case_Years">'Energy Feed &amp; Utility Prices'!$A$57:$CZ$57</definedName>
    <definedName name="AEO_2013_Reference_Case">'Energy Feed &amp; Utility Prices'!$A$23:$CZ$35</definedName>
    <definedName name="AEO_2013_Reference_Case_Feeds">'Energy Feed &amp; Utility Prices'!$A$23:$A$35</definedName>
    <definedName name="AEO_2013_Reference_Case_Years">'Energy Feed &amp; Utility Prices'!$A$23:$CZ$23</definedName>
    <definedName name="AEO_2014_Reference_Case" comment="energy feeds">'Energy Feed &amp; Utility Prices'!$A$87:$CZ$100</definedName>
    <definedName name="AEO_2014_Reference_Case_Feeds">'Energy Feed &amp; Utility Prices'!$A$87:$A$100</definedName>
    <definedName name="AEO_2014_Reference_Case_Years">'Energy Feed &amp; Utility Prices'!$A$87:$CZ$87</definedName>
    <definedName name="AEO_2017_Reference_Case">'Energy Feed &amp; Utility Prices'!$A$131:$CZ$141</definedName>
    <definedName name="AEO_2017_Reference_Case_Feeds">'Energy Feed &amp; Utility Prices'!$A$131:$A$141</definedName>
    <definedName name="AEO_2017_Reference_Case_Years">'Energy Feed &amp; Utility Prices'!$A$131:$CZ$131</definedName>
    <definedName name="after_tax_nominal_IRR">'Cash Flow Analysis'!$E$20</definedName>
    <definedName name="after_tax_real_IRR">'Cash Flow Analysis'!$E$18</definedName>
    <definedName name="anal_period">Input_Sheet_Template!$C$40</definedName>
    <definedName name="Baseline_Design_Capacity">'Capital Costs'!$C$7</definedName>
    <definedName name="BasisYear">Input_Sheet_Template!$C$32</definedName>
    <definedName name="btu_to_kWh">'Constants and Conversions'!$C$17</definedName>
    <definedName name="Cancelled">Lists!$A$1</definedName>
    <definedName name="cap_factor">Input_Sheet_Template!$C$25</definedName>
    <definedName name="Case_eByprod_List">'Cash Flow Analysis'!$K$131:$N$131</definedName>
    <definedName name="Case_eFeed_List">'Cash Flow Analysis'!$B$131:$E$131</definedName>
    <definedName name="Case_eUtility_List">'Cash Flow Analysis'!$F$131:$I$131</definedName>
    <definedName name="Case_material_byprod_list">'Cash Flow Analysis'!$T$131:$V$131</definedName>
    <definedName name="Case_Material_Input_List">'Cash Flow Analysis'!$P$131:$R$131</definedName>
    <definedName name="CC_feedconversion">'Constants and Conversions'!$A$29:$B$31</definedName>
    <definedName name="CCS_tax_insurance">'Carbon Sequestration'!$J$43</definedName>
    <definedName name="CCSEqpCap">'Carbon Sequestration'!$J$27</definedName>
    <definedName name="CEPC_Factor_08to05">'Carbon Sequestration'!$C$91</definedName>
    <definedName name="CEPCIinflator">'Capital Costs'!$C$11</definedName>
    <definedName name="Chemical_price_indexes">'HyARC Physical Property Data'!$K$94:$L$130</definedName>
    <definedName name="cmboSelectFeed">"Drop Down 23"</definedName>
    <definedName name="CO2_aprx_indCap">'Carbon Sequestration'!$J$28</definedName>
    <definedName name="CO2_cap_charge_rate">'Carbon Sequestration'!$C$48</definedName>
    <definedName name="CO2_cap_rec">'Carbon Sequestration'!$C$46</definedName>
    <definedName name="CO2_capptonneCO2">'Carbon Sequestration'!$K$47</definedName>
    <definedName name="CO2_Capture_Efficiency">'Carbon Sequestration'!$C$30</definedName>
    <definedName name="CO2_CashFlow_eUse">'Cash Flow Analysis'!$J$133</definedName>
    <definedName name="CO2_ControlSystem">'Carbon Sequestration'!$C$34</definedName>
    <definedName name="CO2_credit">'Carbon Sequestration'!$C$43</definedName>
    <definedName name="CO2_depr_factor">'Carbon Sequestration'!$C$47</definedName>
    <definedName name="CO2_eCost">'Carbon Sequestration'!$C$25</definedName>
    <definedName name="CO2_eCostpY">'Carbon Sequestration'!$J$34</definedName>
    <definedName name="CO2_energyptonneCO2">'Carbon Sequestration'!$K$45</definedName>
    <definedName name="CO2_eUse_kWhpkg">'Carbon Sequestration'!$C$26</definedName>
    <definedName name="CO2_flowrate">'Carbon Sequestration'!$C$23</definedName>
    <definedName name="CO2_flowrate_GTpY">'Carbon Sequestration'!$C$24</definedName>
    <definedName name="CO2_inUse">'Carbon Sequestration'!$B$2</definedName>
    <definedName name="CO2_Location">Lists!$T$4:$T$5</definedName>
    <definedName name="CO2_Location_factor">'Carbon Sequestration'!#REF!</definedName>
    <definedName name="CO2_MaintFactor">'Carbon Sequestration'!$C$44</definedName>
    <definedName name="CO2_Nwells">'Carbon Sequestration'!#REF!</definedName>
    <definedName name="CO2_OandMcost">Input_Sheet_Template!$E$158</definedName>
    <definedName name="CO2_OandMptonneCO2">'Carbon Sequestration'!$K$46</definedName>
    <definedName name="CO2_Pin_psia">'Carbon Sequestration'!$C$31</definedName>
    <definedName name="CO2_PipeDia">'Carbon Sequestration'!$C$38</definedName>
    <definedName name="CO2_PipeElevation">'Carbon Sequestration'!$C$37</definedName>
    <definedName name="CO2_PipeFactor">'Carbon Sequestration'!$C$45</definedName>
    <definedName name="CO2_PipeLength">'Carbon Sequestration'!$C$36</definedName>
    <definedName name="CO2_Pipeline_Temp">'Carbon Sequestration'!$C$40</definedName>
    <definedName name="CO2_Pipeline_Temp_factor">'Carbon Sequestration'!$C$40</definedName>
    <definedName name="CO2_Pump_Eff">'Carbon Sequestration'!$C$33</definedName>
    <definedName name="CO2_seq">Input_Sheet_Template!$C$89</definedName>
    <definedName name="CO2_SiteCap">'Carbon Sequestration'!#REF!</definedName>
    <definedName name="CO2_SurgeTank">'Carbon Sequestration'!$C$35</definedName>
    <definedName name="CO2_Terrain">Lists!$V$4:$V$10</definedName>
    <definedName name="CO2_Terrain_2">Lists!$V$4:$W$10</definedName>
    <definedName name="CO2_Terrain_factor">'Carbon Sequestration'!$C$40</definedName>
    <definedName name="CO2_TerrainType">'Carbon Sequestration'!#REF!</definedName>
    <definedName name="CO2_Value_Defaults">Lists!$Y$4:$Z$14</definedName>
    <definedName name="CO2_WellDepth">'Carbon Sequestration'!#REF!</definedName>
    <definedName name="co2ecost">'Carbon Sequestration'!#REF!</definedName>
    <definedName name="ColorList">Lists!$C$15:$C$19</definedName>
    <definedName name="construct">Input_Sheet_Template!$C$33</definedName>
    <definedName name="CPIinflator">'Capital Costs'!$C$12</definedName>
    <definedName name="CurrentYear">'Capital Costs'!$C$10</definedName>
    <definedName name="debt_interest">Input_Sheet_Template!$C$44</definedName>
    <definedName name="debt_period">Input_Sheet_Template!$C$45</definedName>
    <definedName name="decom">'Cash Flow Analysis'!$B$54</definedName>
    <definedName name="decom_percent">Input_Sheet_Template!$C$49</definedName>
    <definedName name="DeflatorTable">'HyARC Physical Property Data'!$A$94:$B$119</definedName>
    <definedName name="Delete_As_List">Lists!$A$15:$A$20</definedName>
    <definedName name="depr_cap">Input_Sheet_Template!$E$99</definedName>
    <definedName name="depr_cap_infl">'Cash Flow Analysis'!$B$51</definedName>
    <definedName name="depr_cost">Depreciation!$B$97:$B$140</definedName>
    <definedName name="depr_length">Input_Sheet_Template!$C$41</definedName>
    <definedName name="depr_type">Input_Sheet_Template!$C$42</definedName>
    <definedName name="depr_yr">Depreciation!$A$97:$A$140</definedName>
    <definedName name="design_cap">Input_Sheet_Template!$C$26</definedName>
    <definedName name="Det_CO2_OandMcost">'Carbon Sequestration'!$J$41</definedName>
    <definedName name="Det_CO2_seq">'Carbon Sequestration'!$J$26</definedName>
    <definedName name="Det_direct_cap">'Capital Costs'!$F$36</definedName>
    <definedName name="Det_scaled_cap">'Plant Scaling'!$G$27</definedName>
    <definedName name="direct_cap">Input_Sheet_Template!$C$88</definedName>
    <definedName name="DR_Carbon_Sequestration_1">'Carbon Sequestration'!$C$30:$C$48</definedName>
    <definedName name="DR_Carbon_Sequestration_2">'Carbon Sequestration'!$C$36</definedName>
    <definedName name="DR_CostDetail_1">'Capital Costs'!$B$16:$C$35,'Capital Costs'!$E$16:$E$35</definedName>
    <definedName name="DR_CostDetail_2">'Capital Costs'!$G$16:$H$35</definedName>
    <definedName name="DR_PlantScaling_1">'Plant Scaling'!$C$6:$C$8</definedName>
    <definedName name="DR_PlantScaling_2">'Plant Scaling'!$D$13:$D$26</definedName>
    <definedName name="DR_ReplacementCosts_01">'Replacement Costs'!$F$18:$F$57</definedName>
    <definedName name="DR_ReplacementCosts_1">'Replacement Costs'!$F$18:$F$57</definedName>
    <definedName name="Dynamic_Byproduct_Total">Input_Sheet_Template!$F$79:$F$80</definedName>
    <definedName name="Dynamic_Feed_Total">Input_Sheet_Template!$F$73:$F$76</definedName>
    <definedName name="Dynamic_NonE_Byprod_Total">Input_Sheet_Template!$E$141:$E$142</definedName>
    <definedName name="Dynamic_NonE_Feed_Total">Input_Sheet_Template!$E$136:$E$141</definedName>
    <definedName name="Dynamic_Utilities_Total">Input_Sheet_Template!$F$76:$F$79</definedName>
    <definedName name="Energy_Feed_List">Lists!$K$12</definedName>
    <definedName name="Energy_Feed_Years">Lists!$K$14</definedName>
    <definedName name="Engin">Input_Sheet_Template!$E$93</definedName>
    <definedName name="equity">Input_Sheet_Template!$C$43</definedName>
    <definedName name="Export_Variable_List">Lists!$R$4:$R$80</definedName>
    <definedName name="fed_tax_rate">Input_Sheet_Template!$C$54</definedName>
    <definedName name="Feed_CO2_kgpkgH2">Results!$D$85</definedName>
    <definedName name="Feed_CO2_MTpY">Results!$D$86</definedName>
    <definedName name="Feed_Type_List">Lists!$C$8:$C$12</definedName>
    <definedName name="FEEDPRICETABLE">INDIRECT(Price_Table_in_Use)</definedName>
    <definedName name="FeedPropertyTable">'HyARC Physical Property Data'!$A$71:$L$88</definedName>
    <definedName name="Feedstock">Lists!$A$8:$A$12</definedName>
    <definedName name="Feedstock_Year">INDIRECT(Energy_Feed_Years)</definedName>
    <definedName name="feedstockBio_Methane_Price">Input_Sheet_Template!#REF!</definedName>
    <definedName name="feedstockCommercial_Electricity_Price">Input_Sheet_Template!#REF!</definedName>
    <definedName name="feedstockCommercial_Natural_Gas_Price">Input_Sheet_Template!#REF!</definedName>
    <definedName name="feedstockElectric_Utility_Natural_Gas_Price">Input_Sheet_Template!#REF!</definedName>
    <definedName name="feedstockElectric_Utility_Steam_Coal_Price">Input_Sheet_Template!#REF!</definedName>
    <definedName name="feedstockIndustrial_Electricity_Price">Input_Sheet_Template!#REF!</definedName>
    <definedName name="feedstockIndustrial_Natural_Gas_Price">Input_Sheet_Template!$D$75</definedName>
    <definedName name="feedstockIndustrial_Natural_Gas_Usage">Input_Sheet_Template!$E$75</definedName>
    <definedName name="feedstockResidential_Electricity_Price">Input_Sheet_Template!#REF!</definedName>
    <definedName name="feedstockResidential_Natural_Gas_Price">Input_Sheet_Template!#REF!</definedName>
    <definedName name="feedstockWoody_Biomass_Price">Input_Sheet_Template!#REF!</definedName>
    <definedName name="Fees">Input_Sheet_Template!$E$97</definedName>
    <definedName name="fixed">Input_Sheet_Template!$E$124</definedName>
    <definedName name="FTE_cost">Input_Sheet_Template!$E$112</definedName>
    <definedName name="FTEs">Input_Sheet_Template!$E$111</definedName>
    <definedName name="gal_to_liters">'Constants and Conversions'!$C$4</definedName>
    <definedName name="GGE_to_kWh">'Constants and Conversions'!$C$13</definedName>
    <definedName name="GHG_CH4_factor">'Constants and Conversions'!$B$23</definedName>
    <definedName name="GHG_CO2_factor">'Constants and Conversions'!$B$22</definedName>
    <definedName name="GHG_N2O_factor">'Constants and Conversions'!$B$24</definedName>
    <definedName name="H2_LHV_MJ_p_kg">'HyARC Physical Property Data'!$E$7</definedName>
    <definedName name="H2_price_nominal">'Cash Flow Analysis'!$E$17</definedName>
    <definedName name="H2_price_real">'Cash Flow Analysis'!$E$16</definedName>
    <definedName name="Import_Variable_List">Lists!$M$4:$M$61</definedName>
    <definedName name="inflated_fixed">'Cash Flow Analysis'!$B$56</definedName>
    <definedName name="inflated_otherraw">'Cash Flow Analysis'!$B$57</definedName>
    <definedName name="inflated_othervar">'Cash Flow Analysis'!$B$58</definedName>
    <definedName name="INFLATION_FACTOR">'Cash Flow Analysis'!$B$128</definedName>
    <definedName name="inflation_rate">Input_Sheet_Template!$C$51</definedName>
    <definedName name="Input_Value_Defaults">Lists!$O$4:$P$20</definedName>
    <definedName name="key_MPTable">'HyARC Physical Property Data'!$A$70:$N$70</definedName>
    <definedName name="kgH2_to_GGE">'Constants and Conversions'!$C$14</definedName>
    <definedName name="kgH2_to_GJ">'Constants and Conversions'!$C$16</definedName>
    <definedName name="kgH2_to_kWh">'Constants and Conversions'!$C$15</definedName>
    <definedName name="labor_cost">Input_Sheet_Template!$E$113</definedName>
    <definedName name="land_cost">Input_Sheet_Template!$E$104</definedName>
    <definedName name="lb_to_kg">'Constants and Conversions'!$C$7</definedName>
    <definedName name="licensing">Input_Sheet_Template!$E$116</definedName>
    <definedName name="List_Energy_Feedstocks">INDIRECT(Energy_Feed_List)</definedName>
    <definedName name="low_capacity_limit">'Plant Scaling'!$C$7</definedName>
    <definedName name="MACRS_Table">Depreciation!$B$14:$H$37</definedName>
    <definedName name="MASTER_OTHER_PRICES">OFFSET('Non-Energy Material Prices'!$A$1,0,0,COUNTA('Non-Energy Material Prices'!$A:$A),104)</definedName>
    <definedName name="MASTER_PROPERTY_TABLE">OFFSET('HyARC Physical Property Data'!$A$70,1,0,COUNTA('HyARC Physical Property Data'!$A:$A),14)</definedName>
    <definedName name="material">Input_Sheet_Template!$E$120</definedName>
    <definedName name="miles_to_km">'Constants and Conversions'!$C$3</definedName>
    <definedName name="MJ_to_kWh">'Constants and Conversions'!$C$12</definedName>
    <definedName name="mmBTU_to_GJ">'Constants and Conversions'!$C$18</definedName>
    <definedName name="MPa_to_psi">'Constants and Conversions'!$C$9</definedName>
    <definedName name="MPG_to_kWhPkm">'Constants and Conversions'!$C$5</definedName>
    <definedName name="n_CO2_pumps">'Carbon Sequestration'!$C$32</definedName>
    <definedName name="n_pumps">'Carbon Sequestration'!$C$32</definedName>
    <definedName name="ncf_to_Nm3">'Constants and Conversions'!$C$8</definedName>
    <definedName name="NG_to_CO2Pipeline">'Carbon Sequestration'!$C$53</definedName>
    <definedName name="nominal_irr">'Cash Flow Analysis'!$B$27</definedName>
    <definedName name="non_dep_cap">Input_Sheet_Template!$E$106</definedName>
    <definedName name="non_dep_infl">'Cash Flow Analysis'!$B$52</definedName>
    <definedName name="NPV">'Cash Flow Analysis'!$E$26</definedName>
    <definedName name="operator_profit">Input_Sheet_Template!$E$156</definedName>
    <definedName name="other_fees">Input_Sheet_Template!$E$122</definedName>
    <definedName name="other_fixed">Input_Sheet_Template!$E$123</definedName>
    <definedName name="Other_indirect">Input_Sheet_Template!$E$96</definedName>
    <definedName name="Other_Inputs_List">OFFSET('Non-Energy Material Prices'!$A$1,0,0,COUNTA('Non-Energy Material Prices'!$A:$A),1)</definedName>
    <definedName name="Other_Inputs_years">'Non-Energy Material Prices'!$E$1:$CZ$1</definedName>
    <definedName name="Other_Materials_List">OFFSET('Non-Energy Material Prices'!$A$1,1,0,COUNTA('Non-Energy Material Prices'!$A:$A),1)</definedName>
    <definedName name="output_kgpday">Input_Sheet_Template!$C$27</definedName>
    <definedName name="output_kgyear">Input_Sheet_Template!$C$28</definedName>
    <definedName name="overhead_GA">Input_Sheet_Template!$E$115</definedName>
    <definedName name="overhead_rate">Input_Sheet_Template!$C$114</definedName>
    <definedName name="percent_cap1">Input_Sheet_Template!$C$34</definedName>
    <definedName name="percent_cap2">Input_Sheet_Template!$C$35</definedName>
    <definedName name="percent_cap3">Input_Sheet_Template!$C$36</definedName>
    <definedName name="percent_cap4">Input_Sheet_Template!$C$37</definedName>
    <definedName name="percnt_fixed">Input_Sheet_Template!$C$46</definedName>
    <definedName name="percnt_revs">Input_Sheet_Template!$C$47</definedName>
    <definedName name="percnt_var">Input_Sheet_Template!$C$48</definedName>
    <definedName name="Permitting">Input_Sheet_Template!$E$98</definedName>
    <definedName name="plant_life">Input_Sheet_Template!$C$39</definedName>
    <definedName name="pre_tax_nominal_IRR">'Cash Flow Analysis'!$E$21</definedName>
    <definedName name="pre_tax_real_IRR">'Cash Flow Analysis'!$E$19</definedName>
    <definedName name="Price_Table_in_Use">Lists!$J$12</definedName>
    <definedName name="Price_Table_List">Lists!$J$2</definedName>
    <definedName name="Price_Tables">Lists!$J$3:$J$7</definedName>
    <definedName name="_xlnm.Print_Area" localSheetId="13">'AEO Data'!$A$736:$I$762</definedName>
    <definedName name="_xlnm.Print_Area" localSheetId="5">'Capital Costs'!$B$14:$G$35</definedName>
    <definedName name="_xlnm.Print_Area" localSheetId="10">'Cash Flow Analysis'!$B$1:$G$14</definedName>
    <definedName name="_xlnm.Print_Area" localSheetId="14">'HyARC Physical Property Data'!$O$4:$U$18</definedName>
    <definedName name="_xlnm.Print_Area" localSheetId="3">Input_Sheet_Template!$B$126:$G$163</definedName>
    <definedName name="_xlnm.Print_Area" localSheetId="6">'Plant Scaling'!$B$2:$K$27</definedName>
    <definedName name="_xlnm.Print_Area" localSheetId="4">'Replacement Costs'!$A$13:$L$57</definedName>
    <definedName name="_xlnm.Print_Area" localSheetId="8">Results!$B$74:$G$121</definedName>
    <definedName name="_xlnm.Print_Titles" localSheetId="6">'Plant Scaling'!$B:$B</definedName>
    <definedName name="Proc_CO2_MTpY">Results!$D$84</definedName>
    <definedName name="Proc_CO2_tax">Input_Sheet_Template!$E$159</definedName>
    <definedName name="Proc_CO2_taxpYear">Input_Sheet_Template!$E$160</definedName>
    <definedName name="ProcEqpCap">'Plant Scaling'!$E$27</definedName>
    <definedName name="Process_cont">Input_Sheet_Template!$E$94</definedName>
    <definedName name="prod_maint">Input_Sheet_Template!$E$121</definedName>
    <definedName name="Project_cont">Input_Sheet_Template!$E$95</definedName>
    <definedName name="Pump_Eff">'Carbon Sequestration'!$C$33</definedName>
    <definedName name="pump_power">'Carbon Sequestration'!$C$68</definedName>
    <definedName name="R_CostDetail_6">'Plant Scaling'!$C$36:$C$40</definedName>
    <definedName name="real_irr">Input_Sheet_Template!$C$52</definedName>
    <definedName name="recovery_period">Depreciation!$B$14:$H$14</definedName>
    <definedName name="recovery_year">Depreciation!$B$14:$B$37</definedName>
    <definedName name="ref_year">Input_Sheet_Template!$C$30</definedName>
    <definedName name="rent">Input_Sheet_Template!$E$119</definedName>
    <definedName name="replace_factor">Input_Sheet_Template!$C$154</definedName>
    <definedName name="result_byprod_contr">Results!$C$24</definedName>
    <definedName name="result_cap_contr">Results!$C$19</definedName>
    <definedName name="result_decom_contr">Results!$C$20</definedName>
    <definedName name="result_feed_contr">Results!$C$22</definedName>
    <definedName name="result_Fixed_O_M_contr">Results!$C$21</definedName>
    <definedName name="result_Other_Mat_contr">Results!$C$23</definedName>
    <definedName name="result_other_var_contr">Results!$C$25</definedName>
    <definedName name="Result_price">Results!$C$26</definedName>
    <definedName name="royalties">Input_Sheet_Template!$E$155</definedName>
    <definedName name="RunRiskAnalysis">'Tornado Charts &amp; Risk Analysis'!$D$11</definedName>
    <definedName name="salvage">'Cash Flow Analysis'!$B$55</definedName>
    <definedName name="salvage_perct">Input_Sheet_Template!$C$50</definedName>
    <definedName name="Scale_Factor">'Plant Scaling'!$C$5</definedName>
    <definedName name="Scale_Ratio">'Plant Scaling'!$C$4</definedName>
    <definedName name="scaled_cap">Input_Sheet_Template!$C$88</definedName>
    <definedName name="Scaling_Factor_Exponent">'Plant Scaling'!$C$6</definedName>
    <definedName name="Scaling_Method_Defaults">Lists!$AB$4:$AC$28</definedName>
    <definedName name="Scaling_validation">Lists!$A$24:$A$37</definedName>
    <definedName name="scf_to_Nm3">'Constants and Conversions'!$C$6</definedName>
    <definedName name="SELECTED_FEED">Input_Sheet_Template!$B$61</definedName>
    <definedName name="sensitivity_01">'Tornado Charts &amp; Risk Analysis'!$C$48</definedName>
    <definedName name="sensitivity_02">'Tornado Charts &amp; Risk Analysis'!$D$48</definedName>
    <definedName name="sensitivity_03">'Tornado Charts &amp; Risk Analysis'!$E$48</definedName>
    <definedName name="sensitivity_04">'Tornado Charts &amp; Risk Analysis'!$F$48</definedName>
    <definedName name="sensitivity_05">'Tornado Charts &amp; Risk Analysis'!$G$48</definedName>
    <definedName name="sensitivity_06">'Tornado Charts &amp; Risk Analysis'!$H$48</definedName>
    <definedName name="sensitivity_07">'Tornado Charts &amp; Risk Analysis'!$I$48</definedName>
    <definedName name="Sensitivity_case">'Tornado Charts &amp; Risk Analysis'!$B$48</definedName>
    <definedName name="Sensitivity_output">'Tornado Charts &amp; Risk Analysis'!$K$50:$Y$50</definedName>
    <definedName name="Sensitivity_results">'Tornado Charts &amp; Risk Analysis'!$K$48:$Y$48</definedName>
    <definedName name="Sensitivity_Variables">OFFSET(Lists!$G$4,0,0,COUNTA(Lists!$G:$G),2)</definedName>
    <definedName name="SensitivityInputs">'Tornado Charts &amp; Risk Analysis'!$C$48:$I$48</definedName>
    <definedName name="Site_prep">Input_Sheet_Template!$E$92</definedName>
    <definedName name="solidwaste_treat">Input_Sheet_Template!$E$153</definedName>
    <definedName name="solver_adj" localSheetId="10" hidden="1">'Cash Flow Analysis'!#REF!</definedName>
    <definedName name="solver_cvg" localSheetId="10" hidden="1">0.001</definedName>
    <definedName name="solver_drv" localSheetId="10" hidden="1">0</definedName>
    <definedName name="solver_est" localSheetId="10" hidden="1">1</definedName>
    <definedName name="solver_itr" localSheetId="10" hidden="1">1000</definedName>
    <definedName name="solver_lin" localSheetId="10" hidden="1">2</definedName>
    <definedName name="solver_neg" localSheetId="10" hidden="1">2</definedName>
    <definedName name="solver_num" localSheetId="10" hidden="1">0</definedName>
    <definedName name="solver_nwt" localSheetId="10" hidden="1">1</definedName>
    <definedName name="solver_opt" localSheetId="10" hidden="1">'Cash Flow Analysis'!#REF!</definedName>
    <definedName name="solver_pre" localSheetId="10" hidden="1">0.000001</definedName>
    <definedName name="solver_scl" localSheetId="10" hidden="1">2</definedName>
    <definedName name="solver_sho" localSheetId="10" hidden="1">2</definedName>
    <definedName name="solver_tim" localSheetId="10" hidden="1">1000</definedName>
    <definedName name="solver_tmp" localSheetId="10" hidden="1">'Cash Flow Analysis'!$Q$65:$R$65,'Cash Flow Analysis'!$F$65:$F$65,'Cash Flow Analysis'!$U$65:$U$65,'Cash Flow Analysis'!$X$65:$X$65,'Cash Flow Analysis'!#REF!,'Cash Flow Analysis'!$U$105:$U$112,'Cash Flow Analysis'!#REF!,'Cash Flow Analysis'!#REF!,'Cash Flow Analysis'!#REF!,'Cash Flow Analysis'!#REF!,'Cash Flow Analysis'!#REF!</definedName>
    <definedName name="solver_tol" localSheetId="10" hidden="1">0.05</definedName>
    <definedName name="solver_typ" localSheetId="10" hidden="1">3</definedName>
    <definedName name="solver_val" localSheetId="10" hidden="1">0.15</definedName>
    <definedName name="START_BYPROD">Input_Sheet_Template!$A$80</definedName>
    <definedName name="START_FEED">Input_Sheet_Template!$A$76</definedName>
    <definedName name="START_NONE_BYPROD">Input_Sheet_Template!$A$142</definedName>
    <definedName name="START_NONE_FEED">Input_Sheet_Template!$A$141</definedName>
    <definedName name="START_NONE_TOP">Input_Sheet_Template!$A$136</definedName>
    <definedName name="start_time">Input_Sheet_Template!$C$38</definedName>
    <definedName name="START_TOP">Input_Sheet_Template!$A$73</definedName>
    <definedName name="START_UTILITY">Input_Sheet_Template!$A$79</definedName>
    <definedName name="startup_year">Input_Sheet_Template!$C$31</definedName>
    <definedName name="StartYr_comm_Electricity">'Cash Flow Analysis'!$E$281</definedName>
    <definedName name="StartYr_indust_Electricity">'Cash Flow Analysis'!$E$282</definedName>
    <definedName name="state_tax_rate">Input_Sheet_Template!$C$53</definedName>
    <definedName name="tax_credit">Input_Sheet_Template!$E$157</definedName>
    <definedName name="tax_ins_rate">Input_Sheet_Template!$C$117</definedName>
    <definedName name="tax_insurance">Input_Sheet_Template!$E$118</definedName>
    <definedName name="Tbl_2005Emissions">'HyARC Physical Property Data'!$A$135:$I$153</definedName>
    <definedName name="Tbl_2020Emissions">'HyARC Physical Property Data'!#REF!</definedName>
    <definedName name="Tbl_eByprod_Transfer_Info">'Cash Flow Analysis'!$K$131:$N$135</definedName>
    <definedName name="Tbl_Emissions">'HyARC Physical Property Data'!$A$135:$I$153</definedName>
    <definedName name="Tbl_eUtility_Transfer_Info">'Cash Flow Analysis'!$F$131:$I$135</definedName>
    <definedName name="Tbl_Feedstock_Transfer_Info">'Cash Flow Analysis'!$B$131:$E$135</definedName>
    <definedName name="Tbl_labor_indexes">'HyARC Physical Property Data'!$G$94:$H$118</definedName>
    <definedName name="Tbl_material_byprod_transfer_info">'Cash Flow Analysis'!$T$131:$V$134</definedName>
    <definedName name="Tbl_Material_Input_transfer_info">'Cash Flow Analysis'!$P$131:$R$134</definedName>
    <definedName name="Tbl_Other_Inputs_and_Byproducts">MASTER_OTHER_PRICES</definedName>
    <definedName name="Tbl_PlantCostIndexes">'HyARC Physical Property Data'!$D$94:$E$118</definedName>
    <definedName name="Tbl_Result_CCSCost">Results!$F$17:$H$22</definedName>
    <definedName name="TCI_infl">'Cash Flow Analysis'!$B$51</definedName>
    <definedName name="Temp_Var_Location">Lists!$E$4</definedName>
    <definedName name="title">Input_Sheet_Template!$B$3</definedName>
    <definedName name="TMP_Conversion">Input_Sheet_Template!$C$66</definedName>
    <definedName name="TMP_conversion_effic">Input_Sheet_Template!$F$68</definedName>
    <definedName name="TMP_Escalation">Input_Sheet_Template!$C$70</definedName>
    <definedName name="TMP_FeedName">Input_Sheet_Template!$B$63</definedName>
    <definedName name="TMP_FeedType">Input_Sheet_Template!$B$65</definedName>
    <definedName name="TMP_nonE_Escalation">Input_Sheet_Template!$C$135</definedName>
    <definedName name="TMP_NonE_Feed">Input_Sheet_Template!$C$131</definedName>
    <definedName name="TMP_NonE_StartPrice">Input_Sheet_Template!$C$132</definedName>
    <definedName name="TMP_NonE_StartYrCost">Input_Sheet_Template!$C$134</definedName>
    <definedName name="TMP_NonE_Type">Input_Sheet_Template!$B$131</definedName>
    <definedName name="TMP_NonE_Usage">Input_Sheet_Template!$C$133</definedName>
    <definedName name="TMP_NonE_Usage_txt">Input_Sheet_Template!$B$132</definedName>
    <definedName name="TMP_PriceTable">Input_Sheet_Template!$B$59</definedName>
    <definedName name="TMP_StartPrice">Input_Sheet_Template!$C$67</definedName>
    <definedName name="TMP_StartYrCost">Input_Sheet_Template!$C$69</definedName>
    <definedName name="TMP_Units">Input_Sheet_Template!$D$61</definedName>
    <definedName name="TMP_Usage">Input_Sheet_Template!$C$68</definedName>
    <definedName name="total_byproducts">Input_Sheet_Template!$C$148</definedName>
    <definedName name="total_cap">Input_Sheet_Template!$C$108</definedName>
    <definedName name="Total_Energy_Byproduct_Cost">Input_Sheet_Template!$D$84</definedName>
    <definedName name="Total_Energy_Byproduct_Credit">Input_Sheet_Template!$F$84</definedName>
    <definedName name="Total_Energy_Feed_Cost">Input_Sheet_Template!$F$82</definedName>
    <definedName name="Total_Energy_Utilities_Cost">Input_Sheet_Template!$F$83</definedName>
    <definedName name="total_feedstock">Input_Sheet_Template!$C$146</definedName>
    <definedName name="total_non_energy_byproduct_credit">Input_Sheet_Template!$C$144</definedName>
    <definedName name="Total_Non_Energy_Feed_Cost">Input_Sheet_Template!$C$143</definedName>
    <definedName name="total_other_raw">Input_Sheet_Template!$E$151</definedName>
    <definedName name="total_tax_rate">Input_Sheet_Template!$C$55</definedName>
    <definedName name="total_utilities">Input_Sheet_Template!$C$147</definedName>
    <definedName name="total_var">Input_Sheet_Template!$E$163</definedName>
    <definedName name="upper_capacity_limit">'Plant Scaling'!$C$8</definedName>
    <definedName name="Upstream_CO2_tax">Input_Sheet_Template!$E$161</definedName>
    <definedName name="Upstream_CO2_taxpYear">Input_Sheet_Template!$E$162</definedName>
    <definedName name="Upstream_GHG_total">Results!$G$77</definedName>
    <definedName name="Use_Default">Lists!$A$4:$A$5</definedName>
    <definedName name="utilityCommercial_Electricity_Price">Input_Sheet_Template!#REF!</definedName>
    <definedName name="utilityCommercial_Natural_Gas_Price">Input_Sheet_Template!#REF!</definedName>
    <definedName name="utilityIndustrial_Electricity_Price">Input_Sheet_Template!$D$78</definedName>
    <definedName name="utilityIndustrial_Electricity_Usage">Input_Sheet_Template!$E$78</definedName>
    <definedName name="VAR_FEED_VALUES">Input_Sheet_Template!$B$65:$D$70</definedName>
    <definedName name="var_misc">Input_Sheet_Template!$E$150</definedName>
    <definedName name="VAR_NonE_FEED_VALUES">Input_Sheet_Template!$B$131:$D$135</definedName>
    <definedName name="waste_treat">Input_Sheet_Template!$E$152</definedName>
    <definedName name="WorkingCap">Input_Sheet_Template!$C$56</definedName>
    <definedName name="Yes_No">Lists!$C$4:$C$5</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135" i="15" l="1"/>
  <c r="B134" i="15"/>
  <c r="B132" i="15"/>
  <c r="B131" i="15"/>
  <c r="F135" i="15"/>
  <c r="F134" i="15"/>
  <c r="F132" i="15"/>
  <c r="F131" i="15"/>
  <c r="C141" i="12" l="1"/>
  <c r="CZ141" i="12" s="1"/>
  <c r="C140" i="12"/>
  <c r="CT140" i="12" s="1"/>
  <c r="C139" i="12"/>
  <c r="CV139" i="12" s="1"/>
  <c r="C138" i="12"/>
  <c r="CW138" i="12" s="1"/>
  <c r="C137" i="12"/>
  <c r="CW137" i="12" s="1"/>
  <c r="C136" i="12"/>
  <c r="Q136" i="12" s="1"/>
  <c r="C135" i="12"/>
  <c r="CR135" i="12" s="1"/>
  <c r="C134" i="12"/>
  <c r="CZ134" i="12" s="1"/>
  <c r="C133" i="12"/>
  <c r="CU133" i="12" s="1"/>
  <c r="I131" i="12"/>
  <c r="J131" i="12" s="1"/>
  <c r="K131" i="12" s="1"/>
  <c r="L131" i="12" s="1"/>
  <c r="M131" i="12" s="1"/>
  <c r="N131" i="12" s="1"/>
  <c r="O131" i="12" s="1"/>
  <c r="P131" i="12" s="1"/>
  <c r="Q131" i="12" s="1"/>
  <c r="R131" i="12" s="1"/>
  <c r="S131" i="12" s="1"/>
  <c r="T131" i="12" s="1"/>
  <c r="U131" i="12" s="1"/>
  <c r="V131" i="12" s="1"/>
  <c r="W131" i="12" s="1"/>
  <c r="X131" i="12" s="1"/>
  <c r="Y131" i="12" s="1"/>
  <c r="Z131" i="12" s="1"/>
  <c r="AA131" i="12" s="1"/>
  <c r="AB131" i="12" s="1"/>
  <c r="AC131" i="12" s="1"/>
  <c r="AD131" i="12" s="1"/>
  <c r="AE131" i="12" s="1"/>
  <c r="AF131" i="12" s="1"/>
  <c r="AG131" i="12" s="1"/>
  <c r="AH131" i="12" s="1"/>
  <c r="AI131" i="12" s="1"/>
  <c r="AJ131" i="12" s="1"/>
  <c r="AK131" i="12" s="1"/>
  <c r="AL131" i="12" s="1"/>
  <c r="AM131" i="12" s="1"/>
  <c r="AN131" i="12" s="1"/>
  <c r="AO131" i="12" s="1"/>
  <c r="AP131" i="12" s="1"/>
  <c r="AQ131" i="12" s="1"/>
  <c r="AR131" i="12" s="1"/>
  <c r="AS131" i="12" s="1"/>
  <c r="AT131" i="12" s="1"/>
  <c r="AU131" i="12" s="1"/>
  <c r="AV131" i="12" s="1"/>
  <c r="AW131" i="12" s="1"/>
  <c r="AX131" i="12" s="1"/>
  <c r="AY131" i="12" s="1"/>
  <c r="AZ131" i="12" s="1"/>
  <c r="BA131" i="12" s="1"/>
  <c r="BB131" i="12" s="1"/>
  <c r="BC131" i="12" s="1"/>
  <c r="BD131" i="12" s="1"/>
  <c r="BE131" i="12" s="1"/>
  <c r="BF131" i="12" s="1"/>
  <c r="BG131" i="12" s="1"/>
  <c r="BH131" i="12" s="1"/>
  <c r="BI131" i="12" s="1"/>
  <c r="BJ131" i="12" s="1"/>
  <c r="BK131" i="12" s="1"/>
  <c r="BL131" i="12" s="1"/>
  <c r="BM131" i="12" s="1"/>
  <c r="BN131" i="12" s="1"/>
  <c r="BO131" i="12" s="1"/>
  <c r="BP131" i="12" s="1"/>
  <c r="BQ131" i="12" s="1"/>
  <c r="BR131" i="12" s="1"/>
  <c r="BS131" i="12" s="1"/>
  <c r="BT131" i="12" s="1"/>
  <c r="BU131" i="12" s="1"/>
  <c r="BV131" i="12" s="1"/>
  <c r="BW131" i="12" s="1"/>
  <c r="BX131" i="12" s="1"/>
  <c r="BY131" i="12" s="1"/>
  <c r="BZ131" i="12" s="1"/>
  <c r="CA131" i="12" s="1"/>
  <c r="CB131" i="12" s="1"/>
  <c r="CC131" i="12" s="1"/>
  <c r="CD131" i="12" s="1"/>
  <c r="CE131" i="12" s="1"/>
  <c r="CF131" i="12" s="1"/>
  <c r="CG131" i="12" s="1"/>
  <c r="CH131" i="12" s="1"/>
  <c r="CI131" i="12" s="1"/>
  <c r="CJ131" i="12" s="1"/>
  <c r="CK131" i="12" s="1"/>
  <c r="CL131" i="12" s="1"/>
  <c r="CM131" i="12" s="1"/>
  <c r="CN131" i="12" s="1"/>
  <c r="CO131" i="12" s="1"/>
  <c r="CP131" i="12" s="1"/>
  <c r="CQ131" i="12" s="1"/>
  <c r="CR131" i="12" s="1"/>
  <c r="CS131" i="12" s="1"/>
  <c r="CT131" i="12" s="1"/>
  <c r="CU131" i="12" s="1"/>
  <c r="CV131" i="12" s="1"/>
  <c r="CW131" i="12" s="1"/>
  <c r="CX131" i="12" s="1"/>
  <c r="CY131" i="12" s="1"/>
  <c r="CZ131" i="12" s="1"/>
  <c r="B130" i="12"/>
  <c r="BE134" i="12" l="1"/>
  <c r="BU134" i="12"/>
  <c r="AK134" i="12"/>
  <c r="M137" i="12"/>
  <c r="AA136" i="12"/>
  <c r="P134" i="12"/>
  <c r="BA134" i="12"/>
  <c r="AS137" i="12"/>
  <c r="CK140" i="12"/>
  <c r="AY135" i="12"/>
  <c r="BI135" i="12"/>
  <c r="M138" i="12"/>
  <c r="BE139" i="12"/>
  <c r="BE140" i="12"/>
  <c r="AC138" i="12"/>
  <c r="BW139" i="12"/>
  <c r="BG140" i="12"/>
  <c r="BY139" i="12"/>
  <c r="K139" i="12"/>
  <c r="CS139" i="12"/>
  <c r="CM140" i="12"/>
  <c r="M139" i="12"/>
  <c r="CU139" i="12"/>
  <c r="AG141" i="12"/>
  <c r="AG135" i="12"/>
  <c r="AG139" i="12"/>
  <c r="AP135" i="12"/>
  <c r="BY137" i="12"/>
  <c r="AI139" i="12"/>
  <c r="Y140" i="12"/>
  <c r="AO141" i="12"/>
  <c r="BA139" i="12"/>
  <c r="AA140" i="12"/>
  <c r="CS141" i="12"/>
  <c r="AU137" i="12"/>
  <c r="CW134" i="12"/>
  <c r="BT135" i="12"/>
  <c r="AW136" i="12"/>
  <c r="Q137" i="12"/>
  <c r="AW137" i="12"/>
  <c r="CC137" i="12"/>
  <c r="AS138" i="12"/>
  <c r="Q139" i="12"/>
  <c r="AK139" i="12"/>
  <c r="BG139" i="12"/>
  <c r="CC139" i="12"/>
  <c r="CW139" i="12"/>
  <c r="AG140" i="12"/>
  <c r="BM140" i="12"/>
  <c r="CS140" i="12"/>
  <c r="AW141" i="12"/>
  <c r="O137" i="12"/>
  <c r="AI140" i="12"/>
  <c r="BO140" i="12"/>
  <c r="CU140" i="12"/>
  <c r="BE141" i="12"/>
  <c r="CA137" i="12"/>
  <c r="BM141" i="12"/>
  <c r="AL136" i="12"/>
  <c r="CE135" i="12"/>
  <c r="BM136" i="12"/>
  <c r="Y137" i="12"/>
  <c r="BE137" i="12"/>
  <c r="CK137" i="12"/>
  <c r="BI138" i="12"/>
  <c r="S139" i="12"/>
  <c r="AO139" i="12"/>
  <c r="BI139" i="12"/>
  <c r="CE139" i="12"/>
  <c r="U134" i="12"/>
  <c r="O135" i="12"/>
  <c r="CO135" i="12"/>
  <c r="CC136" i="12"/>
  <c r="AC137" i="12"/>
  <c r="BI137" i="12"/>
  <c r="CO137" i="12"/>
  <c r="BY138" i="12"/>
  <c r="U139" i="12"/>
  <c r="AQ139" i="12"/>
  <c r="BM139" i="12"/>
  <c r="CG139" i="12"/>
  <c r="I140" i="12"/>
  <c r="AO140" i="12"/>
  <c r="BU140" i="12"/>
  <c r="AF134" i="12"/>
  <c r="X135" i="12"/>
  <c r="CZ135" i="12"/>
  <c r="CS136" i="12"/>
  <c r="AE137" i="12"/>
  <c r="BK137" i="12"/>
  <c r="CQ137" i="12"/>
  <c r="CO138" i="12"/>
  <c r="Y139" i="12"/>
  <c r="AS139" i="12"/>
  <c r="BO139" i="12"/>
  <c r="CK139" i="12"/>
  <c r="K140" i="12"/>
  <c r="AQ140" i="12"/>
  <c r="BW140" i="12"/>
  <c r="I141" i="12"/>
  <c r="BU141" i="12"/>
  <c r="AG137" i="12"/>
  <c r="BM137" i="12"/>
  <c r="CS137" i="12"/>
  <c r="AA139" i="12"/>
  <c r="AW139" i="12"/>
  <c r="BQ139" i="12"/>
  <c r="CM139" i="12"/>
  <c r="Q140" i="12"/>
  <c r="AW140" i="12"/>
  <c r="CC140" i="12"/>
  <c r="Q141" i="12"/>
  <c r="CC141" i="12"/>
  <c r="I137" i="12"/>
  <c r="AO137" i="12"/>
  <c r="BU137" i="12"/>
  <c r="I139" i="12"/>
  <c r="AC139" i="12"/>
  <c r="AY139" i="12"/>
  <c r="BU139" i="12"/>
  <c r="CO139" i="12"/>
  <c r="S140" i="12"/>
  <c r="AY140" i="12"/>
  <c r="CE140" i="12"/>
  <c r="Y141" i="12"/>
  <c r="CK141" i="12"/>
  <c r="AX133" i="12"/>
  <c r="CT133" i="12"/>
  <c r="S133" i="12"/>
  <c r="AI133" i="12"/>
  <c r="AY133" i="12"/>
  <c r="BO133" i="12"/>
  <c r="CE133" i="12"/>
  <c r="Q134" i="12"/>
  <c r="AG134" i="12"/>
  <c r="BD134" i="12"/>
  <c r="BY134" i="12"/>
  <c r="CZ133" i="12"/>
  <c r="CR133" i="12"/>
  <c r="CJ133" i="12"/>
  <c r="CB133" i="12"/>
  <c r="BT133" i="12"/>
  <c r="BL133" i="12"/>
  <c r="BD133" i="12"/>
  <c r="AV133" i="12"/>
  <c r="AN133" i="12"/>
  <c r="AF133" i="12"/>
  <c r="X133" i="12"/>
  <c r="P133" i="12"/>
  <c r="H133" i="12"/>
  <c r="CX133" i="12"/>
  <c r="CP133" i="12"/>
  <c r="CH133" i="12"/>
  <c r="BZ133" i="12"/>
  <c r="BR133" i="12"/>
  <c r="BJ133" i="12"/>
  <c r="BB133" i="12"/>
  <c r="AT133" i="12"/>
  <c r="AL133" i="12"/>
  <c r="AD133" i="12"/>
  <c r="V133" i="12"/>
  <c r="N133" i="12"/>
  <c r="CW133" i="12"/>
  <c r="CO133" i="12"/>
  <c r="CG133" i="12"/>
  <c r="BY133" i="12"/>
  <c r="BQ133" i="12"/>
  <c r="BI133" i="12"/>
  <c r="BA133" i="12"/>
  <c r="AS133" i="12"/>
  <c r="AK133" i="12"/>
  <c r="AC133" i="12"/>
  <c r="U133" i="12"/>
  <c r="M133" i="12"/>
  <c r="CV133" i="12"/>
  <c r="CN133" i="12"/>
  <c r="CF133" i="12"/>
  <c r="BX133" i="12"/>
  <c r="BP133" i="12"/>
  <c r="BH133" i="12"/>
  <c r="AZ133" i="12"/>
  <c r="AR133" i="12"/>
  <c r="AJ133" i="12"/>
  <c r="AB133" i="12"/>
  <c r="T133" i="12"/>
  <c r="L133" i="12"/>
  <c r="CY134" i="12"/>
  <c r="CQ134" i="12"/>
  <c r="CI134" i="12"/>
  <c r="CA134" i="12"/>
  <c r="BS134" i="12"/>
  <c r="BK134" i="12"/>
  <c r="BC134" i="12"/>
  <c r="AU134" i="12"/>
  <c r="AM134" i="12"/>
  <c r="CX134" i="12"/>
  <c r="CP134" i="12"/>
  <c r="CH134" i="12"/>
  <c r="BZ134" i="12"/>
  <c r="BR134" i="12"/>
  <c r="BJ134" i="12"/>
  <c r="BB134" i="12"/>
  <c r="AT134" i="12"/>
  <c r="AL134" i="12"/>
  <c r="AD134" i="12"/>
  <c r="V134" i="12"/>
  <c r="N134" i="12"/>
  <c r="CO134" i="12"/>
  <c r="CG134" i="12"/>
  <c r="CV134" i="12"/>
  <c r="CN134" i="12"/>
  <c r="CF134" i="12"/>
  <c r="BX134" i="12"/>
  <c r="BP134" i="12"/>
  <c r="BH134" i="12"/>
  <c r="AZ134" i="12"/>
  <c r="AR134" i="12"/>
  <c r="AJ134" i="12"/>
  <c r="AB134" i="12"/>
  <c r="T134" i="12"/>
  <c r="L134" i="12"/>
  <c r="CU134" i="12"/>
  <c r="CM134" i="12"/>
  <c r="CE134" i="12"/>
  <c r="BW134" i="12"/>
  <c r="BO134" i="12"/>
  <c r="BG134" i="12"/>
  <c r="AY134" i="12"/>
  <c r="AQ134" i="12"/>
  <c r="AI134" i="12"/>
  <c r="AA134" i="12"/>
  <c r="S134" i="12"/>
  <c r="K134" i="12"/>
  <c r="CT134" i="12"/>
  <c r="CL134" i="12"/>
  <c r="CD134" i="12"/>
  <c r="BV134" i="12"/>
  <c r="BN134" i="12"/>
  <c r="BF134" i="12"/>
  <c r="AX134" i="12"/>
  <c r="AP134" i="12"/>
  <c r="AH134" i="12"/>
  <c r="Z134" i="12"/>
  <c r="R134" i="12"/>
  <c r="J134" i="12"/>
  <c r="W134" i="12"/>
  <c r="AN134" i="12"/>
  <c r="BI134" i="12"/>
  <c r="CC134" i="12"/>
  <c r="R133" i="12"/>
  <c r="CD133" i="12"/>
  <c r="W133" i="12"/>
  <c r="BC133" i="12"/>
  <c r="CI133" i="12"/>
  <c r="CY133" i="12"/>
  <c r="CB134" i="12"/>
  <c r="I133" i="12"/>
  <c r="AO133" i="12"/>
  <c r="BE133" i="12"/>
  <c r="CK133" i="12"/>
  <c r="J133" i="12"/>
  <c r="Z133" i="12"/>
  <c r="AP133" i="12"/>
  <c r="BF133" i="12"/>
  <c r="BV133" i="12"/>
  <c r="CL133" i="12"/>
  <c r="H134" i="12"/>
  <c r="X134" i="12"/>
  <c r="AO134" i="12"/>
  <c r="BL134" i="12"/>
  <c r="CJ134" i="12"/>
  <c r="AH133" i="12"/>
  <c r="BS133" i="12"/>
  <c r="Y133" i="12"/>
  <c r="BU133" i="12"/>
  <c r="K133" i="12"/>
  <c r="AA133" i="12"/>
  <c r="AQ133" i="12"/>
  <c r="BG133" i="12"/>
  <c r="BW133" i="12"/>
  <c r="CM133" i="12"/>
  <c r="I134" i="12"/>
  <c r="Y134" i="12"/>
  <c r="AS134" i="12"/>
  <c r="BM134" i="12"/>
  <c r="CK134" i="12"/>
  <c r="BN133" i="12"/>
  <c r="O133" i="12"/>
  <c r="AM133" i="12"/>
  <c r="AE133" i="12"/>
  <c r="AU133" i="12"/>
  <c r="BK133" i="12"/>
  <c r="CA133" i="12"/>
  <c r="CQ133" i="12"/>
  <c r="M134" i="12"/>
  <c r="AC134" i="12"/>
  <c r="AV134" i="12"/>
  <c r="BQ134" i="12"/>
  <c r="CR134" i="12"/>
  <c r="Q133" i="12"/>
  <c r="AG133" i="12"/>
  <c r="AW133" i="12"/>
  <c r="BM133" i="12"/>
  <c r="CC133" i="12"/>
  <c r="CS133" i="12"/>
  <c r="O134" i="12"/>
  <c r="AE134" i="12"/>
  <c r="AW134" i="12"/>
  <c r="BT134" i="12"/>
  <c r="CS134" i="12"/>
  <c r="CT136" i="12"/>
  <c r="CL136" i="12"/>
  <c r="CD136" i="12"/>
  <c r="BV136" i="12"/>
  <c r="BN136" i="12"/>
  <c r="BF136" i="12"/>
  <c r="AX136" i="12"/>
  <c r="CZ136" i="12"/>
  <c r="CR136" i="12"/>
  <c r="CJ136" i="12"/>
  <c r="CB136" i="12"/>
  <c r="BT136" i="12"/>
  <c r="BL136" i="12"/>
  <c r="BD136" i="12"/>
  <c r="AV136" i="12"/>
  <c r="AN136" i="12"/>
  <c r="AF136" i="12"/>
  <c r="X136" i="12"/>
  <c r="P136" i="12"/>
  <c r="H136" i="12"/>
  <c r="CX136" i="12"/>
  <c r="CP136" i="12"/>
  <c r="CH136" i="12"/>
  <c r="BZ136" i="12"/>
  <c r="BR136" i="12"/>
  <c r="BJ136" i="12"/>
  <c r="BB136" i="12"/>
  <c r="CV136" i="12"/>
  <c r="CN136" i="12"/>
  <c r="CF136" i="12"/>
  <c r="BX136" i="12"/>
  <c r="BP136" i="12"/>
  <c r="BH136" i="12"/>
  <c r="AZ136" i="12"/>
  <c r="AR136" i="12"/>
  <c r="AJ136" i="12"/>
  <c r="AB136" i="12"/>
  <c r="T136" i="12"/>
  <c r="L136" i="12"/>
  <c r="AC136" i="12"/>
  <c r="AY136" i="12"/>
  <c r="CE136" i="12"/>
  <c r="O138" i="12"/>
  <c r="BK138" i="12"/>
  <c r="CQ138" i="12"/>
  <c r="H135" i="12"/>
  <c r="Q135" i="12"/>
  <c r="Z135" i="12"/>
  <c r="AI135" i="12"/>
  <c r="AR135" i="12"/>
  <c r="BA135" i="12"/>
  <c r="BL135" i="12"/>
  <c r="BW135" i="12"/>
  <c r="CG135" i="12"/>
  <c r="I136" i="12"/>
  <c r="S136" i="12"/>
  <c r="AD136" i="12"/>
  <c r="AO136" i="12"/>
  <c r="BA136" i="12"/>
  <c r="BQ136" i="12"/>
  <c r="CG136" i="12"/>
  <c r="CW136" i="12"/>
  <c r="S137" i="12"/>
  <c r="AI137" i="12"/>
  <c r="AY137" i="12"/>
  <c r="BO137" i="12"/>
  <c r="CE137" i="12"/>
  <c r="CU137" i="12"/>
  <c r="Q138" i="12"/>
  <c r="AG138" i="12"/>
  <c r="AW138" i="12"/>
  <c r="BM138" i="12"/>
  <c r="CC138" i="12"/>
  <c r="CS138" i="12"/>
  <c r="CT135" i="12"/>
  <c r="CL135" i="12"/>
  <c r="CD135" i="12"/>
  <c r="BV135" i="12"/>
  <c r="BN135" i="12"/>
  <c r="BF135" i="12"/>
  <c r="CX135" i="12"/>
  <c r="CP135" i="12"/>
  <c r="CH135" i="12"/>
  <c r="BZ135" i="12"/>
  <c r="BR135" i="12"/>
  <c r="BJ135" i="12"/>
  <c r="BB135" i="12"/>
  <c r="AT135" i="12"/>
  <c r="AL135" i="12"/>
  <c r="AD135" i="12"/>
  <c r="V135" i="12"/>
  <c r="N135" i="12"/>
  <c r="P135" i="12"/>
  <c r="Y135" i="12"/>
  <c r="AH135" i="12"/>
  <c r="AQ135" i="12"/>
  <c r="AZ135" i="12"/>
  <c r="BK135" i="12"/>
  <c r="BU135" i="12"/>
  <c r="CF135" i="12"/>
  <c r="CQ135" i="12"/>
  <c r="R136" i="12"/>
  <c r="AM136" i="12"/>
  <c r="BO136" i="12"/>
  <c r="CU136" i="12"/>
  <c r="AE138" i="12"/>
  <c r="AU138" i="12"/>
  <c r="CA138" i="12"/>
  <c r="I135" i="12"/>
  <c r="R135" i="12"/>
  <c r="AA135" i="12"/>
  <c r="AJ135" i="12"/>
  <c r="AS135" i="12"/>
  <c r="BC135" i="12"/>
  <c r="BM135" i="12"/>
  <c r="BX135" i="12"/>
  <c r="CI135" i="12"/>
  <c r="CS135" i="12"/>
  <c r="J136" i="12"/>
  <c r="U136" i="12"/>
  <c r="AE136" i="12"/>
  <c r="AP136" i="12"/>
  <c r="BC136" i="12"/>
  <c r="BS136" i="12"/>
  <c r="CI136" i="12"/>
  <c r="CY136" i="12"/>
  <c r="U137" i="12"/>
  <c r="AK137" i="12"/>
  <c r="BA137" i="12"/>
  <c r="BQ137" i="12"/>
  <c r="CG137" i="12"/>
  <c r="S138" i="12"/>
  <c r="AI138" i="12"/>
  <c r="AY138" i="12"/>
  <c r="BO138" i="12"/>
  <c r="CE138" i="12"/>
  <c r="CU138" i="12"/>
  <c r="J135" i="12"/>
  <c r="S135" i="12"/>
  <c r="AB135" i="12"/>
  <c r="AK135" i="12"/>
  <c r="AU135" i="12"/>
  <c r="BD135" i="12"/>
  <c r="BO135" i="12"/>
  <c r="BY135" i="12"/>
  <c r="CJ135" i="12"/>
  <c r="CU135" i="12"/>
  <c r="K136" i="12"/>
  <c r="V136" i="12"/>
  <c r="AG136" i="12"/>
  <c r="AQ136" i="12"/>
  <c r="BE136" i="12"/>
  <c r="BU136" i="12"/>
  <c r="CK136" i="12"/>
  <c r="CZ137" i="12"/>
  <c r="CR137" i="12"/>
  <c r="CJ137" i="12"/>
  <c r="CB137" i="12"/>
  <c r="BT137" i="12"/>
  <c r="BL137" i="12"/>
  <c r="BD137" i="12"/>
  <c r="AV137" i="12"/>
  <c r="AN137" i="12"/>
  <c r="AF137" i="12"/>
  <c r="X137" i="12"/>
  <c r="P137" i="12"/>
  <c r="H137" i="12"/>
  <c r="CX137" i="12"/>
  <c r="CP137" i="12"/>
  <c r="CH137" i="12"/>
  <c r="BZ137" i="12"/>
  <c r="BR137" i="12"/>
  <c r="BJ137" i="12"/>
  <c r="BB137" i="12"/>
  <c r="AT137" i="12"/>
  <c r="AL137" i="12"/>
  <c r="AD137" i="12"/>
  <c r="V137" i="12"/>
  <c r="N137" i="12"/>
  <c r="CV137" i="12"/>
  <c r="CN137" i="12"/>
  <c r="CF137" i="12"/>
  <c r="BX137" i="12"/>
  <c r="BP137" i="12"/>
  <c r="BH137" i="12"/>
  <c r="AZ137" i="12"/>
  <c r="AR137" i="12"/>
  <c r="AJ137" i="12"/>
  <c r="AB137" i="12"/>
  <c r="T137" i="12"/>
  <c r="L137" i="12"/>
  <c r="CT137" i="12"/>
  <c r="CL137" i="12"/>
  <c r="CD137" i="12"/>
  <c r="BV137" i="12"/>
  <c r="BN137" i="12"/>
  <c r="BF137" i="12"/>
  <c r="AX137" i="12"/>
  <c r="AP137" i="12"/>
  <c r="AH137" i="12"/>
  <c r="Z137" i="12"/>
  <c r="R137" i="12"/>
  <c r="J137" i="12"/>
  <c r="W137" i="12"/>
  <c r="AM137" i="12"/>
  <c r="BC137" i="12"/>
  <c r="BS137" i="12"/>
  <c r="CI137" i="12"/>
  <c r="CY137" i="12"/>
  <c r="U138" i="12"/>
  <c r="AK138" i="12"/>
  <c r="BA138" i="12"/>
  <c r="BQ138" i="12"/>
  <c r="CG138" i="12"/>
  <c r="CX138" i="12"/>
  <c r="CP138" i="12"/>
  <c r="CH138" i="12"/>
  <c r="BZ138" i="12"/>
  <c r="BR138" i="12"/>
  <c r="BJ138" i="12"/>
  <c r="BB138" i="12"/>
  <c r="AT138" i="12"/>
  <c r="AL138" i="12"/>
  <c r="AD138" i="12"/>
  <c r="V138" i="12"/>
  <c r="N138" i="12"/>
  <c r="CV138" i="12"/>
  <c r="CN138" i="12"/>
  <c r="CF138" i="12"/>
  <c r="BX138" i="12"/>
  <c r="BP138" i="12"/>
  <c r="BH138" i="12"/>
  <c r="AZ138" i="12"/>
  <c r="AR138" i="12"/>
  <c r="AJ138" i="12"/>
  <c r="AB138" i="12"/>
  <c r="T138" i="12"/>
  <c r="L138" i="12"/>
  <c r="CT138" i="12"/>
  <c r="CL138" i="12"/>
  <c r="CD138" i="12"/>
  <c r="BV138" i="12"/>
  <c r="BN138" i="12"/>
  <c r="BF138" i="12"/>
  <c r="AX138" i="12"/>
  <c r="AP138" i="12"/>
  <c r="AH138" i="12"/>
  <c r="Z138" i="12"/>
  <c r="R138" i="12"/>
  <c r="J138" i="12"/>
  <c r="CZ138" i="12"/>
  <c r="CR138" i="12"/>
  <c r="CJ138" i="12"/>
  <c r="CB138" i="12"/>
  <c r="BT138" i="12"/>
  <c r="BL138" i="12"/>
  <c r="BD138" i="12"/>
  <c r="AV138" i="12"/>
  <c r="AN138" i="12"/>
  <c r="AF138" i="12"/>
  <c r="X138" i="12"/>
  <c r="P138" i="12"/>
  <c r="H138" i="12"/>
  <c r="W138" i="12"/>
  <c r="AM138" i="12"/>
  <c r="BC138" i="12"/>
  <c r="BS138" i="12"/>
  <c r="CI138" i="12"/>
  <c r="CY138" i="12"/>
  <c r="K135" i="12"/>
  <c r="T135" i="12"/>
  <c r="AC135" i="12"/>
  <c r="AM135" i="12"/>
  <c r="AV135" i="12"/>
  <c r="BE135" i="12"/>
  <c r="BP135" i="12"/>
  <c r="CA135" i="12"/>
  <c r="CK135" i="12"/>
  <c r="CV135" i="12"/>
  <c r="M136" i="12"/>
  <c r="W136" i="12"/>
  <c r="AH136" i="12"/>
  <c r="AS136" i="12"/>
  <c r="BG136" i="12"/>
  <c r="BW136" i="12"/>
  <c r="CM136" i="12"/>
  <c r="L135" i="12"/>
  <c r="U135" i="12"/>
  <c r="AE135" i="12"/>
  <c r="AN135" i="12"/>
  <c r="AW135" i="12"/>
  <c r="BG135" i="12"/>
  <c r="BQ135" i="12"/>
  <c r="CB135" i="12"/>
  <c r="CM135" i="12"/>
  <c r="CW135" i="12"/>
  <c r="N136" i="12"/>
  <c r="Y136" i="12"/>
  <c r="AI136" i="12"/>
  <c r="AT136" i="12"/>
  <c r="BI136" i="12"/>
  <c r="BY136" i="12"/>
  <c r="CO136" i="12"/>
  <c r="K137" i="12"/>
  <c r="AA137" i="12"/>
  <c r="AQ137" i="12"/>
  <c r="BG137" i="12"/>
  <c r="BW137" i="12"/>
  <c r="CM137" i="12"/>
  <c r="I138" i="12"/>
  <c r="Y138" i="12"/>
  <c r="AO138" i="12"/>
  <c r="BE138" i="12"/>
  <c r="BU138" i="12"/>
  <c r="CK138" i="12"/>
  <c r="M135" i="12"/>
  <c r="W135" i="12"/>
  <c r="AF135" i="12"/>
  <c r="AO135" i="12"/>
  <c r="AX135" i="12"/>
  <c r="BH135" i="12"/>
  <c r="BS135" i="12"/>
  <c r="CC135" i="12"/>
  <c r="CN135" i="12"/>
  <c r="CY135" i="12"/>
  <c r="O136" i="12"/>
  <c r="Z136" i="12"/>
  <c r="AK136" i="12"/>
  <c r="AU136" i="12"/>
  <c r="BK136" i="12"/>
  <c r="CA136" i="12"/>
  <c r="CQ136" i="12"/>
  <c r="K138" i="12"/>
  <c r="AA138" i="12"/>
  <c r="AQ138" i="12"/>
  <c r="BG138" i="12"/>
  <c r="BW138" i="12"/>
  <c r="CM138" i="12"/>
  <c r="N139" i="12"/>
  <c r="V139" i="12"/>
  <c r="AD139" i="12"/>
  <c r="AL139" i="12"/>
  <c r="AT139" i="12"/>
  <c r="BB139" i="12"/>
  <c r="BJ139" i="12"/>
  <c r="BR139" i="12"/>
  <c r="BZ139" i="12"/>
  <c r="CH139" i="12"/>
  <c r="CP139" i="12"/>
  <c r="CX139" i="12"/>
  <c r="L140" i="12"/>
  <c r="T140" i="12"/>
  <c r="AB140" i="12"/>
  <c r="AJ140" i="12"/>
  <c r="AR140" i="12"/>
  <c r="AZ140" i="12"/>
  <c r="BH140" i="12"/>
  <c r="BP140" i="12"/>
  <c r="BX140" i="12"/>
  <c r="CF140" i="12"/>
  <c r="CN140" i="12"/>
  <c r="CV140" i="12"/>
  <c r="J141" i="12"/>
  <c r="R141" i="12"/>
  <c r="Z141" i="12"/>
  <c r="AH141" i="12"/>
  <c r="AP141" i="12"/>
  <c r="AX141" i="12"/>
  <c r="BF141" i="12"/>
  <c r="BN141" i="12"/>
  <c r="BV141" i="12"/>
  <c r="CD141" i="12"/>
  <c r="CL141" i="12"/>
  <c r="CT141" i="12"/>
  <c r="O139" i="12"/>
  <c r="W139" i="12"/>
  <c r="AE139" i="12"/>
  <c r="AM139" i="12"/>
  <c r="AU139" i="12"/>
  <c r="BC139" i="12"/>
  <c r="BK139" i="12"/>
  <c r="BS139" i="12"/>
  <c r="CA139" i="12"/>
  <c r="CI139" i="12"/>
  <c r="CQ139" i="12"/>
  <c r="CY139" i="12"/>
  <c r="M140" i="12"/>
  <c r="U140" i="12"/>
  <c r="AC140" i="12"/>
  <c r="AK140" i="12"/>
  <c r="AS140" i="12"/>
  <c r="BA140" i="12"/>
  <c r="BI140" i="12"/>
  <c r="BQ140" i="12"/>
  <c r="BY140" i="12"/>
  <c r="CG140" i="12"/>
  <c r="CO140" i="12"/>
  <c r="CW140" i="12"/>
  <c r="K141" i="12"/>
  <c r="S141" i="12"/>
  <c r="AA141" i="12"/>
  <c r="AI141" i="12"/>
  <c r="AQ141" i="12"/>
  <c r="AY141" i="12"/>
  <c r="BG141" i="12"/>
  <c r="BO141" i="12"/>
  <c r="BW141" i="12"/>
  <c r="CE141" i="12"/>
  <c r="CM141" i="12"/>
  <c r="CU141" i="12"/>
  <c r="H139" i="12"/>
  <c r="P139" i="12"/>
  <c r="X139" i="12"/>
  <c r="AF139" i="12"/>
  <c r="AN139" i="12"/>
  <c r="AV139" i="12"/>
  <c r="BD139" i="12"/>
  <c r="BL139" i="12"/>
  <c r="BT139" i="12"/>
  <c r="CB139" i="12"/>
  <c r="CJ139" i="12"/>
  <c r="CR139" i="12"/>
  <c r="CZ139" i="12"/>
  <c r="N140" i="12"/>
  <c r="V140" i="12"/>
  <c r="AD140" i="12"/>
  <c r="AL140" i="12"/>
  <c r="AT140" i="12"/>
  <c r="BB140" i="12"/>
  <c r="BJ140" i="12"/>
  <c r="BR140" i="12"/>
  <c r="BZ140" i="12"/>
  <c r="CH140" i="12"/>
  <c r="CP140" i="12"/>
  <c r="CX140" i="12"/>
  <c r="L141" i="12"/>
  <c r="T141" i="12"/>
  <c r="AB141" i="12"/>
  <c r="AJ141" i="12"/>
  <c r="AR141" i="12"/>
  <c r="AZ141" i="12"/>
  <c r="BH141" i="12"/>
  <c r="BP141" i="12"/>
  <c r="BX141" i="12"/>
  <c r="CF141" i="12"/>
  <c r="CN141" i="12"/>
  <c r="CV141" i="12"/>
  <c r="O140" i="12"/>
  <c r="W140" i="12"/>
  <c r="AE140" i="12"/>
  <c r="AM140" i="12"/>
  <c r="AU140" i="12"/>
  <c r="BC140" i="12"/>
  <c r="BK140" i="12"/>
  <c r="BS140" i="12"/>
  <c r="CA140" i="12"/>
  <c r="CI140" i="12"/>
  <c r="CQ140" i="12"/>
  <c r="CY140" i="12"/>
  <c r="M141" i="12"/>
  <c r="U141" i="12"/>
  <c r="AC141" i="12"/>
  <c r="AK141" i="12"/>
  <c r="AS141" i="12"/>
  <c r="BA141" i="12"/>
  <c r="BI141" i="12"/>
  <c r="BQ141" i="12"/>
  <c r="BY141" i="12"/>
  <c r="CG141" i="12"/>
  <c r="CO141" i="12"/>
  <c r="CW141" i="12"/>
  <c r="J139" i="12"/>
  <c r="R139" i="12"/>
  <c r="Z139" i="12"/>
  <c r="AH139" i="12"/>
  <c r="AP139" i="12"/>
  <c r="AX139" i="12"/>
  <c r="BF139" i="12"/>
  <c r="BN139" i="12"/>
  <c r="BV139" i="12"/>
  <c r="CD139" i="12"/>
  <c r="CL139" i="12"/>
  <c r="CT139" i="12"/>
  <c r="H140" i="12"/>
  <c r="P140" i="12"/>
  <c r="X140" i="12"/>
  <c r="AF140" i="12"/>
  <c r="AN140" i="12"/>
  <c r="AV140" i="12"/>
  <c r="BD140" i="12"/>
  <c r="BL140" i="12"/>
  <c r="BT140" i="12"/>
  <c r="CB140" i="12"/>
  <c r="CJ140" i="12"/>
  <c r="CR140" i="12"/>
  <c r="CZ140" i="12"/>
  <c r="N141" i="12"/>
  <c r="V141" i="12"/>
  <c r="AD141" i="12"/>
  <c r="AL141" i="12"/>
  <c r="AT141" i="12"/>
  <c r="BB141" i="12"/>
  <c r="BJ141" i="12"/>
  <c r="BR141" i="12"/>
  <c r="BZ141" i="12"/>
  <c r="CH141" i="12"/>
  <c r="CP141" i="12"/>
  <c r="CX141" i="12"/>
  <c r="O141" i="12"/>
  <c r="W141" i="12"/>
  <c r="AE141" i="12"/>
  <c r="AM141" i="12"/>
  <c r="AU141" i="12"/>
  <c r="BC141" i="12"/>
  <c r="BK141" i="12"/>
  <c r="BS141" i="12"/>
  <c r="CA141" i="12"/>
  <c r="CI141" i="12"/>
  <c r="CQ141" i="12"/>
  <c r="CY141" i="12"/>
  <c r="L139" i="12"/>
  <c r="T139" i="12"/>
  <c r="AB139" i="12"/>
  <c r="AJ139" i="12"/>
  <c r="AR139" i="12"/>
  <c r="AZ139" i="12"/>
  <c r="BH139" i="12"/>
  <c r="BP139" i="12"/>
  <c r="BX139" i="12"/>
  <c r="CF139" i="12"/>
  <c r="CN139" i="12"/>
  <c r="J140" i="12"/>
  <c r="R140" i="12"/>
  <c r="Z140" i="12"/>
  <c r="AH140" i="12"/>
  <c r="AP140" i="12"/>
  <c r="AX140" i="12"/>
  <c r="BF140" i="12"/>
  <c r="BN140" i="12"/>
  <c r="BV140" i="12"/>
  <c r="CD140" i="12"/>
  <c r="CL140" i="12"/>
  <c r="H141" i="12"/>
  <c r="P141" i="12"/>
  <c r="X141" i="12"/>
  <c r="AF141" i="12"/>
  <c r="AN141" i="12"/>
  <c r="AV141" i="12"/>
  <c r="BD141" i="12"/>
  <c r="BL141" i="12"/>
  <c r="BT141" i="12"/>
  <c r="CB141" i="12"/>
  <c r="CJ141" i="12"/>
  <c r="CR141" i="12"/>
  <c r="Q134" i="15"/>
  <c r="Q133" i="15"/>
  <c r="Q132" i="15"/>
  <c r="Q131" i="15"/>
  <c r="P134" i="15"/>
  <c r="P133" i="15"/>
  <c r="P132" i="15"/>
  <c r="P131" i="15"/>
  <c r="E11" i="119" l="1"/>
  <c r="B239" i="119" a="1"/>
  <c r="B240" i="119" s="1"/>
  <c r="B224" i="119" a="1"/>
  <c r="B224" i="119" s="1"/>
  <c r="V16" i="119"/>
  <c r="G199" i="119"/>
  <c r="F199" i="119"/>
  <c r="C194" i="119"/>
  <c r="C196" i="119" s="1"/>
  <c r="I248" i="119"/>
  <c r="H248" i="119"/>
  <c r="G248" i="119"/>
  <c r="F248" i="119"/>
  <c r="E248" i="119"/>
  <c r="D248" i="119"/>
  <c r="C248" i="119"/>
  <c r="B245" i="119" l="1"/>
  <c r="B244" i="119"/>
  <c r="B242" i="119"/>
  <c r="B239" i="119"/>
  <c r="B243" i="119"/>
  <c r="B241" i="119"/>
  <c r="B238" i="119"/>
  <c r="B230" i="119"/>
  <c r="B237" i="119"/>
  <c r="B229" i="119"/>
  <c r="B236" i="119"/>
  <c r="B228" i="119"/>
  <c r="B235" i="119"/>
  <c r="B227" i="119"/>
  <c r="B231" i="119"/>
  <c r="B234" i="119"/>
  <c r="B226" i="119"/>
  <c r="B233" i="119"/>
  <c r="B225" i="119"/>
  <c r="B232" i="119"/>
  <c r="V17" i="119"/>
  <c r="C195" i="119"/>
  <c r="B202" i="119" s="1"/>
  <c r="V18" i="119" l="1"/>
  <c r="V19" i="119" l="1"/>
  <c r="I153" i="18"/>
  <c r="H153" i="18"/>
  <c r="G153" i="18"/>
  <c r="F153" i="18"/>
  <c r="E153" i="18"/>
  <c r="D153" i="18"/>
  <c r="C153" i="18"/>
  <c r="I152" i="18"/>
  <c r="H152" i="18"/>
  <c r="G152" i="18"/>
  <c r="F152" i="18"/>
  <c r="E152" i="18"/>
  <c r="D152" i="18"/>
  <c r="C152" i="18"/>
  <c r="I151" i="18"/>
  <c r="H151" i="18"/>
  <c r="G151" i="18"/>
  <c r="F151" i="18"/>
  <c r="E151" i="18"/>
  <c r="D151" i="18"/>
  <c r="C151" i="18"/>
  <c r="I150" i="18"/>
  <c r="H150" i="18"/>
  <c r="G150" i="18"/>
  <c r="F150" i="18"/>
  <c r="E150" i="18"/>
  <c r="D150" i="18"/>
  <c r="C150" i="18"/>
  <c r="I149" i="18"/>
  <c r="H149" i="18"/>
  <c r="G149" i="18"/>
  <c r="F149" i="18"/>
  <c r="E149" i="18"/>
  <c r="D149" i="18"/>
  <c r="C149" i="18"/>
  <c r="I148" i="18"/>
  <c r="H148" i="18"/>
  <c r="G148" i="18"/>
  <c r="F148" i="18"/>
  <c r="E148" i="18"/>
  <c r="D148" i="18"/>
  <c r="C148" i="18"/>
  <c r="I147" i="18"/>
  <c r="H147" i="18"/>
  <c r="G147" i="18"/>
  <c r="F147" i="18"/>
  <c r="E147" i="18"/>
  <c r="D147" i="18"/>
  <c r="C147" i="18"/>
  <c r="I146" i="18"/>
  <c r="H146" i="18"/>
  <c r="G146" i="18"/>
  <c r="F146" i="18"/>
  <c r="E146" i="18"/>
  <c r="D146" i="18"/>
  <c r="C146" i="18"/>
  <c r="I145" i="18"/>
  <c r="H145" i="18"/>
  <c r="G145" i="18"/>
  <c r="F145" i="18"/>
  <c r="E145" i="18"/>
  <c r="D145" i="18"/>
  <c r="C145" i="18"/>
  <c r="I144" i="18"/>
  <c r="H144" i="18"/>
  <c r="G144" i="18"/>
  <c r="F144" i="18"/>
  <c r="E144" i="18"/>
  <c r="D144" i="18"/>
  <c r="C144" i="18"/>
  <c r="I143" i="18"/>
  <c r="H143" i="18"/>
  <c r="G143" i="18"/>
  <c r="F143" i="18"/>
  <c r="E143" i="18"/>
  <c r="D143" i="18"/>
  <c r="C143" i="18"/>
  <c r="I142" i="18"/>
  <c r="H142" i="18"/>
  <c r="G142" i="18"/>
  <c r="F142" i="18"/>
  <c r="E142" i="18"/>
  <c r="D142" i="18"/>
  <c r="C142" i="18"/>
  <c r="I141" i="18"/>
  <c r="H141" i="18"/>
  <c r="G141" i="18"/>
  <c r="F141" i="18"/>
  <c r="E141" i="18"/>
  <c r="D141" i="18"/>
  <c r="C141" i="18"/>
  <c r="I140" i="18"/>
  <c r="H140" i="18"/>
  <c r="G140" i="18"/>
  <c r="F140" i="18"/>
  <c r="E140" i="18"/>
  <c r="D140" i="18"/>
  <c r="C140" i="18"/>
  <c r="I139" i="18"/>
  <c r="H139" i="18"/>
  <c r="G139" i="18"/>
  <c r="F139" i="18"/>
  <c r="E139" i="18"/>
  <c r="D139" i="18"/>
  <c r="C139" i="18"/>
  <c r="I138" i="18"/>
  <c r="H138" i="18"/>
  <c r="G138" i="18"/>
  <c r="F138" i="18"/>
  <c r="E138" i="18"/>
  <c r="D138" i="18"/>
  <c r="C138" i="18"/>
  <c r="I137" i="18"/>
  <c r="H137" i="18"/>
  <c r="G137" i="18"/>
  <c r="F137" i="18"/>
  <c r="E137" i="18"/>
  <c r="D137" i="18"/>
  <c r="C137" i="18"/>
  <c r="I136" i="18"/>
  <c r="H136" i="18"/>
  <c r="G136" i="18"/>
  <c r="F136" i="18"/>
  <c r="E136" i="18"/>
  <c r="D136" i="18"/>
  <c r="C136" i="18"/>
  <c r="V20" i="119" l="1"/>
  <c r="BW1" i="19"/>
  <c r="BX1" i="19" s="1"/>
  <c r="BY1" i="19" s="1"/>
  <c r="BZ1" i="19" s="1"/>
  <c r="CA1" i="19" s="1"/>
  <c r="CB1" i="19" s="1"/>
  <c r="CC1" i="19" s="1"/>
  <c r="CD1" i="19" s="1"/>
  <c r="CE1" i="19" s="1"/>
  <c r="CF1" i="19" s="1"/>
  <c r="CG1" i="19" s="1"/>
  <c r="CH1" i="19" s="1"/>
  <c r="CI1" i="19" s="1"/>
  <c r="CJ1" i="19" s="1"/>
  <c r="CK1" i="19" s="1"/>
  <c r="CL1" i="19" s="1"/>
  <c r="CM1" i="19" s="1"/>
  <c r="CN1" i="19" s="1"/>
  <c r="CO1" i="19" s="1"/>
  <c r="CP1" i="19" s="1"/>
  <c r="CQ1" i="19" s="1"/>
  <c r="CR1" i="19" s="1"/>
  <c r="CS1" i="19" s="1"/>
  <c r="CT1" i="19" s="1"/>
  <c r="CU1" i="19" s="1"/>
  <c r="CV1" i="19" s="1"/>
  <c r="CW1" i="19" s="1"/>
  <c r="CX1" i="19" s="1"/>
  <c r="CY1" i="19" s="1"/>
  <c r="CZ1" i="19" s="1"/>
  <c r="BW87" i="12"/>
  <c r="BX87" i="12" s="1"/>
  <c r="BY87" i="12" s="1"/>
  <c r="BZ87" i="12" s="1"/>
  <c r="CA87" i="12" s="1"/>
  <c r="CB87" i="12" s="1"/>
  <c r="CC87" i="12" s="1"/>
  <c r="CD87" i="12" s="1"/>
  <c r="CE87" i="12" s="1"/>
  <c r="CF87" i="12" s="1"/>
  <c r="CG87" i="12" s="1"/>
  <c r="CH87" i="12" s="1"/>
  <c r="CI87" i="12" s="1"/>
  <c r="CJ87" i="12" s="1"/>
  <c r="CK87" i="12" s="1"/>
  <c r="CL87" i="12" s="1"/>
  <c r="CM87" i="12" s="1"/>
  <c r="CN87" i="12" s="1"/>
  <c r="CO87" i="12" s="1"/>
  <c r="CP87" i="12" s="1"/>
  <c r="CQ87" i="12" s="1"/>
  <c r="CR87" i="12" s="1"/>
  <c r="CS87" i="12" s="1"/>
  <c r="CT87" i="12" s="1"/>
  <c r="CU87" i="12" s="1"/>
  <c r="CV87" i="12" s="1"/>
  <c r="CW87" i="12" s="1"/>
  <c r="CX87" i="12" s="1"/>
  <c r="CY87" i="12" s="1"/>
  <c r="CZ87" i="12" s="1"/>
  <c r="BW57" i="12"/>
  <c r="BX57" i="12" s="1"/>
  <c r="BY57" i="12" s="1"/>
  <c r="BZ57" i="12" s="1"/>
  <c r="CA57" i="12" s="1"/>
  <c r="CB57" i="12" s="1"/>
  <c r="CC57" i="12" s="1"/>
  <c r="CD57" i="12" s="1"/>
  <c r="CE57" i="12" s="1"/>
  <c r="CF57" i="12" s="1"/>
  <c r="CG57" i="12" s="1"/>
  <c r="CH57" i="12" s="1"/>
  <c r="CI57" i="12" s="1"/>
  <c r="CJ57" i="12" s="1"/>
  <c r="CK57" i="12" s="1"/>
  <c r="CL57" i="12" s="1"/>
  <c r="CM57" i="12" s="1"/>
  <c r="CN57" i="12" s="1"/>
  <c r="CO57" i="12" s="1"/>
  <c r="CP57" i="12" s="1"/>
  <c r="CQ57" i="12" s="1"/>
  <c r="CR57" i="12" s="1"/>
  <c r="CS57" i="12" s="1"/>
  <c r="CT57" i="12" s="1"/>
  <c r="CU57" i="12" s="1"/>
  <c r="CV57" i="12" s="1"/>
  <c r="CW57" i="12" s="1"/>
  <c r="CX57" i="12" s="1"/>
  <c r="CY57" i="12" s="1"/>
  <c r="CZ57" i="12" s="1"/>
  <c r="BW23" i="12"/>
  <c r="BX23" i="12" s="1"/>
  <c r="BY23" i="12" s="1"/>
  <c r="BZ23" i="12" s="1"/>
  <c r="CA23" i="12" s="1"/>
  <c r="CB23" i="12" s="1"/>
  <c r="CC23" i="12" s="1"/>
  <c r="CD23" i="12" s="1"/>
  <c r="CE23" i="12" s="1"/>
  <c r="CF23" i="12" s="1"/>
  <c r="CG23" i="12" s="1"/>
  <c r="CH23" i="12" s="1"/>
  <c r="CI23" i="12" s="1"/>
  <c r="CJ23" i="12" s="1"/>
  <c r="CK23" i="12" s="1"/>
  <c r="CL23" i="12" s="1"/>
  <c r="CM23" i="12" s="1"/>
  <c r="CN23" i="12" s="1"/>
  <c r="CO23" i="12" s="1"/>
  <c r="CP23" i="12" s="1"/>
  <c r="CQ23" i="12" s="1"/>
  <c r="CR23" i="12" s="1"/>
  <c r="CS23" i="12" s="1"/>
  <c r="CT23" i="12" s="1"/>
  <c r="CU23" i="12" s="1"/>
  <c r="CV23" i="12" s="1"/>
  <c r="CW23" i="12" s="1"/>
  <c r="CX23" i="12" s="1"/>
  <c r="CY23" i="12" s="1"/>
  <c r="CZ23" i="12" s="1"/>
  <c r="BW5" i="12"/>
  <c r="BX5" i="12" s="1"/>
  <c r="BY5" i="12" s="1"/>
  <c r="BZ5" i="12" s="1"/>
  <c r="CA5" i="12" s="1"/>
  <c r="CB5" i="12" s="1"/>
  <c r="CC5" i="12" s="1"/>
  <c r="CD5" i="12" s="1"/>
  <c r="CE5" i="12" s="1"/>
  <c r="CF5" i="12" s="1"/>
  <c r="CG5" i="12" s="1"/>
  <c r="CH5" i="12" s="1"/>
  <c r="CI5" i="12" s="1"/>
  <c r="CJ5" i="12" s="1"/>
  <c r="CK5" i="12" s="1"/>
  <c r="CL5" i="12" s="1"/>
  <c r="CM5" i="12" s="1"/>
  <c r="CN5" i="12" s="1"/>
  <c r="CO5" i="12" s="1"/>
  <c r="CP5" i="12" s="1"/>
  <c r="CQ5" i="12" s="1"/>
  <c r="CR5" i="12" s="1"/>
  <c r="CS5" i="12" s="1"/>
  <c r="CT5" i="12" s="1"/>
  <c r="CU5" i="12" s="1"/>
  <c r="CV5" i="12" s="1"/>
  <c r="CW5" i="12" s="1"/>
  <c r="CX5" i="12" s="1"/>
  <c r="CY5" i="12" s="1"/>
  <c r="CZ5" i="12" s="1"/>
  <c r="V21" i="119" l="1"/>
  <c r="E17" i="17"/>
  <c r="V22" i="119" l="1"/>
  <c r="V23" i="119" l="1"/>
  <c r="V24" i="119" l="1"/>
  <c r="C91" i="33"/>
  <c r="C61" i="33"/>
  <c r="V25" i="119" l="1"/>
  <c r="C105" i="33"/>
  <c r="C104" i="33"/>
  <c r="C103" i="33"/>
  <c r="C93" i="33"/>
  <c r="C69" i="33"/>
  <c r="V26" i="119" l="1"/>
  <c r="D86" i="33"/>
  <c r="D78" i="33"/>
  <c r="D61" i="33"/>
  <c r="V27" i="119" l="1"/>
  <c r="D71" i="33"/>
  <c r="V28" i="119" l="1"/>
  <c r="D58" i="33"/>
  <c r="V29" i="119" l="1"/>
  <c r="D107" i="33"/>
  <c r="D106" i="33"/>
  <c r="D105" i="33"/>
  <c r="D104" i="33"/>
  <c r="D103" i="33"/>
  <c r="D100" i="33"/>
  <c r="D99" i="33"/>
  <c r="D98" i="33"/>
  <c r="D95" i="33"/>
  <c r="D94" i="33"/>
  <c r="D93" i="33"/>
  <c r="B92" i="33"/>
  <c r="D83" i="33"/>
  <c r="D82" i="33"/>
  <c r="V30" i="119" l="1"/>
  <c r="D74" i="33"/>
  <c r="D70" i="33"/>
  <c r="D69" i="33"/>
  <c r="D55" i="33"/>
  <c r="D56" i="33"/>
  <c r="D57" i="33"/>
  <c r="D54" i="33"/>
  <c r="V31" i="119" l="1"/>
  <c r="K41" i="33"/>
  <c r="K43" i="33" s="1"/>
  <c r="K34" i="33"/>
  <c r="J37" i="33"/>
  <c r="K26" i="33"/>
  <c r="B51" i="33"/>
  <c r="V32" i="119" l="1"/>
  <c r="C66" i="33"/>
  <c r="V33" i="119" l="1"/>
  <c r="C67" i="33"/>
  <c r="C41" i="33"/>
  <c r="B18" i="17" l="1"/>
  <c r="C144" i="6"/>
  <c r="C143" i="6"/>
  <c r="C3" i="24"/>
  <c r="C36" i="35"/>
  <c r="C11" i="35"/>
  <c r="F84" i="6"/>
  <c r="C55" i="6" l="1"/>
  <c r="D96" i="12" l="1"/>
  <c r="D95" i="12"/>
  <c r="D100" i="12"/>
  <c r="D99" i="12"/>
  <c r="D98" i="12"/>
  <c r="D97" i="12"/>
  <c r="D94" i="12"/>
  <c r="D68" i="12"/>
  <c r="D67" i="12"/>
  <c r="D66" i="12"/>
  <c r="D65" i="12"/>
  <c r="D64" i="12"/>
  <c r="D35" i="12"/>
  <c r="D34" i="12"/>
  <c r="D33" i="12"/>
  <c r="D32" i="12"/>
  <c r="D31" i="12"/>
  <c r="D30" i="12"/>
  <c r="D18" i="12"/>
  <c r="D17" i="12"/>
  <c r="D16" i="12"/>
  <c r="D15" i="12"/>
  <c r="D14" i="12"/>
  <c r="D13" i="12"/>
  <c r="D12" i="12"/>
  <c r="D110" i="119" l="1"/>
  <c r="G110" i="119"/>
  <c r="H110" i="119"/>
  <c r="I110" i="119"/>
  <c r="J110" i="119"/>
  <c r="K110" i="119"/>
  <c r="L110" i="119"/>
  <c r="M110" i="119"/>
  <c r="N110" i="119"/>
  <c r="O110" i="119"/>
  <c r="P110" i="119"/>
  <c r="Q110" i="119"/>
  <c r="R110" i="119"/>
  <c r="S110" i="119"/>
  <c r="G4" i="119"/>
  <c r="G5" i="119"/>
  <c r="G6" i="119"/>
  <c r="G7" i="119"/>
  <c r="G8" i="119"/>
  <c r="G9" i="119"/>
  <c r="G3" i="119"/>
  <c r="N158" i="119" l="1"/>
  <c r="D181" i="119" l="1"/>
  <c r="D177" i="119"/>
  <c r="D178" i="119"/>
  <c r="D179" i="119"/>
  <c r="D180" i="119"/>
  <c r="D176" i="119"/>
  <c r="D175" i="119"/>
  <c r="E175" i="119" s="1"/>
  <c r="F179" i="119" l="1"/>
  <c r="G180" i="119"/>
  <c r="F178" i="119"/>
  <c r="G178" i="119"/>
  <c r="F180" i="119"/>
  <c r="G179" i="119"/>
  <c r="F176" i="119"/>
  <c r="E176" i="119" s="1"/>
  <c r="G177" i="119"/>
  <c r="F177" i="119"/>
  <c r="G176" i="119"/>
  <c r="E177" i="119" l="1"/>
  <c r="E178" i="119" s="1"/>
  <c r="H233" i="15"/>
  <c r="I39" i="34" s="1"/>
  <c r="I233" i="15"/>
  <c r="I40" i="34" s="1"/>
  <c r="L233" i="15"/>
  <c r="I48" i="34" s="1"/>
  <c r="M233" i="15"/>
  <c r="I49" i="34" s="1"/>
  <c r="N233" i="15"/>
  <c r="I50" i="34" s="1"/>
  <c r="N185" i="15"/>
  <c r="M185" i="15"/>
  <c r="L185" i="15"/>
  <c r="K185" i="15"/>
  <c r="I185" i="15"/>
  <c r="H185" i="15"/>
  <c r="G185" i="15"/>
  <c r="E185" i="15"/>
  <c r="D185" i="15"/>
  <c r="C185" i="15"/>
  <c r="B185" i="15"/>
  <c r="A281" i="15"/>
  <c r="E179" i="119" l="1"/>
  <c r="A282" i="15"/>
  <c r="E180" i="119" l="1"/>
  <c r="E181" i="119" l="1"/>
  <c r="M101" i="119" l="1"/>
  <c r="M102" i="119"/>
  <c r="M103" i="119"/>
  <c r="M104" i="119"/>
  <c r="M105" i="119"/>
  <c r="M106" i="119"/>
  <c r="M107" i="119"/>
  <c r="S91" i="119"/>
  <c r="R91" i="119"/>
  <c r="Q91" i="119"/>
  <c r="P91" i="119"/>
  <c r="O91" i="119"/>
  <c r="N91" i="119"/>
  <c r="M91" i="119"/>
  <c r="L91" i="119"/>
  <c r="K91" i="119"/>
  <c r="J91" i="119"/>
  <c r="I91" i="119"/>
  <c r="H91" i="119"/>
  <c r="G91" i="119"/>
  <c r="F91" i="119"/>
  <c r="E91" i="119"/>
  <c r="I65" i="119"/>
  <c r="B97" i="119"/>
  <c r="B91" i="119"/>
  <c r="I7" i="119"/>
  <c r="C91" i="119" s="1"/>
  <c r="D55" i="119"/>
  <c r="S90" i="119"/>
  <c r="R90" i="119"/>
  <c r="Q90" i="119"/>
  <c r="P90" i="119"/>
  <c r="O90" i="119"/>
  <c r="N90" i="119"/>
  <c r="M90" i="119"/>
  <c r="L90" i="119"/>
  <c r="K90" i="119"/>
  <c r="J90" i="119"/>
  <c r="I90" i="119"/>
  <c r="H90" i="119"/>
  <c r="G90" i="119"/>
  <c r="F90" i="119"/>
  <c r="E90" i="119"/>
  <c r="B96" i="119"/>
  <c r="B90" i="119"/>
  <c r="C90" i="119"/>
  <c r="S89" i="119"/>
  <c r="S80" i="119"/>
  <c r="R89" i="119"/>
  <c r="R80" i="119"/>
  <c r="Q89" i="119"/>
  <c r="Q80" i="119"/>
  <c r="P89" i="119"/>
  <c r="P80" i="119"/>
  <c r="O89" i="119"/>
  <c r="O80" i="119"/>
  <c r="N89" i="119"/>
  <c r="N80" i="119"/>
  <c r="M89" i="119"/>
  <c r="M80" i="119"/>
  <c r="L89" i="119"/>
  <c r="L80" i="119"/>
  <c r="K89" i="119"/>
  <c r="K80" i="119"/>
  <c r="J89" i="119"/>
  <c r="J80" i="119"/>
  <c r="I89" i="119"/>
  <c r="I80" i="119"/>
  <c r="H89" i="119"/>
  <c r="H80" i="119"/>
  <c r="G89" i="119"/>
  <c r="G80" i="119"/>
  <c r="F89" i="119"/>
  <c r="F80" i="119"/>
  <c r="E89" i="119"/>
  <c r="E80" i="119"/>
  <c r="F9" i="119"/>
  <c r="B95" i="119"/>
  <c r="B89" i="119"/>
  <c r="F7" i="119"/>
  <c r="F4" i="119"/>
  <c r="E77" i="119"/>
  <c r="E92" i="119"/>
  <c r="E95" i="119"/>
  <c r="E83" i="119"/>
  <c r="F105" i="119"/>
  <c r="E85" i="119"/>
  <c r="E82" i="119"/>
  <c r="F5" i="119"/>
  <c r="E57" i="119"/>
  <c r="F8" i="119"/>
  <c r="H63" i="119"/>
  <c r="B4" i="119"/>
  <c r="B82" i="119" s="1"/>
  <c r="B52" i="119"/>
  <c r="B53" i="119" s="1"/>
  <c r="B54" i="119" s="1"/>
  <c r="B55" i="119" s="1"/>
  <c r="B56" i="119" s="1"/>
  <c r="B57" i="119" s="1"/>
  <c r="B58" i="119" s="1"/>
  <c r="B59" i="119" s="1"/>
  <c r="B60" i="119" s="1"/>
  <c r="B61" i="119" s="1"/>
  <c r="B62" i="119" s="1"/>
  <c r="B63" i="119" s="1"/>
  <c r="B64" i="119" s="1"/>
  <c r="B65" i="119" s="1"/>
  <c r="B66" i="119" s="1"/>
  <c r="B67" i="119" s="1"/>
  <c r="B68" i="119" s="1"/>
  <c r="B69" i="119" s="1"/>
  <c r="B70" i="119" s="1"/>
  <c r="G61" i="119"/>
  <c r="B36" i="15"/>
  <c r="B31" i="15"/>
  <c r="B88" i="119"/>
  <c r="B87" i="119"/>
  <c r="C87" i="119"/>
  <c r="F6" i="119"/>
  <c r="B86" i="119"/>
  <c r="D16" i="15"/>
  <c r="W60" i="15" s="1"/>
  <c r="C160" i="119"/>
  <c r="C161" i="119" s="1"/>
  <c r="C162" i="119" s="1"/>
  <c r="C163" i="119" s="1"/>
  <c r="C164" i="119" s="1"/>
  <c r="C165" i="119" s="1"/>
  <c r="C166" i="119" s="1"/>
  <c r="C167" i="119" s="1"/>
  <c r="C168" i="119" s="1"/>
  <c r="C169" i="119" s="1"/>
  <c r="C170" i="119" s="1"/>
  <c r="F185" i="15"/>
  <c r="F102" i="119"/>
  <c r="F103" i="119"/>
  <c r="F104" i="119"/>
  <c r="F106" i="119"/>
  <c r="F107" i="119"/>
  <c r="F101" i="119"/>
  <c r="D156" i="119"/>
  <c r="D157" i="119"/>
  <c r="D159" i="119"/>
  <c r="D160" i="119"/>
  <c r="D161" i="119"/>
  <c r="D162" i="119"/>
  <c r="D163" i="119"/>
  <c r="D164" i="119"/>
  <c r="D165" i="119"/>
  <c r="D166" i="119"/>
  <c r="D167" i="119"/>
  <c r="D168" i="119"/>
  <c r="D169" i="119"/>
  <c r="D170" i="119"/>
  <c r="F77" i="119"/>
  <c r="G77" i="119"/>
  <c r="H77" i="119"/>
  <c r="I77" i="119"/>
  <c r="J77" i="119"/>
  <c r="K77" i="119"/>
  <c r="L77" i="119"/>
  <c r="M77" i="119"/>
  <c r="N77" i="119"/>
  <c r="O77" i="119"/>
  <c r="P77" i="119"/>
  <c r="Q77" i="119"/>
  <c r="R77" i="119"/>
  <c r="S77" i="119"/>
  <c r="F78" i="119"/>
  <c r="G78" i="119"/>
  <c r="H78" i="119"/>
  <c r="I78" i="119"/>
  <c r="J78" i="119"/>
  <c r="K78" i="119"/>
  <c r="L78" i="119"/>
  <c r="M78" i="119"/>
  <c r="N78" i="119"/>
  <c r="O78" i="119"/>
  <c r="P78" i="119"/>
  <c r="Q78" i="119"/>
  <c r="R78" i="119"/>
  <c r="S78" i="119"/>
  <c r="F79" i="119"/>
  <c r="G79" i="119"/>
  <c r="H79" i="119"/>
  <c r="I79" i="119"/>
  <c r="J79" i="119"/>
  <c r="K79" i="119"/>
  <c r="L79" i="119"/>
  <c r="M79" i="119"/>
  <c r="N79" i="119"/>
  <c r="O79" i="119"/>
  <c r="P79" i="119"/>
  <c r="Q79" i="119"/>
  <c r="R79" i="119"/>
  <c r="S79" i="119"/>
  <c r="F81" i="119"/>
  <c r="G81" i="119"/>
  <c r="H81" i="119"/>
  <c r="I81" i="119"/>
  <c r="J81" i="119"/>
  <c r="K81" i="119"/>
  <c r="L81" i="119"/>
  <c r="M81" i="119"/>
  <c r="N81" i="119"/>
  <c r="O81" i="119"/>
  <c r="P81" i="119"/>
  <c r="Q81" i="119"/>
  <c r="R81" i="119"/>
  <c r="S81" i="119"/>
  <c r="F82" i="119"/>
  <c r="G82" i="119"/>
  <c r="H82" i="119"/>
  <c r="I82" i="119"/>
  <c r="J82" i="119"/>
  <c r="K82" i="119"/>
  <c r="L82" i="119"/>
  <c r="M82" i="119"/>
  <c r="N82" i="119"/>
  <c r="O82" i="119"/>
  <c r="P82" i="119"/>
  <c r="Q82" i="119"/>
  <c r="R82" i="119"/>
  <c r="S82" i="119"/>
  <c r="F83" i="119"/>
  <c r="G83" i="119"/>
  <c r="H83" i="119"/>
  <c r="I83" i="119"/>
  <c r="J83" i="119"/>
  <c r="K83" i="119"/>
  <c r="L83" i="119"/>
  <c r="M83" i="119"/>
  <c r="N83" i="119"/>
  <c r="O83" i="119"/>
  <c r="P83" i="119"/>
  <c r="Q83" i="119"/>
  <c r="R83" i="119"/>
  <c r="S83" i="119"/>
  <c r="F84" i="119"/>
  <c r="G84" i="119"/>
  <c r="H84" i="119"/>
  <c r="I84" i="119"/>
  <c r="J84" i="119"/>
  <c r="K84" i="119"/>
  <c r="L84" i="119"/>
  <c r="M84" i="119"/>
  <c r="N84" i="119"/>
  <c r="O84" i="119"/>
  <c r="P84" i="119"/>
  <c r="Q84" i="119"/>
  <c r="R84" i="119"/>
  <c r="S84" i="119"/>
  <c r="F85" i="119"/>
  <c r="G85" i="119"/>
  <c r="H85" i="119"/>
  <c r="I85" i="119"/>
  <c r="J85" i="119"/>
  <c r="K85" i="119"/>
  <c r="L85" i="119"/>
  <c r="M85" i="119"/>
  <c r="N85" i="119"/>
  <c r="O85" i="119"/>
  <c r="P85" i="119"/>
  <c r="Q85" i="119"/>
  <c r="R85" i="119"/>
  <c r="S85" i="119"/>
  <c r="F86" i="119"/>
  <c r="G86" i="119"/>
  <c r="H86" i="119"/>
  <c r="I86" i="119"/>
  <c r="J86" i="119"/>
  <c r="K86" i="119"/>
  <c r="L86" i="119"/>
  <c r="M86" i="119"/>
  <c r="N86" i="119"/>
  <c r="O86" i="119"/>
  <c r="P86" i="119"/>
  <c r="Q86" i="119"/>
  <c r="R86" i="119"/>
  <c r="S86" i="119"/>
  <c r="F87" i="119"/>
  <c r="G87" i="119"/>
  <c r="H87" i="119"/>
  <c r="I87" i="119"/>
  <c r="J87" i="119"/>
  <c r="K87" i="119"/>
  <c r="L87" i="119"/>
  <c r="M87" i="119"/>
  <c r="N87" i="119"/>
  <c r="O87" i="119"/>
  <c r="P87" i="119"/>
  <c r="Q87" i="119"/>
  <c r="R87" i="119"/>
  <c r="S87" i="119"/>
  <c r="F88" i="119"/>
  <c r="G88" i="119"/>
  <c r="H88" i="119"/>
  <c r="I88" i="119"/>
  <c r="J88" i="119"/>
  <c r="K88" i="119"/>
  <c r="L88" i="119"/>
  <c r="M88" i="119"/>
  <c r="N88" i="119"/>
  <c r="O88" i="119"/>
  <c r="P88" i="119"/>
  <c r="Q88" i="119"/>
  <c r="R88" i="119"/>
  <c r="S88" i="119"/>
  <c r="F92" i="119"/>
  <c r="G92" i="119"/>
  <c r="H92" i="119"/>
  <c r="I92" i="119"/>
  <c r="J92" i="119"/>
  <c r="K92" i="119"/>
  <c r="L92" i="119"/>
  <c r="M92" i="119"/>
  <c r="N92" i="119"/>
  <c r="O92" i="119"/>
  <c r="P92" i="119"/>
  <c r="Q92" i="119"/>
  <c r="R92" i="119"/>
  <c r="S92" i="119"/>
  <c r="F93" i="119"/>
  <c r="G93" i="119"/>
  <c r="H93" i="119"/>
  <c r="I93" i="119"/>
  <c r="J93" i="119"/>
  <c r="K93" i="119"/>
  <c r="L93" i="119"/>
  <c r="M93" i="119"/>
  <c r="N93" i="119"/>
  <c r="O93" i="119"/>
  <c r="P93" i="119"/>
  <c r="Q93" i="119"/>
  <c r="R93" i="119"/>
  <c r="S93" i="119"/>
  <c r="F94" i="119"/>
  <c r="G94" i="119"/>
  <c r="H94" i="119"/>
  <c r="I94" i="119"/>
  <c r="J94" i="119"/>
  <c r="K94" i="119"/>
  <c r="L94" i="119"/>
  <c r="M94" i="119"/>
  <c r="N94" i="119"/>
  <c r="O94" i="119"/>
  <c r="P94" i="119"/>
  <c r="Q94" i="119"/>
  <c r="R94" i="119"/>
  <c r="S94" i="119"/>
  <c r="F95" i="119"/>
  <c r="G95" i="119"/>
  <c r="H95" i="119"/>
  <c r="I95" i="119"/>
  <c r="J95" i="119"/>
  <c r="K95" i="119"/>
  <c r="L95" i="119"/>
  <c r="M95" i="119"/>
  <c r="N95" i="119"/>
  <c r="O95" i="119"/>
  <c r="P95" i="119"/>
  <c r="Q95" i="119"/>
  <c r="R95" i="119"/>
  <c r="S95" i="119"/>
  <c r="F96" i="119"/>
  <c r="G96" i="119"/>
  <c r="H96" i="119"/>
  <c r="I96" i="119"/>
  <c r="J96" i="119"/>
  <c r="K96" i="119"/>
  <c r="L96" i="119"/>
  <c r="M96" i="119"/>
  <c r="N96" i="119"/>
  <c r="O96" i="119"/>
  <c r="P96" i="119"/>
  <c r="Q96" i="119"/>
  <c r="R96" i="119"/>
  <c r="S96" i="119"/>
  <c r="F97" i="119"/>
  <c r="G97" i="119"/>
  <c r="H97" i="119"/>
  <c r="I97" i="119"/>
  <c r="J97" i="119"/>
  <c r="K97" i="119"/>
  <c r="L97" i="119"/>
  <c r="M97" i="119"/>
  <c r="N97" i="119"/>
  <c r="O97" i="119"/>
  <c r="P97" i="119"/>
  <c r="Q97" i="119"/>
  <c r="R97" i="119"/>
  <c r="S97" i="119"/>
  <c r="E97" i="119"/>
  <c r="E94" i="119"/>
  <c r="E88" i="119"/>
  <c r="E86" i="119"/>
  <c r="E79" i="119"/>
  <c r="E96" i="119"/>
  <c r="E93" i="119"/>
  <c r="E87" i="119"/>
  <c r="E84" i="119"/>
  <c r="E81" i="119"/>
  <c r="E78" i="119"/>
  <c r="B93" i="119"/>
  <c r="B94" i="119"/>
  <c r="B92" i="119"/>
  <c r="F3" i="119"/>
  <c r="C53" i="119"/>
  <c r="B77" i="119"/>
  <c r="B78" i="119"/>
  <c r="B79" i="119"/>
  <c r="B85" i="119"/>
  <c r="B83" i="119"/>
  <c r="B84" i="119"/>
  <c r="F34" i="34"/>
  <c r="A109" i="12"/>
  <c r="A77" i="12"/>
  <c r="A46" i="12"/>
  <c r="A45" i="12"/>
  <c r="A18" i="12"/>
  <c r="A17" i="12"/>
  <c r="A16" i="12"/>
  <c r="A15" i="12"/>
  <c r="A14" i="12"/>
  <c r="A13" i="12"/>
  <c r="A12" i="12"/>
  <c r="D11" i="12"/>
  <c r="A11" i="12"/>
  <c r="D10" i="12"/>
  <c r="A10" i="12"/>
  <c r="D9" i="12"/>
  <c r="A9" i="12"/>
  <c r="D8" i="12"/>
  <c r="A8" i="12"/>
  <c r="D7" i="12"/>
  <c r="A7" i="12"/>
  <c r="C18" i="12"/>
  <c r="L18" i="12" s="1"/>
  <c r="C17" i="12"/>
  <c r="Q17" i="12" s="1"/>
  <c r="C16" i="12"/>
  <c r="N16" i="12" s="1"/>
  <c r="C15" i="12"/>
  <c r="C14" i="12"/>
  <c r="BD14" i="12" s="1"/>
  <c r="C13" i="12"/>
  <c r="U13" i="12" s="1"/>
  <c r="C12" i="12"/>
  <c r="AY12" i="12" s="1"/>
  <c r="C11" i="12"/>
  <c r="C10" i="12"/>
  <c r="C9" i="12"/>
  <c r="C8" i="12"/>
  <c r="C7" i="12"/>
  <c r="B4" i="12"/>
  <c r="D35" i="11"/>
  <c r="C35" i="11"/>
  <c r="B35" i="11"/>
  <c r="D34" i="11"/>
  <c r="C34" i="11"/>
  <c r="B34" i="11"/>
  <c r="D33" i="11"/>
  <c r="C33" i="11"/>
  <c r="B33" i="11"/>
  <c r="D32" i="11"/>
  <c r="C32" i="11"/>
  <c r="B32" i="11"/>
  <c r="D31" i="11"/>
  <c r="C31" i="11"/>
  <c r="B31" i="11"/>
  <c r="D30" i="11"/>
  <c r="C30" i="11"/>
  <c r="B30" i="11"/>
  <c r="D29" i="11"/>
  <c r="C29" i="11"/>
  <c r="B29" i="11"/>
  <c r="D28" i="11"/>
  <c r="C28" i="11"/>
  <c r="B28" i="11"/>
  <c r="C65" i="12"/>
  <c r="C59" i="12"/>
  <c r="C35" i="12"/>
  <c r="C34" i="12"/>
  <c r="AL34" i="12" s="1"/>
  <c r="C33" i="12"/>
  <c r="C32" i="12"/>
  <c r="C28" i="12"/>
  <c r="C27" i="12"/>
  <c r="C26" i="12"/>
  <c r="C25" i="12"/>
  <c r="A9" i="17"/>
  <c r="D17" i="17"/>
  <c r="D112" i="6"/>
  <c r="E112" i="6" s="1"/>
  <c r="C12" i="35"/>
  <c r="F18" i="17" s="1"/>
  <c r="F13" i="24"/>
  <c r="F14" i="24"/>
  <c r="F15" i="24"/>
  <c r="F16" i="24"/>
  <c r="F17" i="24"/>
  <c r="F18" i="24"/>
  <c r="F19" i="24"/>
  <c r="F20" i="24"/>
  <c r="F21" i="24"/>
  <c r="F22" i="24"/>
  <c r="F23" i="24"/>
  <c r="F24" i="24"/>
  <c r="F25" i="24"/>
  <c r="F26" i="24"/>
  <c r="E91" i="6"/>
  <c r="C91" i="6"/>
  <c r="E149" i="6"/>
  <c r="C149" i="6"/>
  <c r="E110" i="6"/>
  <c r="C110" i="6"/>
  <c r="E101" i="6"/>
  <c r="C101" i="6"/>
  <c r="C9" i="35"/>
  <c r="B15" i="24"/>
  <c r="B16" i="24"/>
  <c r="B17" i="24"/>
  <c r="B18" i="24"/>
  <c r="B19" i="24"/>
  <c r="B20" i="24"/>
  <c r="B21" i="24"/>
  <c r="B22" i="24"/>
  <c r="B23" i="24"/>
  <c r="B24" i="24"/>
  <c r="B25" i="24"/>
  <c r="B26" i="24"/>
  <c r="C131" i="6"/>
  <c r="B132" i="6" s="1"/>
  <c r="I72" i="18"/>
  <c r="I87" i="18"/>
  <c r="A31" i="12"/>
  <c r="C31" i="12"/>
  <c r="D3" i="19"/>
  <c r="D4" i="19"/>
  <c r="O4" i="19" s="1"/>
  <c r="D5" i="19"/>
  <c r="V5" i="19" s="1"/>
  <c r="D6" i="19"/>
  <c r="S6" i="19" s="1"/>
  <c r="D7" i="19"/>
  <c r="AG7" i="19" s="1"/>
  <c r="D8" i="19"/>
  <c r="AJ8" i="19" s="1"/>
  <c r="D2" i="19"/>
  <c r="D93" i="12"/>
  <c r="D92" i="12"/>
  <c r="D91" i="12"/>
  <c r="D90" i="12"/>
  <c r="D89" i="12"/>
  <c r="A100" i="12"/>
  <c r="A99" i="12"/>
  <c r="A98" i="12"/>
  <c r="A97" i="12"/>
  <c r="A96" i="12"/>
  <c r="A95" i="12"/>
  <c r="D63" i="12"/>
  <c r="D62" i="12"/>
  <c r="D61" i="12"/>
  <c r="D60" i="12"/>
  <c r="D59" i="12"/>
  <c r="D29" i="12"/>
  <c r="D28" i="12"/>
  <c r="D27" i="12"/>
  <c r="D26" i="12"/>
  <c r="D25" i="12"/>
  <c r="A94" i="12"/>
  <c r="A93" i="12"/>
  <c r="A92" i="12"/>
  <c r="A91" i="12"/>
  <c r="A90" i="12"/>
  <c r="A89" i="12"/>
  <c r="A68" i="12"/>
  <c r="A67" i="12"/>
  <c r="A66" i="12"/>
  <c r="A64" i="12"/>
  <c r="A63" i="12"/>
  <c r="A62" i="12"/>
  <c r="A61" i="12"/>
  <c r="A60" i="12"/>
  <c r="A59" i="12"/>
  <c r="A35" i="12"/>
  <c r="I78" i="18"/>
  <c r="A34" i="12"/>
  <c r="A33" i="12"/>
  <c r="A29" i="12"/>
  <c r="I75" i="18"/>
  <c r="A28" i="12"/>
  <c r="A27" i="12"/>
  <c r="A26" i="12"/>
  <c r="A25" i="12"/>
  <c r="I73" i="18"/>
  <c r="A65" i="12"/>
  <c r="A32" i="12"/>
  <c r="A30" i="12"/>
  <c r="C64" i="12"/>
  <c r="BQ64" i="12" s="1"/>
  <c r="C94" i="12"/>
  <c r="BR94" i="12" s="1"/>
  <c r="C90" i="12"/>
  <c r="C91" i="12"/>
  <c r="C92" i="12"/>
  <c r="C93" i="12"/>
  <c r="BO93" i="12" s="1"/>
  <c r="C95" i="12"/>
  <c r="C96" i="12"/>
  <c r="C97" i="12"/>
  <c r="C98" i="12"/>
  <c r="AK98" i="12" s="1"/>
  <c r="C99" i="12"/>
  <c r="AK99" i="12" s="1"/>
  <c r="C100" i="12"/>
  <c r="Q100" i="12" s="1"/>
  <c r="C89" i="12"/>
  <c r="B86" i="12"/>
  <c r="B56" i="12"/>
  <c r="B12" i="35"/>
  <c r="B11" i="35"/>
  <c r="B61" i="11"/>
  <c r="H49" i="11" s="1"/>
  <c r="H50" i="11" s="1"/>
  <c r="C30" i="12"/>
  <c r="AB30" i="12" s="1"/>
  <c r="C15" i="35"/>
  <c r="B14" i="35"/>
  <c r="B133" i="6"/>
  <c r="B65" i="6"/>
  <c r="B30" i="5"/>
  <c r="B29" i="5"/>
  <c r="C65" i="6"/>
  <c r="D15" i="35"/>
  <c r="I74" i="18"/>
  <c r="I71" i="18"/>
  <c r="J12" i="8"/>
  <c r="K12" i="8" s="1"/>
  <c r="C68" i="12"/>
  <c r="AN68" i="12" s="1"/>
  <c r="C67" i="12"/>
  <c r="C66" i="12"/>
  <c r="S66" i="12" s="1"/>
  <c r="C63" i="12"/>
  <c r="AK63" i="12" s="1"/>
  <c r="C62" i="12"/>
  <c r="C61" i="12"/>
  <c r="C60" i="12"/>
  <c r="C29" i="12"/>
  <c r="V29" i="12" s="1"/>
  <c r="B22" i="12"/>
  <c r="B66" i="15"/>
  <c r="A65" i="15"/>
  <c r="B128" i="15"/>
  <c r="H50" i="18"/>
  <c r="I50" i="18" s="1"/>
  <c r="D50" i="18"/>
  <c r="E50" i="18" s="1"/>
  <c r="H49" i="18"/>
  <c r="I49" i="18" s="1"/>
  <c r="D49" i="18"/>
  <c r="E49" i="18" s="1"/>
  <c r="H48" i="18"/>
  <c r="I48" i="18" s="1"/>
  <c r="D48" i="18"/>
  <c r="E48" i="18" s="1"/>
  <c r="H47" i="18"/>
  <c r="I47" i="18" s="1"/>
  <c r="D47" i="18"/>
  <c r="E47" i="18" s="1"/>
  <c r="H46" i="18"/>
  <c r="I46" i="18" s="1"/>
  <c r="D46" i="18"/>
  <c r="E46" i="18" s="1"/>
  <c r="H45" i="18"/>
  <c r="I45" i="18" s="1"/>
  <c r="G13" i="12" s="1"/>
  <c r="D45" i="18"/>
  <c r="E45" i="18" s="1"/>
  <c r="F94" i="12" s="1"/>
  <c r="H44" i="18"/>
  <c r="I44" i="18" s="1"/>
  <c r="G95" i="12" s="1"/>
  <c r="D44" i="18"/>
  <c r="E44" i="18" s="1"/>
  <c r="F95" i="12" s="1"/>
  <c r="H43" i="18"/>
  <c r="I43" i="18" s="1"/>
  <c r="D43" i="18"/>
  <c r="E43" i="18" s="1"/>
  <c r="H42" i="18"/>
  <c r="I42" i="18" s="1"/>
  <c r="D42" i="18"/>
  <c r="E42" i="18" s="1"/>
  <c r="F15" i="12" s="1"/>
  <c r="H40" i="18"/>
  <c r="I40" i="18" s="1"/>
  <c r="D40" i="18"/>
  <c r="E40" i="18" s="1"/>
  <c r="H39" i="18"/>
  <c r="I39" i="18" s="1"/>
  <c r="D39" i="18"/>
  <c r="E39" i="18" s="1"/>
  <c r="H38" i="18"/>
  <c r="I38" i="18" s="1"/>
  <c r="D38" i="18"/>
  <c r="E38" i="18" s="1"/>
  <c r="H37" i="18"/>
  <c r="I37" i="18" s="1"/>
  <c r="D37" i="18"/>
  <c r="E37" i="18" s="1"/>
  <c r="H36" i="18"/>
  <c r="I36" i="18" s="1"/>
  <c r="D36" i="18"/>
  <c r="E36" i="18" s="1"/>
  <c r="H35" i="18"/>
  <c r="I35" i="18" s="1"/>
  <c r="D35" i="18"/>
  <c r="E35" i="18" s="1"/>
  <c r="H34" i="18"/>
  <c r="I34" i="18" s="1"/>
  <c r="D34" i="18"/>
  <c r="E34" i="18" s="1"/>
  <c r="H33" i="18"/>
  <c r="I33" i="18" s="1"/>
  <c r="D33" i="18"/>
  <c r="E33" i="18" s="1"/>
  <c r="H32" i="18"/>
  <c r="I32" i="18" s="1"/>
  <c r="D32" i="18"/>
  <c r="E32" i="18" s="1"/>
  <c r="H31" i="18"/>
  <c r="I31" i="18" s="1"/>
  <c r="D31" i="18"/>
  <c r="E31" i="18" s="1"/>
  <c r="H30" i="18"/>
  <c r="I30" i="18" s="1"/>
  <c r="D30" i="18"/>
  <c r="E30" i="18" s="1"/>
  <c r="H29" i="18"/>
  <c r="I29" i="18" s="1"/>
  <c r="D29" i="18"/>
  <c r="E29" i="18" s="1"/>
  <c r="H28" i="18"/>
  <c r="I28" i="18" s="1"/>
  <c r="D28" i="18"/>
  <c r="E28" i="18" s="1"/>
  <c r="H27" i="18"/>
  <c r="I27" i="18" s="1"/>
  <c r="D27" i="18"/>
  <c r="E27" i="18" s="1"/>
  <c r="H26" i="18"/>
  <c r="I26" i="18" s="1"/>
  <c r="D26" i="18"/>
  <c r="E26" i="18" s="1"/>
  <c r="H25" i="18"/>
  <c r="I25" i="18" s="1"/>
  <c r="D25" i="18"/>
  <c r="E25" i="18" s="1"/>
  <c r="H24" i="18"/>
  <c r="I24" i="18" s="1"/>
  <c r="D24" i="18"/>
  <c r="E24" i="18" s="1"/>
  <c r="H23" i="18"/>
  <c r="I23" i="18" s="1"/>
  <c r="D23" i="18"/>
  <c r="E23" i="18" s="1"/>
  <c r="H22" i="18"/>
  <c r="I22" i="18" s="1"/>
  <c r="D22" i="18"/>
  <c r="E22" i="18" s="1"/>
  <c r="H21" i="18"/>
  <c r="I21" i="18" s="1"/>
  <c r="D21" i="18"/>
  <c r="E21" i="18" s="1"/>
  <c r="H20" i="18"/>
  <c r="I20" i="18" s="1"/>
  <c r="D20" i="18"/>
  <c r="E20" i="18" s="1"/>
  <c r="H19" i="18"/>
  <c r="I19" i="18" s="1"/>
  <c r="D19" i="18"/>
  <c r="E19" i="18" s="1"/>
  <c r="H18" i="18"/>
  <c r="I18" i="18" s="1"/>
  <c r="D18" i="18"/>
  <c r="E18" i="18"/>
  <c r="H17" i="18"/>
  <c r="I17" i="18" s="1"/>
  <c r="D17" i="18"/>
  <c r="E17" i="18" s="1"/>
  <c r="H16" i="18"/>
  <c r="I16" i="18" s="1"/>
  <c r="D16" i="18"/>
  <c r="E16" i="18" s="1"/>
  <c r="H15" i="18"/>
  <c r="I15" i="18" s="1"/>
  <c r="D15" i="18"/>
  <c r="E15" i="18" s="1"/>
  <c r="H14" i="18"/>
  <c r="I14" i="18" s="1"/>
  <c r="D14" i="18"/>
  <c r="E14" i="18" s="1"/>
  <c r="H13" i="18"/>
  <c r="I13" i="18" s="1"/>
  <c r="D13" i="18"/>
  <c r="E13" i="18" s="1"/>
  <c r="H12" i="18"/>
  <c r="I12" i="18" s="1"/>
  <c r="D12" i="18"/>
  <c r="E12" i="18" s="1"/>
  <c r="H11" i="18"/>
  <c r="I11" i="18" s="1"/>
  <c r="D11" i="18"/>
  <c r="E11" i="18" s="1"/>
  <c r="H10" i="18"/>
  <c r="I10" i="18" s="1"/>
  <c r="D10" i="18"/>
  <c r="E10" i="18" s="1"/>
  <c r="H8" i="18"/>
  <c r="I8" i="18" s="1"/>
  <c r="D8" i="18"/>
  <c r="E8" i="18" s="1"/>
  <c r="H7" i="18"/>
  <c r="I7" i="18" s="1"/>
  <c r="D7" i="18"/>
  <c r="E7" i="18" s="1"/>
  <c r="C16" i="5" s="1"/>
  <c r="C15" i="5" s="1"/>
  <c r="H6" i="18"/>
  <c r="I6" i="18" s="1"/>
  <c r="D6" i="18"/>
  <c r="E6" i="18" s="1"/>
  <c r="I77" i="18"/>
  <c r="B38" i="34"/>
  <c r="E38" i="34" s="1"/>
  <c r="B33" i="34"/>
  <c r="B62" i="34" s="1"/>
  <c r="B34" i="34"/>
  <c r="B97" i="34" s="1"/>
  <c r="B35" i="34"/>
  <c r="G35" i="34" s="1"/>
  <c r="B39" i="34"/>
  <c r="C39" i="34" s="1"/>
  <c r="B40" i="34"/>
  <c r="E40" i="34" s="1"/>
  <c r="C65" i="15"/>
  <c r="B32" i="15"/>
  <c r="B33" i="15"/>
  <c r="B42" i="14"/>
  <c r="B43" i="14"/>
  <c r="B25" i="15"/>
  <c r="B19" i="17"/>
  <c r="C19" i="17" s="1"/>
  <c r="F17" i="34"/>
  <c r="B30" i="15"/>
  <c r="A14" i="13"/>
  <c r="I76" i="18"/>
  <c r="C7" i="5"/>
  <c r="B14" i="24"/>
  <c r="B13" i="24"/>
  <c r="B134" i="6"/>
  <c r="F50" i="34"/>
  <c r="F49" i="34"/>
  <c r="F48" i="34"/>
  <c r="F40" i="34"/>
  <c r="F39" i="34"/>
  <c r="F35" i="34"/>
  <c r="F33" i="34"/>
  <c r="B50" i="34"/>
  <c r="B49" i="34"/>
  <c r="B48" i="34"/>
  <c r="C48" i="34" s="1"/>
  <c r="B47" i="34"/>
  <c r="H47" i="34" s="1"/>
  <c r="C136" i="15"/>
  <c r="E136" i="15"/>
  <c r="O4" i="8"/>
  <c r="O5" i="8"/>
  <c r="O6" i="8"/>
  <c r="O7" i="8"/>
  <c r="O8" i="8"/>
  <c r="O9" i="8"/>
  <c r="O10" i="8"/>
  <c r="O11" i="8"/>
  <c r="O12" i="8"/>
  <c r="O13" i="8"/>
  <c r="T7" i="18"/>
  <c r="U7" i="18"/>
  <c r="T8" i="18"/>
  <c r="U8" i="18"/>
  <c r="T9" i="18"/>
  <c r="U9" i="18"/>
  <c r="T12" i="18"/>
  <c r="U12" i="18"/>
  <c r="R13" i="18"/>
  <c r="T13" i="18" s="1"/>
  <c r="S13" i="18"/>
  <c r="U13" i="18" s="1"/>
  <c r="T14" i="18"/>
  <c r="U14" i="18"/>
  <c r="R16" i="18"/>
  <c r="T16" i="18" s="1"/>
  <c r="S16" i="18"/>
  <c r="U16" i="18" s="1"/>
  <c r="T17" i="18"/>
  <c r="U17" i="18"/>
  <c r="I82" i="18"/>
  <c r="I83" i="18"/>
  <c r="I84" i="18"/>
  <c r="Z701" i="11"/>
  <c r="AA531" i="11" s="1"/>
  <c r="AB531" i="11" s="1"/>
  <c r="AC531" i="11" s="1"/>
  <c r="AD531" i="11" s="1"/>
  <c r="AE531" i="11" s="1"/>
  <c r="AF531" i="11" s="1"/>
  <c r="AG531" i="11" s="1"/>
  <c r="AH531" i="11" s="1"/>
  <c r="AJ531" i="11"/>
  <c r="AK531" i="11" s="1"/>
  <c r="AL531" i="11" s="1"/>
  <c r="AM531" i="11" s="1"/>
  <c r="AN531" i="11" s="1"/>
  <c r="AO531" i="11" s="1"/>
  <c r="AP531" i="11" s="1"/>
  <c r="AQ531" i="11" s="1"/>
  <c r="AR531" i="11" s="1"/>
  <c r="AS531" i="11" s="1"/>
  <c r="AT531" i="11" s="1"/>
  <c r="AU531" i="11" s="1"/>
  <c r="AV531" i="11" s="1"/>
  <c r="AW531" i="11" s="1"/>
  <c r="AX531" i="11" s="1"/>
  <c r="AY531" i="11" s="1"/>
  <c r="AZ531" i="11" s="1"/>
  <c r="BA531" i="11" s="1"/>
  <c r="BB531" i="11" s="1"/>
  <c r="BC531" i="11" s="1"/>
  <c r="BD531" i="11" s="1"/>
  <c r="BE531" i="11" s="1"/>
  <c r="BF531" i="11" s="1"/>
  <c r="BG531" i="11" s="1"/>
  <c r="BH531" i="11" s="1"/>
  <c r="BI531" i="11" s="1"/>
  <c r="BJ531" i="11" s="1"/>
  <c r="BK531" i="11" s="1"/>
  <c r="BL531" i="11" s="1"/>
  <c r="BN531" i="11"/>
  <c r="BO531" i="11" s="1"/>
  <c r="BP531" i="11" s="1"/>
  <c r="BQ531" i="11" s="1"/>
  <c r="BR531" i="11" s="1"/>
  <c r="AX532" i="11"/>
  <c r="AJ532" i="11" s="1"/>
  <c r="AK532" i="11" s="1"/>
  <c r="AL532" i="11" s="1"/>
  <c r="AM532" i="11" s="1"/>
  <c r="AN532" i="11" s="1"/>
  <c r="AO532" i="11" s="1"/>
  <c r="AP532" i="11" s="1"/>
  <c r="AQ532" i="11" s="1"/>
  <c r="AR532" i="11" s="1"/>
  <c r="AS532" i="11" s="1"/>
  <c r="AT532" i="11" s="1"/>
  <c r="AU532" i="11" s="1"/>
  <c r="AV532" i="11" s="1"/>
  <c r="AW532" i="11" s="1"/>
  <c r="B704" i="11"/>
  <c r="C704" i="11"/>
  <c r="D704" i="11"/>
  <c r="E704" i="11"/>
  <c r="F704" i="11"/>
  <c r="G704" i="11"/>
  <c r="H704" i="11"/>
  <c r="I704" i="11"/>
  <c r="J704" i="11"/>
  <c r="K704" i="11"/>
  <c r="L704" i="11"/>
  <c r="M704" i="11"/>
  <c r="N704" i="11"/>
  <c r="O704" i="11"/>
  <c r="P704" i="11"/>
  <c r="Q704" i="11"/>
  <c r="R704" i="11"/>
  <c r="S704" i="11"/>
  <c r="T704" i="11"/>
  <c r="U704" i="11"/>
  <c r="V704" i="11"/>
  <c r="W704" i="11"/>
  <c r="X704" i="11"/>
  <c r="Y704" i="11"/>
  <c r="Z704" i="11"/>
  <c r="AA534" i="11"/>
  <c r="AB534" i="11"/>
  <c r="AC534" i="11"/>
  <c r="AD534" i="11"/>
  <c r="AE534" i="11"/>
  <c r="AF534" i="11"/>
  <c r="AG534" i="11"/>
  <c r="AH534" i="11"/>
  <c r="AI534" i="11"/>
  <c r="AJ534" i="11"/>
  <c r="AK534" i="11"/>
  <c r="AL534" i="11"/>
  <c r="AM534" i="11"/>
  <c r="AN534" i="11"/>
  <c r="AO534" i="11"/>
  <c r="AP534" i="11"/>
  <c r="AQ534" i="11"/>
  <c r="AR534" i="11"/>
  <c r="AS534" i="11"/>
  <c r="AT534" i="11"/>
  <c r="AU534" i="11"/>
  <c r="AV534" i="11"/>
  <c r="AW534" i="11"/>
  <c r="AX534" i="11"/>
  <c r="AY534" i="11"/>
  <c r="AZ534" i="11"/>
  <c r="BA534" i="11"/>
  <c r="BB534" i="11"/>
  <c r="BC534" i="11"/>
  <c r="BD534" i="11"/>
  <c r="BE534" i="11"/>
  <c r="BF534" i="11"/>
  <c r="BG534" i="11"/>
  <c r="BH534" i="11"/>
  <c r="BI534" i="11"/>
  <c r="BJ534" i="11"/>
  <c r="BK534" i="11"/>
  <c r="BL534" i="11"/>
  <c r="BM534" i="11"/>
  <c r="BN534" i="11"/>
  <c r="BO534" i="11"/>
  <c r="BP534" i="11"/>
  <c r="BQ534" i="11"/>
  <c r="BR534" i="11"/>
  <c r="E740" i="11"/>
  <c r="AI393" i="11" s="1"/>
  <c r="E741" i="11"/>
  <c r="E742" i="11"/>
  <c r="AI480" i="11" s="1"/>
  <c r="E743" i="11"/>
  <c r="E744" i="11"/>
  <c r="AI488" i="11" s="1"/>
  <c r="Z658" i="11" s="1"/>
  <c r="AA488" i="11" s="1"/>
  <c r="AB488" i="11" s="1"/>
  <c r="AC488" i="11" s="1"/>
  <c r="AD488" i="11" s="1"/>
  <c r="AE488" i="11" s="1"/>
  <c r="AF488" i="11" s="1"/>
  <c r="AG488" i="11" s="1"/>
  <c r="AH488" i="11" s="1"/>
  <c r="E745" i="11"/>
  <c r="AI254" i="11" s="1"/>
  <c r="E746" i="11"/>
  <c r="E747" i="11"/>
  <c r="AI266" i="11" s="1"/>
  <c r="B28" i="15"/>
  <c r="B29" i="15"/>
  <c r="B37" i="15"/>
  <c r="B40" i="15"/>
  <c r="B41" i="15"/>
  <c r="B42" i="15"/>
  <c r="B43" i="15"/>
  <c r="B44" i="15"/>
  <c r="B47" i="15"/>
  <c r="B48" i="15"/>
  <c r="H136" i="15"/>
  <c r="I136" i="15"/>
  <c r="C137" i="15"/>
  <c r="D137" i="15"/>
  <c r="E137" i="15"/>
  <c r="G137" i="15"/>
  <c r="H137" i="15"/>
  <c r="I137" i="15"/>
  <c r="K137" i="15"/>
  <c r="L137" i="15"/>
  <c r="M137" i="15"/>
  <c r="N137" i="15"/>
  <c r="C138" i="15"/>
  <c r="D138" i="15"/>
  <c r="E138" i="15"/>
  <c r="G138" i="15"/>
  <c r="H138" i="15"/>
  <c r="I138" i="15"/>
  <c r="K138" i="15"/>
  <c r="L138" i="15"/>
  <c r="M138" i="15"/>
  <c r="N138" i="15"/>
  <c r="R138" i="15"/>
  <c r="T138" i="15"/>
  <c r="U138" i="15"/>
  <c r="V138" i="15"/>
  <c r="B11" i="24"/>
  <c r="B15" i="17"/>
  <c r="F17" i="17"/>
  <c r="G17" i="17"/>
  <c r="D136" i="15"/>
  <c r="AC56" i="15"/>
  <c r="B138" i="15"/>
  <c r="D61" i="6"/>
  <c r="B186" i="15" l="1"/>
  <c r="Q65" i="15"/>
  <c r="B14" i="13"/>
  <c r="AI507" i="11"/>
  <c r="D54" i="119"/>
  <c r="D189" i="119"/>
  <c r="D191" i="119"/>
  <c r="G60" i="119"/>
  <c r="G189" i="119"/>
  <c r="G191" i="119"/>
  <c r="E56" i="119"/>
  <c r="E189" i="119"/>
  <c r="E249" i="119" s="1"/>
  <c r="E191" i="119"/>
  <c r="H6" i="119"/>
  <c r="C86" i="119" s="1"/>
  <c r="D86" i="119" s="1"/>
  <c r="F189" i="119"/>
  <c r="F191" i="119"/>
  <c r="I64" i="119"/>
  <c r="I189" i="119"/>
  <c r="I191" i="119"/>
  <c r="H62" i="119"/>
  <c r="H189" i="119"/>
  <c r="H191" i="119"/>
  <c r="C52" i="119"/>
  <c r="C189" i="119"/>
  <c r="C191" i="119"/>
  <c r="AI276" i="11"/>
  <c r="AX276" i="11" s="1"/>
  <c r="BM276" i="11" s="1"/>
  <c r="BR276" i="11" s="1"/>
  <c r="M17" i="12"/>
  <c r="AI494" i="11"/>
  <c r="AX494" i="11" s="1"/>
  <c r="BM494" i="11" s="1"/>
  <c r="BR494" i="11" s="1"/>
  <c r="AI380" i="11"/>
  <c r="AI277" i="11"/>
  <c r="AX277" i="11" s="1"/>
  <c r="BM277" i="11" s="1"/>
  <c r="BR277" i="11" s="1"/>
  <c r="D16" i="35"/>
  <c r="C13" i="24" s="1"/>
  <c r="G94" i="12"/>
  <c r="T15" i="18"/>
  <c r="AX480" i="11"/>
  <c r="BM480" i="11" s="1"/>
  <c r="BR480" i="11" s="1"/>
  <c r="Z650" i="11"/>
  <c r="AA480" i="11" s="1"/>
  <c r="AB480" i="11" s="1"/>
  <c r="AC480" i="11" s="1"/>
  <c r="AD480" i="11" s="1"/>
  <c r="AE480" i="11" s="1"/>
  <c r="AF480" i="11" s="1"/>
  <c r="AG480" i="11" s="1"/>
  <c r="AH480" i="11" s="1"/>
  <c r="G25" i="12"/>
  <c r="G91" i="12"/>
  <c r="G29" i="12"/>
  <c r="G92" i="12"/>
  <c r="G9" i="12"/>
  <c r="AI392" i="11"/>
  <c r="Z562" i="11" s="1"/>
  <c r="AA392" i="11" s="1"/>
  <c r="AB392" i="11" s="1"/>
  <c r="AC392" i="11" s="1"/>
  <c r="AD392" i="11" s="1"/>
  <c r="AE392" i="11" s="1"/>
  <c r="AF392" i="11" s="1"/>
  <c r="AG392" i="11" s="1"/>
  <c r="AH392" i="11" s="1"/>
  <c r="AI358" i="11"/>
  <c r="Z528" i="11" s="1"/>
  <c r="AA358" i="11" s="1"/>
  <c r="AB358" i="11" s="1"/>
  <c r="AC358" i="11" s="1"/>
  <c r="AD358" i="11" s="1"/>
  <c r="AE358" i="11" s="1"/>
  <c r="AF358" i="11" s="1"/>
  <c r="AG358" i="11" s="1"/>
  <c r="AH358" i="11" s="1"/>
  <c r="G64" i="12"/>
  <c r="F32" i="12"/>
  <c r="AI471" i="11"/>
  <c r="I85" i="18"/>
  <c r="AI369" i="11"/>
  <c r="AI472" i="11"/>
  <c r="F30" i="12"/>
  <c r="AI253" i="11"/>
  <c r="AI483" i="11"/>
  <c r="F49" i="11"/>
  <c r="F50" i="11" s="1"/>
  <c r="AI263" i="11"/>
  <c r="AX266" i="11"/>
  <c r="AJ266" i="11" s="1"/>
  <c r="AK266" i="11" s="1"/>
  <c r="AL266" i="11" s="1"/>
  <c r="AM266" i="11" s="1"/>
  <c r="AN266" i="11" s="1"/>
  <c r="AO266" i="11" s="1"/>
  <c r="AP266" i="11" s="1"/>
  <c r="AQ266" i="11" s="1"/>
  <c r="AR266" i="11" s="1"/>
  <c r="AS266" i="11" s="1"/>
  <c r="AT266" i="11" s="1"/>
  <c r="AU266" i="11" s="1"/>
  <c r="AV266" i="11" s="1"/>
  <c r="AW266" i="11" s="1"/>
  <c r="AE266" i="11"/>
  <c r="AF266" i="11" s="1"/>
  <c r="AG266" i="11" s="1"/>
  <c r="AH266" i="11" s="1"/>
  <c r="Z563" i="11"/>
  <c r="AA393" i="11" s="1"/>
  <c r="AB393" i="11" s="1"/>
  <c r="AC393" i="11" s="1"/>
  <c r="AD393" i="11" s="1"/>
  <c r="AE393" i="11" s="1"/>
  <c r="AF393" i="11" s="1"/>
  <c r="AG393" i="11" s="1"/>
  <c r="AH393" i="11" s="1"/>
  <c r="AX393" i="11"/>
  <c r="BM393" i="11" s="1"/>
  <c r="G97" i="12"/>
  <c r="G32" i="12"/>
  <c r="AJ32" i="12" s="1"/>
  <c r="G96" i="12"/>
  <c r="AE276" i="11"/>
  <c r="AF276" i="11" s="1"/>
  <c r="AG276" i="11" s="1"/>
  <c r="AH276" i="11" s="1"/>
  <c r="AQ34" i="12"/>
  <c r="G7" i="12"/>
  <c r="H38" i="34"/>
  <c r="B116" i="34"/>
  <c r="G49" i="11"/>
  <c r="G50" i="11" s="1"/>
  <c r="G10" i="12"/>
  <c r="D102" i="6"/>
  <c r="E102" i="6" s="1"/>
  <c r="E49" i="11"/>
  <c r="E50" i="11" s="1"/>
  <c r="G59" i="12"/>
  <c r="G8" i="12"/>
  <c r="G28" i="12"/>
  <c r="G27" i="12"/>
  <c r="G90" i="12"/>
  <c r="G93" i="12"/>
  <c r="BM532" i="11"/>
  <c r="AY532" i="11" s="1"/>
  <c r="AZ532" i="11" s="1"/>
  <c r="BA532" i="11" s="1"/>
  <c r="BB532" i="11" s="1"/>
  <c r="BC532" i="11" s="1"/>
  <c r="BD532" i="11" s="1"/>
  <c r="BE532" i="11" s="1"/>
  <c r="BF532" i="11" s="1"/>
  <c r="BG532" i="11" s="1"/>
  <c r="BH532" i="11" s="1"/>
  <c r="BI532" i="11" s="1"/>
  <c r="BJ532" i="11" s="1"/>
  <c r="BK532" i="11" s="1"/>
  <c r="BL532" i="11" s="1"/>
  <c r="U15" i="18"/>
  <c r="T13" i="12"/>
  <c r="AQ13" i="12"/>
  <c r="BV13" i="12"/>
  <c r="BW13" i="12" s="1"/>
  <c r="BX13" i="12" s="1"/>
  <c r="BY13" i="12" s="1"/>
  <c r="BZ13" i="12" s="1"/>
  <c r="CA13" i="12" s="1"/>
  <c r="CB13" i="12" s="1"/>
  <c r="CC13" i="12" s="1"/>
  <c r="CD13" i="12" s="1"/>
  <c r="CE13" i="12" s="1"/>
  <c r="CF13" i="12" s="1"/>
  <c r="CG13" i="12" s="1"/>
  <c r="CH13" i="12" s="1"/>
  <c r="CI13" i="12" s="1"/>
  <c r="CJ13" i="12" s="1"/>
  <c r="CK13" i="12" s="1"/>
  <c r="CL13" i="12" s="1"/>
  <c r="CM13" i="12" s="1"/>
  <c r="CN13" i="12" s="1"/>
  <c r="CO13" i="12" s="1"/>
  <c r="CP13" i="12" s="1"/>
  <c r="CQ13" i="12" s="1"/>
  <c r="CR13" i="12" s="1"/>
  <c r="CS13" i="12" s="1"/>
  <c r="CT13" i="12" s="1"/>
  <c r="CU13" i="12" s="1"/>
  <c r="CV13" i="12" s="1"/>
  <c r="CW13" i="12" s="1"/>
  <c r="CX13" i="12" s="1"/>
  <c r="CY13" i="12" s="1"/>
  <c r="CZ13" i="12" s="1"/>
  <c r="AW13" i="12"/>
  <c r="AC13" i="12"/>
  <c r="P13" i="12"/>
  <c r="BR13" i="12"/>
  <c r="R13" i="12"/>
  <c r="BC13" i="12"/>
  <c r="P12" i="12"/>
  <c r="Q13" i="12"/>
  <c r="AR5" i="19"/>
  <c r="AK13" i="12"/>
  <c r="BN13" i="12"/>
  <c r="BD13" i="12"/>
  <c r="AV13" i="12"/>
  <c r="AY13" i="12"/>
  <c r="AP13" i="12"/>
  <c r="BI13" i="12"/>
  <c r="AE13" i="12"/>
  <c r="AN13" i="12"/>
  <c r="BL12" i="12"/>
  <c r="AA13" i="12"/>
  <c r="BF13" i="12"/>
  <c r="BB13" i="12"/>
  <c r="BB4" i="19"/>
  <c r="I13" i="12"/>
  <c r="BS13" i="12"/>
  <c r="AJ13" i="12"/>
  <c r="X13" i="12"/>
  <c r="AI12" i="12"/>
  <c r="AM13" i="12"/>
  <c r="L12" i="12"/>
  <c r="AS13" i="12"/>
  <c r="AU13" i="12"/>
  <c r="BU13" i="12"/>
  <c r="AB13" i="12"/>
  <c r="AH5" i="19"/>
  <c r="BQ13" i="12"/>
  <c r="Z13" i="12"/>
  <c r="H13" i="12"/>
  <c r="AR13" i="12"/>
  <c r="M4" i="19"/>
  <c r="W13" i="12"/>
  <c r="BP12" i="12"/>
  <c r="K13" i="12"/>
  <c r="BO13" i="12"/>
  <c r="BH13" i="12"/>
  <c r="BA5" i="19"/>
  <c r="BJ13" i="12"/>
  <c r="J13" i="12"/>
  <c r="S13" i="12"/>
  <c r="BE13" i="12"/>
  <c r="AP66" i="12"/>
  <c r="AB5" i="19"/>
  <c r="O13" i="12"/>
  <c r="AG13" i="12"/>
  <c r="AH13" i="12"/>
  <c r="AT13" i="12"/>
  <c r="M13" i="12"/>
  <c r="BK13" i="12"/>
  <c r="V13" i="12"/>
  <c r="L13" i="12"/>
  <c r="Q5" i="19"/>
  <c r="AO13" i="12"/>
  <c r="O66" i="12"/>
  <c r="AT5" i="19"/>
  <c r="AI13" i="12"/>
  <c r="BC12" i="12"/>
  <c r="AF13" i="12"/>
  <c r="BP13" i="12"/>
  <c r="AD13" i="12"/>
  <c r="BA13" i="12"/>
  <c r="AX13" i="12"/>
  <c r="O30" i="12"/>
  <c r="Y13" i="12"/>
  <c r="BJ5" i="19"/>
  <c r="Z12" i="12"/>
  <c r="BG13" i="12"/>
  <c r="BL13" i="12"/>
  <c r="AZ13" i="12"/>
  <c r="N13" i="12"/>
  <c r="BT13" i="12"/>
  <c r="AL13" i="12"/>
  <c r="BM13" i="12"/>
  <c r="B101" i="34"/>
  <c r="BH94" i="12"/>
  <c r="AD17" i="12"/>
  <c r="Q98" i="12"/>
  <c r="AZ94" i="12"/>
  <c r="AM94" i="12"/>
  <c r="V17" i="12"/>
  <c r="AP94" i="12"/>
  <c r="AM98" i="12"/>
  <c r="BB98" i="12" s="1"/>
  <c r="BQ98" i="12" s="1"/>
  <c r="BP94" i="12"/>
  <c r="AB17" i="12"/>
  <c r="N17" i="12"/>
  <c r="U18" i="12"/>
  <c r="W17" i="12"/>
  <c r="R17" i="12"/>
  <c r="D159" i="6"/>
  <c r="P5" i="19"/>
  <c r="AA94" i="12"/>
  <c r="AP34" i="12"/>
  <c r="AJ98" i="12"/>
  <c r="AR94" i="12"/>
  <c r="AE34" i="12"/>
  <c r="AE98" i="12"/>
  <c r="AT94" i="12"/>
  <c r="BD94" i="12"/>
  <c r="AU94" i="12"/>
  <c r="AI94" i="12"/>
  <c r="AS94" i="12"/>
  <c r="T98" i="12"/>
  <c r="N18" i="12"/>
  <c r="D93" i="6"/>
  <c r="S94" i="12"/>
  <c r="AQ98" i="12"/>
  <c r="P66" i="12"/>
  <c r="AC34" i="12"/>
  <c r="BM94" i="12"/>
  <c r="V98" i="12"/>
  <c r="K18" i="12"/>
  <c r="AK94" i="12"/>
  <c r="AH68" i="12"/>
  <c r="U94" i="12"/>
  <c r="O94" i="12"/>
  <c r="BC94" i="12"/>
  <c r="AG94" i="12"/>
  <c r="BJ94" i="12"/>
  <c r="Y98" i="12"/>
  <c r="R98" i="12"/>
  <c r="P98" i="12"/>
  <c r="AN94" i="12"/>
  <c r="BS94" i="12"/>
  <c r="R18" i="12"/>
  <c r="AI68" i="12"/>
  <c r="AC94" i="12"/>
  <c r="P94" i="12"/>
  <c r="BK94" i="12"/>
  <c r="AW94" i="12"/>
  <c r="AB98" i="12"/>
  <c r="AR98" i="12"/>
  <c r="Z98" i="12"/>
  <c r="X98" i="12"/>
  <c r="AE12" i="12"/>
  <c r="AR68" i="12"/>
  <c r="AV94" i="12"/>
  <c r="BO94" i="12"/>
  <c r="BQ94" i="12"/>
  <c r="T94" i="12"/>
  <c r="AB18" i="12"/>
  <c r="AY94" i="12"/>
  <c r="V94" i="12"/>
  <c r="AH98" i="12"/>
  <c r="R94" i="12"/>
  <c r="BG94" i="12"/>
  <c r="AQ94" i="12"/>
  <c r="Y94" i="12"/>
  <c r="AL98" i="12"/>
  <c r="Q94" i="12"/>
  <c r="AG99" i="12"/>
  <c r="S98" i="12"/>
  <c r="AL94" i="12"/>
  <c r="W94" i="12"/>
  <c r="BU94" i="12"/>
  <c r="AO94" i="12"/>
  <c r="AG98" i="12"/>
  <c r="U98" i="12"/>
  <c r="O98" i="12"/>
  <c r="AB12" i="12"/>
  <c r="AG12" i="12"/>
  <c r="BV12" i="12"/>
  <c r="BW12" i="12" s="1"/>
  <c r="BX12" i="12" s="1"/>
  <c r="BY12" i="12" s="1"/>
  <c r="BZ12" i="12" s="1"/>
  <c r="CA12" i="12" s="1"/>
  <c r="CB12" i="12" s="1"/>
  <c r="CC12" i="12" s="1"/>
  <c r="CD12" i="12" s="1"/>
  <c r="CE12" i="12" s="1"/>
  <c r="CF12" i="12" s="1"/>
  <c r="CG12" i="12" s="1"/>
  <c r="CH12" i="12" s="1"/>
  <c r="CI12" i="12" s="1"/>
  <c r="CJ12" i="12" s="1"/>
  <c r="CK12" i="12" s="1"/>
  <c r="CL12" i="12" s="1"/>
  <c r="CM12" i="12" s="1"/>
  <c r="CN12" i="12" s="1"/>
  <c r="CO12" i="12" s="1"/>
  <c r="CP12" i="12" s="1"/>
  <c r="CQ12" i="12" s="1"/>
  <c r="CR12" i="12" s="1"/>
  <c r="CS12" i="12" s="1"/>
  <c r="CT12" i="12" s="1"/>
  <c r="CU12" i="12" s="1"/>
  <c r="CV12" i="12" s="1"/>
  <c r="CW12" i="12" s="1"/>
  <c r="CX12" i="12" s="1"/>
  <c r="CY12" i="12" s="1"/>
  <c r="CZ12" i="12" s="1"/>
  <c r="Z94" i="12"/>
  <c r="AE29" i="12"/>
  <c r="AP68" i="12"/>
  <c r="BQ29" i="12"/>
  <c r="BB94" i="12"/>
  <c r="BF94" i="12"/>
  <c r="AO98" i="12"/>
  <c r="AA98" i="12"/>
  <c r="AF98" i="12"/>
  <c r="AD94" i="12"/>
  <c r="BA94" i="12"/>
  <c r="AT29" i="12"/>
  <c r="AH94" i="12"/>
  <c r="BT94" i="12"/>
  <c r="AD98" i="12"/>
  <c r="AP98" i="12"/>
  <c r="AN98" i="12"/>
  <c r="BN94" i="12"/>
  <c r="AE94" i="12"/>
  <c r="AJ94" i="12"/>
  <c r="AF94" i="12"/>
  <c r="BI94" i="12"/>
  <c r="AC98" i="12"/>
  <c r="AI98" i="12"/>
  <c r="W98" i="12"/>
  <c r="BH12" i="12"/>
  <c r="BL94" i="12"/>
  <c r="AP12" i="12"/>
  <c r="U14" i="12"/>
  <c r="AY276" i="11"/>
  <c r="AZ276" i="11" s="1"/>
  <c r="BA276" i="11" s="1"/>
  <c r="BB276" i="11" s="1"/>
  <c r="BC276" i="11" s="1"/>
  <c r="BD276" i="11" s="1"/>
  <c r="BE276" i="11" s="1"/>
  <c r="BF276" i="11" s="1"/>
  <c r="BG276" i="11" s="1"/>
  <c r="BH276" i="11" s="1"/>
  <c r="BI276" i="11" s="1"/>
  <c r="BJ276" i="11" s="1"/>
  <c r="BK276" i="11" s="1"/>
  <c r="BL276" i="11" s="1"/>
  <c r="U95" i="12"/>
  <c r="AJ95" i="12"/>
  <c r="AB95" i="12"/>
  <c r="AA95" i="12"/>
  <c r="F28" i="12"/>
  <c r="F61" i="12"/>
  <c r="F92" i="12"/>
  <c r="F89" i="12"/>
  <c r="F11" i="12"/>
  <c r="F26" i="12"/>
  <c r="F10" i="12"/>
  <c r="F7" i="12"/>
  <c r="F27" i="12"/>
  <c r="F63" i="12"/>
  <c r="F29" i="12"/>
  <c r="F91" i="12"/>
  <c r="F60" i="12"/>
  <c r="F62" i="12"/>
  <c r="F25" i="12"/>
  <c r="F93" i="12"/>
  <c r="F8" i="12"/>
  <c r="F59" i="12"/>
  <c r="F9" i="12"/>
  <c r="AP2" i="19"/>
  <c r="AA2" i="19"/>
  <c r="BT2" i="19"/>
  <c r="Y95" i="12"/>
  <c r="BN276" i="11"/>
  <c r="BO276" i="11" s="1"/>
  <c r="BP276" i="11" s="1"/>
  <c r="BQ276" i="11" s="1"/>
  <c r="BF64" i="12"/>
  <c r="AC64" i="12"/>
  <c r="AO64" i="12"/>
  <c r="E44" i="34"/>
  <c r="C44" i="34"/>
  <c r="AB31" i="12"/>
  <c r="BH31" i="12"/>
  <c r="BU31" i="12"/>
  <c r="BR31" i="12"/>
  <c r="F90" i="12"/>
  <c r="I79" i="18"/>
  <c r="I81" i="18"/>
  <c r="I80" i="18"/>
  <c r="AX392" i="11"/>
  <c r="S33" i="12"/>
  <c r="AA33" i="12"/>
  <c r="AK33" i="12"/>
  <c r="AC33" i="12"/>
  <c r="AY480" i="11"/>
  <c r="AZ480" i="11" s="1"/>
  <c r="BA480" i="11" s="1"/>
  <c r="BB480" i="11" s="1"/>
  <c r="BC480" i="11" s="1"/>
  <c r="BD480" i="11" s="1"/>
  <c r="BE480" i="11" s="1"/>
  <c r="BF480" i="11" s="1"/>
  <c r="BG480" i="11" s="1"/>
  <c r="BH480" i="11" s="1"/>
  <c r="BI480" i="11" s="1"/>
  <c r="BJ480" i="11" s="1"/>
  <c r="BK480" i="11" s="1"/>
  <c r="BL480" i="11" s="1"/>
  <c r="AA100" i="12"/>
  <c r="Z677" i="11"/>
  <c r="AA507" i="11" s="1"/>
  <c r="AB507" i="11" s="1"/>
  <c r="AC507" i="11" s="1"/>
  <c r="AD507" i="11" s="1"/>
  <c r="AE507" i="11" s="1"/>
  <c r="AF507" i="11" s="1"/>
  <c r="AG507" i="11" s="1"/>
  <c r="AH507" i="11" s="1"/>
  <c r="AX507" i="11"/>
  <c r="AX488" i="11"/>
  <c r="AE254" i="11"/>
  <c r="AF254" i="11" s="1"/>
  <c r="AG254" i="11" s="1"/>
  <c r="AH254" i="11" s="1"/>
  <c r="AX254" i="11"/>
  <c r="AJ254" i="11" s="1"/>
  <c r="AK254" i="11" s="1"/>
  <c r="AL254" i="11" s="1"/>
  <c r="AM254" i="11" s="1"/>
  <c r="AN254" i="11" s="1"/>
  <c r="AO254" i="11" s="1"/>
  <c r="AP254" i="11" s="1"/>
  <c r="AQ254" i="11" s="1"/>
  <c r="AR254" i="11" s="1"/>
  <c r="AS254" i="11" s="1"/>
  <c r="AT254" i="11" s="1"/>
  <c r="AU254" i="11" s="1"/>
  <c r="AV254" i="11" s="1"/>
  <c r="AW254" i="11" s="1"/>
  <c r="AB67" i="12"/>
  <c r="AI67" i="12"/>
  <c r="AF67" i="12"/>
  <c r="AL67" i="12"/>
  <c r="X67" i="12"/>
  <c r="Z67" i="12"/>
  <c r="C66" i="6"/>
  <c r="X18" i="12"/>
  <c r="I18" i="12"/>
  <c r="O18" i="12"/>
  <c r="T18" i="12"/>
  <c r="AF18" i="12"/>
  <c r="W18" i="12"/>
  <c r="AG18" i="12"/>
  <c r="M18" i="12"/>
  <c r="S18" i="12"/>
  <c r="H18" i="12"/>
  <c r="AH18" i="12"/>
  <c r="BB18" i="12" s="1"/>
  <c r="BQ18" i="12" s="1"/>
  <c r="BV18" i="12" s="1"/>
  <c r="V18" i="12"/>
  <c r="J18" i="12"/>
  <c r="Z18" i="12"/>
  <c r="Q18" i="12"/>
  <c r="P18" i="12"/>
  <c r="AD18" i="12"/>
  <c r="AQ67" i="12"/>
  <c r="Y18" i="12"/>
  <c r="Z550" i="11"/>
  <c r="AA380" i="11" s="1"/>
  <c r="AB380" i="11" s="1"/>
  <c r="AC380" i="11" s="1"/>
  <c r="AD380" i="11" s="1"/>
  <c r="AE380" i="11" s="1"/>
  <c r="AF380" i="11" s="1"/>
  <c r="AG380" i="11" s="1"/>
  <c r="AH380" i="11" s="1"/>
  <c r="AX380" i="11"/>
  <c r="F65" i="12"/>
  <c r="F97" i="12"/>
  <c r="AG97" i="12" s="1"/>
  <c r="F96" i="12"/>
  <c r="AJ6" i="19"/>
  <c r="BN6" i="19"/>
  <c r="F6" i="19"/>
  <c r="AR6" i="19"/>
  <c r="U6" i="19"/>
  <c r="BG6" i="19"/>
  <c r="P6" i="19"/>
  <c r="BP6" i="19"/>
  <c r="AI6" i="19"/>
  <c r="AE6" i="19"/>
  <c r="O6" i="19"/>
  <c r="AC18" i="12"/>
  <c r="AI267" i="11"/>
  <c r="AI269" i="11"/>
  <c r="AI376" i="11"/>
  <c r="AI490" i="11"/>
  <c r="AI374" i="11"/>
  <c r="D50" i="34"/>
  <c r="G50" i="34"/>
  <c r="F64" i="12"/>
  <c r="F12" i="12"/>
  <c r="F13" i="12"/>
  <c r="I86" i="18"/>
  <c r="B63" i="34"/>
  <c r="AI259" i="11"/>
  <c r="AI357" i="11"/>
  <c r="AI506" i="11"/>
  <c r="AI366" i="11"/>
  <c r="G89" i="12"/>
  <c r="G26" i="12"/>
  <c r="G60" i="12"/>
  <c r="G63" i="12"/>
  <c r="G62" i="12"/>
  <c r="G11" i="12"/>
  <c r="G61" i="12"/>
  <c r="G15" i="12"/>
  <c r="AH15" i="12" s="1"/>
  <c r="BB15" i="12" s="1"/>
  <c r="G65" i="12"/>
  <c r="B137" i="15"/>
  <c r="G30" i="12"/>
  <c r="G12" i="12"/>
  <c r="B281" i="15"/>
  <c r="B282" i="15"/>
  <c r="R95" i="12"/>
  <c r="AD95" i="12"/>
  <c r="BQ31" i="12"/>
  <c r="AG31" i="12"/>
  <c r="W31" i="12"/>
  <c r="B20" i="17"/>
  <c r="B21" i="17" s="1"/>
  <c r="B22" i="17" s="1"/>
  <c r="AO6" i="19"/>
  <c r="T95" i="12"/>
  <c r="AI31" i="12"/>
  <c r="AM95" i="12"/>
  <c r="BB95" i="12" s="1"/>
  <c r="BQ95" i="12" s="1"/>
  <c r="BV95" i="12" s="1"/>
  <c r="BW95" i="12" s="1"/>
  <c r="BX95" i="12" s="1"/>
  <c r="BY95" i="12" s="1"/>
  <c r="BZ95" i="12" s="1"/>
  <c r="CA95" i="12" s="1"/>
  <c r="CB95" i="12" s="1"/>
  <c r="CC95" i="12" s="1"/>
  <c r="CD95" i="12" s="1"/>
  <c r="CE95" i="12" s="1"/>
  <c r="CF95" i="12" s="1"/>
  <c r="CG95" i="12" s="1"/>
  <c r="CH95" i="12" s="1"/>
  <c r="CI95" i="12" s="1"/>
  <c r="CJ95" i="12" s="1"/>
  <c r="CK95" i="12" s="1"/>
  <c r="CL95" i="12" s="1"/>
  <c r="CM95" i="12" s="1"/>
  <c r="CN95" i="12" s="1"/>
  <c r="CO95" i="12" s="1"/>
  <c r="CP95" i="12" s="1"/>
  <c r="CQ95" i="12" s="1"/>
  <c r="CR95" i="12" s="1"/>
  <c r="CS95" i="12" s="1"/>
  <c r="CT95" i="12" s="1"/>
  <c r="CU95" i="12" s="1"/>
  <c r="CV95" i="12" s="1"/>
  <c r="CW95" i="12" s="1"/>
  <c r="CX95" i="12" s="1"/>
  <c r="CY95" i="12" s="1"/>
  <c r="CZ95" i="12" s="1"/>
  <c r="U63" i="12"/>
  <c r="AR66" i="12"/>
  <c r="AP95" i="12"/>
  <c r="AG95" i="12"/>
  <c r="O2" i="19"/>
  <c r="AZ31" i="12"/>
  <c r="X31" i="12"/>
  <c r="AL31" i="12"/>
  <c r="BB31" i="12"/>
  <c r="BI31" i="12"/>
  <c r="AQ95" i="12"/>
  <c r="AE31" i="12"/>
  <c r="W95" i="12"/>
  <c r="AN95" i="12"/>
  <c r="BE2" i="19"/>
  <c r="K2" i="19"/>
  <c r="AM93" i="12"/>
  <c r="Y31" i="12"/>
  <c r="BA8" i="19"/>
  <c r="BT31" i="12"/>
  <c r="AO95" i="12"/>
  <c r="BV31" i="12"/>
  <c r="BW31" i="12" s="1"/>
  <c r="BX31" i="12" s="1"/>
  <c r="BY31" i="12" s="1"/>
  <c r="BZ31" i="12" s="1"/>
  <c r="CA31" i="12" s="1"/>
  <c r="CB31" i="12" s="1"/>
  <c r="CC31" i="12" s="1"/>
  <c r="CD31" i="12" s="1"/>
  <c r="CE31" i="12" s="1"/>
  <c r="CF31" i="12" s="1"/>
  <c r="CG31" i="12" s="1"/>
  <c r="CH31" i="12" s="1"/>
  <c r="CI31" i="12" s="1"/>
  <c r="CJ31" i="12" s="1"/>
  <c r="CK31" i="12" s="1"/>
  <c r="CL31" i="12" s="1"/>
  <c r="CM31" i="12" s="1"/>
  <c r="CN31" i="12" s="1"/>
  <c r="CO31" i="12" s="1"/>
  <c r="CP31" i="12" s="1"/>
  <c r="CQ31" i="12" s="1"/>
  <c r="CR31" i="12" s="1"/>
  <c r="CS31" i="12" s="1"/>
  <c r="CT31" i="12" s="1"/>
  <c r="CU31" i="12" s="1"/>
  <c r="CV31" i="12" s="1"/>
  <c r="CW31" i="12" s="1"/>
  <c r="CX31" i="12" s="1"/>
  <c r="CY31" i="12" s="1"/>
  <c r="CZ31" i="12" s="1"/>
  <c r="P2" i="19"/>
  <c r="BK63" i="12"/>
  <c r="BU8" i="19"/>
  <c r="P95" i="12"/>
  <c r="AD63" i="12"/>
  <c r="N31" i="12"/>
  <c r="AU7" i="19"/>
  <c r="AA30" i="12"/>
  <c r="AD66" i="12"/>
  <c r="AN66" i="12"/>
  <c r="AC67" i="12"/>
  <c r="BQ30" i="12"/>
  <c r="AM66" i="12"/>
  <c r="BB66" i="12" s="1"/>
  <c r="BQ66" i="12" s="1"/>
  <c r="AL68" i="12"/>
  <c r="S34" i="12"/>
  <c r="P67" i="12"/>
  <c r="Y67" i="12"/>
  <c r="AB66" i="12"/>
  <c r="Z7" i="19"/>
  <c r="G7" i="19"/>
  <c r="Q7" i="19"/>
  <c r="M6" i="19"/>
  <c r="BV6" i="19"/>
  <c r="BW6" i="19" s="1"/>
  <c r="BX6" i="19" s="1"/>
  <c r="BY6" i="19" s="1"/>
  <c r="BZ6" i="19" s="1"/>
  <c r="CA6" i="19" s="1"/>
  <c r="CB6" i="19" s="1"/>
  <c r="CC6" i="19" s="1"/>
  <c r="CD6" i="19" s="1"/>
  <c r="CE6" i="19" s="1"/>
  <c r="CF6" i="19" s="1"/>
  <c r="CG6" i="19" s="1"/>
  <c r="CH6" i="19" s="1"/>
  <c r="CI6" i="19" s="1"/>
  <c r="CJ6" i="19" s="1"/>
  <c r="CK6" i="19" s="1"/>
  <c r="CL6" i="19" s="1"/>
  <c r="CM6" i="19" s="1"/>
  <c r="CN6" i="19" s="1"/>
  <c r="CO6" i="19" s="1"/>
  <c r="CP6" i="19" s="1"/>
  <c r="CQ6" i="19" s="1"/>
  <c r="CR6" i="19" s="1"/>
  <c r="CS6" i="19" s="1"/>
  <c r="CT6" i="19" s="1"/>
  <c r="CU6" i="19" s="1"/>
  <c r="CV6" i="19" s="1"/>
  <c r="CW6" i="19" s="1"/>
  <c r="CX6" i="19" s="1"/>
  <c r="CY6" i="19" s="1"/>
  <c r="CZ6" i="19" s="1"/>
  <c r="P8" i="19"/>
  <c r="AL66" i="12"/>
  <c r="AB6" i="19"/>
  <c r="E6" i="19"/>
  <c r="D25" i="35"/>
  <c r="C22" i="24" s="1"/>
  <c r="H22" i="24" s="1"/>
  <c r="BT93" i="12"/>
  <c r="AG67" i="12"/>
  <c r="Q33" i="12"/>
  <c r="Y66" i="12"/>
  <c r="R66" i="12"/>
  <c r="AH34" i="12"/>
  <c r="AA34" i="12"/>
  <c r="W67" i="12"/>
  <c r="AR67" i="12"/>
  <c r="AJ66" i="12"/>
  <c r="AI66" i="12"/>
  <c r="AD67" i="12"/>
  <c r="V7" i="19"/>
  <c r="AQ6" i="19"/>
  <c r="AD6" i="19"/>
  <c r="K8" i="19"/>
  <c r="F8" i="19"/>
  <c r="X68" i="12"/>
  <c r="BO6" i="19"/>
  <c r="BM6" i="19"/>
  <c r="BR30" i="12"/>
  <c r="BE6" i="19"/>
  <c r="J8" i="19"/>
  <c r="BJ8" i="19"/>
  <c r="BN7" i="19"/>
  <c r="AQ7" i="19"/>
  <c r="BP7" i="19"/>
  <c r="AG66" i="12"/>
  <c r="Z66" i="12"/>
  <c r="Y34" i="12"/>
  <c r="AI34" i="12"/>
  <c r="U67" i="12"/>
  <c r="AJ67" i="12"/>
  <c r="R67" i="12"/>
  <c r="U66" i="12"/>
  <c r="AK66" i="12"/>
  <c r="D17" i="35"/>
  <c r="F17" i="35" s="1"/>
  <c r="BF6" i="19"/>
  <c r="BD6" i="19"/>
  <c r="S7" i="19"/>
  <c r="AG8" i="19"/>
  <c r="AZ8" i="19"/>
  <c r="AS8" i="19"/>
  <c r="AH30" i="12"/>
  <c r="T6" i="19"/>
  <c r="AE65" i="15"/>
  <c r="K186" i="15"/>
  <c r="C186" i="15"/>
  <c r="J186" i="15"/>
  <c r="I186" i="15"/>
  <c r="H186" i="15"/>
  <c r="N186" i="15"/>
  <c r="F186" i="15"/>
  <c r="L186" i="15"/>
  <c r="D186" i="15"/>
  <c r="G186" i="15"/>
  <c r="M186" i="15"/>
  <c r="E186" i="15"/>
  <c r="W66" i="12"/>
  <c r="AE66" i="12"/>
  <c r="AK67" i="12"/>
  <c r="E8" i="19"/>
  <c r="AO66" i="12"/>
  <c r="AH66" i="12"/>
  <c r="Y99" i="12"/>
  <c r="AG34" i="12"/>
  <c r="AJ34" i="12"/>
  <c r="AH67" i="12"/>
  <c r="X66" i="12"/>
  <c r="V6" i="19"/>
  <c r="Z6" i="19"/>
  <c r="X8" i="19"/>
  <c r="D87" i="119"/>
  <c r="D90" i="119"/>
  <c r="B32" i="34"/>
  <c r="E32" i="34" s="1"/>
  <c r="D40" i="34"/>
  <c r="P138" i="15"/>
  <c r="H34" i="34"/>
  <c r="G34" i="34"/>
  <c r="Q138" i="15"/>
  <c r="B68" i="34"/>
  <c r="C68" i="34" s="1"/>
  <c r="G39" i="34"/>
  <c r="H39" i="34"/>
  <c r="B102" i="34"/>
  <c r="E102" i="34" s="1"/>
  <c r="E39" i="34"/>
  <c r="B117" i="34"/>
  <c r="D39" i="34"/>
  <c r="H35" i="34"/>
  <c r="E47" i="34"/>
  <c r="B67" i="34"/>
  <c r="G38" i="34"/>
  <c r="G47" i="34"/>
  <c r="B98" i="34"/>
  <c r="B64" i="34"/>
  <c r="BL29" i="12"/>
  <c r="AO29" i="12"/>
  <c r="R29" i="12"/>
  <c r="Q29" i="12"/>
  <c r="AK29" i="12"/>
  <c r="AJ29" i="12"/>
  <c r="AQ29" i="12"/>
  <c r="AP29" i="12"/>
  <c r="S29" i="12"/>
  <c r="BN29" i="12"/>
  <c r="AB68" i="12"/>
  <c r="T68" i="12"/>
  <c r="N68" i="12"/>
  <c r="AC68" i="12"/>
  <c r="AG68" i="12"/>
  <c r="W68" i="12"/>
  <c r="AD68" i="12"/>
  <c r="Q68" i="12"/>
  <c r="AF68" i="12"/>
  <c r="AK30" i="12"/>
  <c r="AI30" i="12"/>
  <c r="BP30" i="12"/>
  <c r="BA30" i="12"/>
  <c r="Z30" i="12"/>
  <c r="BU30" i="12"/>
  <c r="AN30" i="12"/>
  <c r="BE30" i="12"/>
  <c r="V30" i="12"/>
  <c r="BL30" i="12"/>
  <c r="T30" i="12"/>
  <c r="Q30" i="12"/>
  <c r="BN30" i="12"/>
  <c r="AF30" i="12"/>
  <c r="AW30" i="12"/>
  <c r="X30" i="12"/>
  <c r="AE30" i="12"/>
  <c r="P30" i="12"/>
  <c r="AW7" i="19"/>
  <c r="H7" i="19"/>
  <c r="AB7" i="19"/>
  <c r="AA7" i="19"/>
  <c r="W7" i="19"/>
  <c r="AP7" i="19"/>
  <c r="AO7" i="19"/>
  <c r="AI7" i="19"/>
  <c r="BC7" i="19"/>
  <c r="I7" i="19"/>
  <c r="BH7" i="19"/>
  <c r="AT7" i="19"/>
  <c r="L7" i="19"/>
  <c r="BE7" i="19"/>
  <c r="AC7" i="19"/>
  <c r="AD7" i="19"/>
  <c r="BS7" i="19"/>
  <c r="BK7" i="19"/>
  <c r="AX7" i="19"/>
  <c r="BB7" i="19"/>
  <c r="AN7" i="19"/>
  <c r="BQ7" i="19"/>
  <c r="P7" i="19"/>
  <c r="X7" i="19"/>
  <c r="BQ14" i="12"/>
  <c r="BL14" i="12"/>
  <c r="BB14" i="12"/>
  <c r="BJ14" i="12"/>
  <c r="M14" i="12"/>
  <c r="S68" i="12"/>
  <c r="BT7" i="19"/>
  <c r="O29" i="12"/>
  <c r="Y30" i="12"/>
  <c r="W100" i="12"/>
  <c r="S100" i="12"/>
  <c r="U100" i="12"/>
  <c r="AL28" i="12"/>
  <c r="V68" i="12"/>
  <c r="AO68" i="12"/>
  <c r="AK14" i="12"/>
  <c r="U7" i="19"/>
  <c r="BO30" i="12"/>
  <c r="AC11" i="12"/>
  <c r="V11" i="12"/>
  <c r="O68" i="12"/>
  <c r="E7" i="19"/>
  <c r="R68" i="12"/>
  <c r="BK30" i="12"/>
  <c r="AO30" i="12"/>
  <c r="AA63" i="12"/>
  <c r="V63" i="12"/>
  <c r="BD63" i="12"/>
  <c r="AV63" i="12"/>
  <c r="AJ63" i="12"/>
  <c r="BM63" i="12"/>
  <c r="AN64" i="12"/>
  <c r="AB64" i="12"/>
  <c r="BE64" i="12"/>
  <c r="F4" i="19"/>
  <c r="AU4" i="19"/>
  <c r="AW4" i="19"/>
  <c r="BM4" i="19"/>
  <c r="BA4" i="19"/>
  <c r="AC4" i="19"/>
  <c r="AV4" i="19"/>
  <c r="BC4" i="19"/>
  <c r="S16" i="12"/>
  <c r="V16" i="12"/>
  <c r="L16" i="12"/>
  <c r="X16" i="12"/>
  <c r="T16" i="12"/>
  <c r="B37" i="34"/>
  <c r="B100" i="34" s="1"/>
  <c r="F137" i="15"/>
  <c r="F138" i="15"/>
  <c r="Q16" i="12"/>
  <c r="AD29" i="12"/>
  <c r="BB30" i="12"/>
  <c r="D35" i="35"/>
  <c r="F35" i="35" s="1"/>
  <c r="D27" i="35"/>
  <c r="C24" i="24" s="1"/>
  <c r="H24" i="24" s="1"/>
  <c r="D21" i="35"/>
  <c r="D32" i="35"/>
  <c r="F32" i="35" s="1"/>
  <c r="D19" i="35"/>
  <c r="AJ68" i="12"/>
  <c r="D94" i="6"/>
  <c r="E94" i="6" s="1"/>
  <c r="A49" i="14"/>
  <c r="B49" i="14" s="1"/>
  <c r="E49" i="14" s="1"/>
  <c r="AM68" i="12"/>
  <c r="BB68" i="12" s="1"/>
  <c r="O7" i="19"/>
  <c r="BM7" i="19"/>
  <c r="R7" i="19"/>
  <c r="BF30" i="12"/>
  <c r="BH30" i="12"/>
  <c r="AF12" i="12"/>
  <c r="AE17" i="12"/>
  <c r="Z17" i="12"/>
  <c r="Y6" i="19"/>
  <c r="AF6" i="19"/>
  <c r="BB6" i="19"/>
  <c r="BQ6" i="19"/>
  <c r="BG12" i="12"/>
  <c r="AM6" i="19"/>
  <c r="K12" i="12"/>
  <c r="N12" i="12"/>
  <c r="AC6" i="19"/>
  <c r="BA6" i="19"/>
  <c r="AN6" i="19"/>
  <c r="BK6" i="19"/>
  <c r="Q12" i="12"/>
  <c r="AP6" i="19"/>
  <c r="N6" i="19"/>
  <c r="AU12" i="12"/>
  <c r="BK12" i="12"/>
  <c r="H6" i="19"/>
  <c r="BL6" i="19"/>
  <c r="BT6" i="19"/>
  <c r="AT6" i="19"/>
  <c r="Q6" i="19"/>
  <c r="AV6" i="19"/>
  <c r="BE12" i="12"/>
  <c r="B112" i="34"/>
  <c r="E34" i="34"/>
  <c r="AF14" i="12"/>
  <c r="AU14" i="12"/>
  <c r="AT14" i="12"/>
  <c r="AM14" i="12"/>
  <c r="AX14" i="12"/>
  <c r="W14" i="12"/>
  <c r="AC14" i="12"/>
  <c r="BK14" i="12"/>
  <c r="Y14" i="12"/>
  <c r="AW14" i="12"/>
  <c r="BT14" i="12"/>
  <c r="Z14" i="12"/>
  <c r="BG14" i="12"/>
  <c r="BI14" i="12"/>
  <c r="L14" i="12"/>
  <c r="BE14" i="12"/>
  <c r="AH14" i="12"/>
  <c r="AP14" i="12"/>
  <c r="BA14" i="12"/>
  <c r="AI14" i="12"/>
  <c r="K14" i="12"/>
  <c r="N14" i="12"/>
  <c r="BM14" i="12"/>
  <c r="BN14" i="12"/>
  <c r="BH14" i="12"/>
  <c r="BC14" i="12"/>
  <c r="AS14" i="12"/>
  <c r="AY14" i="12"/>
  <c r="AG14" i="12"/>
  <c r="J14" i="12"/>
  <c r="V14" i="12"/>
  <c r="I14" i="12"/>
  <c r="BP14" i="12"/>
  <c r="H14" i="12"/>
  <c r="BR14" i="12"/>
  <c r="AN14" i="12"/>
  <c r="AK11" i="12"/>
  <c r="AQ64" i="12"/>
  <c r="AV14" i="12"/>
  <c r="AW11" i="12"/>
  <c r="AE14" i="12"/>
  <c r="BP64" i="12"/>
  <c r="AO33" i="12"/>
  <c r="U33" i="12"/>
  <c r="AJ33" i="12"/>
  <c r="AD33" i="12"/>
  <c r="AF33" i="12"/>
  <c r="AE33" i="12"/>
  <c r="N33" i="12"/>
  <c r="Z33" i="12"/>
  <c r="P33" i="12"/>
  <c r="AR33" i="12"/>
  <c r="V33" i="12"/>
  <c r="AP33" i="12"/>
  <c r="AH33" i="12"/>
  <c r="AB33" i="12"/>
  <c r="AG33" i="12"/>
  <c r="T33" i="12"/>
  <c r="AN33" i="12"/>
  <c r="X33" i="12"/>
  <c r="AL33" i="12"/>
  <c r="X14" i="12"/>
  <c r="R33" i="12"/>
  <c r="AI33" i="12"/>
  <c r="BK11" i="12"/>
  <c r="BI11" i="12"/>
  <c r="BR11" i="12"/>
  <c r="BT64" i="12"/>
  <c r="AD14" i="12"/>
  <c r="E4" i="19"/>
  <c r="AH63" i="12"/>
  <c r="AB63" i="12"/>
  <c r="S63" i="12"/>
  <c r="BN63" i="12"/>
  <c r="BS63" i="12"/>
  <c r="AZ63" i="12"/>
  <c r="BH63" i="12"/>
  <c r="AE63" i="12"/>
  <c r="BI63" i="12"/>
  <c r="BE63" i="12"/>
  <c r="W63" i="12"/>
  <c r="BL63" i="12"/>
  <c r="P63" i="12"/>
  <c r="AP63" i="12"/>
  <c r="BQ63" i="12"/>
  <c r="Q63" i="12"/>
  <c r="Z63" i="12"/>
  <c r="X63" i="12"/>
  <c r="AQ63" i="12"/>
  <c r="BC63" i="12"/>
  <c r="AM63" i="12"/>
  <c r="AY63" i="12"/>
  <c r="BP63" i="12"/>
  <c r="AF63" i="12"/>
  <c r="AL63" i="12"/>
  <c r="Y63" i="12"/>
  <c r="T63" i="12"/>
  <c r="O5" i="19"/>
  <c r="AG5" i="19"/>
  <c r="BE5" i="19"/>
  <c r="X5" i="19"/>
  <c r="AM5" i="19"/>
  <c r="BF5" i="19"/>
  <c r="AQ5" i="19"/>
  <c r="AN5" i="19"/>
  <c r="AD5" i="19"/>
  <c r="R5" i="19"/>
  <c r="AY5" i="19"/>
  <c r="BV5" i="19"/>
  <c r="BW5" i="19" s="1"/>
  <c r="BX5" i="19" s="1"/>
  <c r="BY5" i="19" s="1"/>
  <c r="BZ5" i="19" s="1"/>
  <c r="CA5" i="19" s="1"/>
  <c r="CB5" i="19" s="1"/>
  <c r="CC5" i="19" s="1"/>
  <c r="CD5" i="19" s="1"/>
  <c r="CE5" i="19" s="1"/>
  <c r="CF5" i="19" s="1"/>
  <c r="CG5" i="19" s="1"/>
  <c r="CH5" i="19" s="1"/>
  <c r="CI5" i="19" s="1"/>
  <c r="CJ5" i="19" s="1"/>
  <c r="CK5" i="19" s="1"/>
  <c r="CL5" i="19" s="1"/>
  <c r="CM5" i="19" s="1"/>
  <c r="CN5" i="19" s="1"/>
  <c r="CO5" i="19" s="1"/>
  <c r="CP5" i="19" s="1"/>
  <c r="CQ5" i="19" s="1"/>
  <c r="CR5" i="19" s="1"/>
  <c r="CS5" i="19" s="1"/>
  <c r="CT5" i="19" s="1"/>
  <c r="CU5" i="19" s="1"/>
  <c r="CV5" i="19" s="1"/>
  <c r="CW5" i="19" s="1"/>
  <c r="CX5" i="19" s="1"/>
  <c r="CY5" i="19" s="1"/>
  <c r="CZ5" i="19" s="1"/>
  <c r="BD5" i="19"/>
  <c r="M5" i="19"/>
  <c r="H5" i="19"/>
  <c r="AO5" i="19"/>
  <c r="BP5" i="19"/>
  <c r="AP5" i="19"/>
  <c r="D105" i="6"/>
  <c r="BS14" i="12"/>
  <c r="AY64" i="12"/>
  <c r="AR64" i="12"/>
  <c r="BD64" i="12"/>
  <c r="AF64" i="12"/>
  <c r="Q64" i="12"/>
  <c r="AX64" i="12"/>
  <c r="AD64" i="12"/>
  <c r="AM64" i="12"/>
  <c r="AT64" i="12"/>
  <c r="BR64" i="12"/>
  <c r="AE64" i="12"/>
  <c r="U64" i="12"/>
  <c r="AW64" i="12"/>
  <c r="AU64" i="12"/>
  <c r="S64" i="12"/>
  <c r="AS64" i="12"/>
  <c r="BI64" i="12"/>
  <c r="X64" i="12"/>
  <c r="V64" i="12"/>
  <c r="BB64" i="12"/>
  <c r="AH64" i="12"/>
  <c r="T64" i="12"/>
  <c r="AA64" i="12"/>
  <c r="BG64" i="12"/>
  <c r="W64" i="12"/>
  <c r="BC64" i="12"/>
  <c r="O64" i="12"/>
  <c r="AL14" i="12"/>
  <c r="Y33" i="12"/>
  <c r="Q11" i="12"/>
  <c r="AK64" i="12"/>
  <c r="Z64" i="12"/>
  <c r="BF14" i="12"/>
  <c r="AR14" i="12"/>
  <c r="O33" i="12"/>
  <c r="AM33" i="12"/>
  <c r="BB33" i="12" s="1"/>
  <c r="AZ14" i="12"/>
  <c r="BL64" i="12"/>
  <c r="AO14" i="12"/>
  <c r="BV64" i="12"/>
  <c r="BW64" i="12" s="1"/>
  <c r="BX64" i="12" s="1"/>
  <c r="BY64" i="12" s="1"/>
  <c r="BZ64" i="12" s="1"/>
  <c r="CA64" i="12" s="1"/>
  <c r="CB64" i="12" s="1"/>
  <c r="CC64" i="12" s="1"/>
  <c r="CD64" i="12" s="1"/>
  <c r="CE64" i="12" s="1"/>
  <c r="CF64" i="12" s="1"/>
  <c r="CG64" i="12" s="1"/>
  <c r="CH64" i="12" s="1"/>
  <c r="CI64" i="12" s="1"/>
  <c r="CJ64" i="12" s="1"/>
  <c r="CK64" i="12" s="1"/>
  <c r="CL64" i="12" s="1"/>
  <c r="CM64" i="12" s="1"/>
  <c r="CN64" i="12" s="1"/>
  <c r="CO64" i="12" s="1"/>
  <c r="CP64" i="12" s="1"/>
  <c r="CQ64" i="12" s="1"/>
  <c r="CR64" i="12" s="1"/>
  <c r="CS64" i="12" s="1"/>
  <c r="CT64" i="12" s="1"/>
  <c r="CU64" i="12" s="1"/>
  <c r="CV64" i="12" s="1"/>
  <c r="CW64" i="12" s="1"/>
  <c r="CX64" i="12" s="1"/>
  <c r="CY64" i="12" s="1"/>
  <c r="CZ64" i="12" s="1"/>
  <c r="S67" i="12"/>
  <c r="N67" i="12"/>
  <c r="AM67" i="12"/>
  <c r="BB67" i="12" s="1"/>
  <c r="BQ67" i="12" s="1"/>
  <c r="BV67" i="12" s="1"/>
  <c r="BW67" i="12" s="1"/>
  <c r="BX67" i="12" s="1"/>
  <c r="BY67" i="12" s="1"/>
  <c r="BZ67" i="12" s="1"/>
  <c r="CA67" i="12" s="1"/>
  <c r="CB67" i="12" s="1"/>
  <c r="CC67" i="12" s="1"/>
  <c r="CD67" i="12" s="1"/>
  <c r="CE67" i="12" s="1"/>
  <c r="CF67" i="12" s="1"/>
  <c r="CG67" i="12" s="1"/>
  <c r="CH67" i="12" s="1"/>
  <c r="CI67" i="12" s="1"/>
  <c r="CJ67" i="12" s="1"/>
  <c r="CK67" i="12" s="1"/>
  <c r="CL67" i="12" s="1"/>
  <c r="CM67" i="12" s="1"/>
  <c r="CN67" i="12" s="1"/>
  <c r="CO67" i="12" s="1"/>
  <c r="CP67" i="12" s="1"/>
  <c r="CQ67" i="12" s="1"/>
  <c r="CR67" i="12" s="1"/>
  <c r="CS67" i="12" s="1"/>
  <c r="CT67" i="12" s="1"/>
  <c r="CU67" i="12" s="1"/>
  <c r="CV67" i="12" s="1"/>
  <c r="CW67" i="12" s="1"/>
  <c r="CX67" i="12" s="1"/>
  <c r="CY67" i="12" s="1"/>
  <c r="CZ67" i="12" s="1"/>
  <c r="O67" i="12"/>
  <c r="AA67" i="12"/>
  <c r="Q67" i="12"/>
  <c r="V67" i="12"/>
  <c r="T67" i="12"/>
  <c r="AO67" i="12"/>
  <c r="AP67" i="12"/>
  <c r="AN67" i="12"/>
  <c r="AJ93" i="12"/>
  <c r="BH93" i="12"/>
  <c r="AU93" i="12"/>
  <c r="AK93" i="12"/>
  <c r="AP93" i="12"/>
  <c r="AA93" i="12"/>
  <c r="AR93" i="12"/>
  <c r="AZ93" i="12"/>
  <c r="AT93" i="12"/>
  <c r="AY2" i="19"/>
  <c r="BS2" i="19"/>
  <c r="AI2" i="19"/>
  <c r="AJ2" i="19"/>
  <c r="AV2" i="19"/>
  <c r="F2" i="19"/>
  <c r="AX2" i="19"/>
  <c r="AH2" i="19"/>
  <c r="J2" i="19"/>
  <c r="BL31" i="12"/>
  <c r="AV31" i="12"/>
  <c r="BF31" i="12"/>
  <c r="U31" i="12"/>
  <c r="BA31" i="12"/>
  <c r="AP31" i="12"/>
  <c r="AH31" i="12"/>
  <c r="BP31" i="12"/>
  <c r="AY31" i="12"/>
  <c r="BO31" i="12"/>
  <c r="AR31" i="12"/>
  <c r="AT31" i="12"/>
  <c r="V31" i="12"/>
  <c r="AS31" i="12"/>
  <c r="AM31" i="12"/>
  <c r="AJ31" i="12"/>
  <c r="BS31" i="12"/>
  <c r="BD31" i="12"/>
  <c r="AF31" i="12"/>
  <c r="AA31" i="12"/>
  <c r="AU31" i="12"/>
  <c r="AC31" i="12"/>
  <c r="BE31" i="12"/>
  <c r="AN31" i="12"/>
  <c r="BK31" i="12"/>
  <c r="BC31" i="12"/>
  <c r="AD31" i="12"/>
  <c r="AW31" i="12"/>
  <c r="BM31" i="12"/>
  <c r="AQ14" i="12"/>
  <c r="BV14" i="12"/>
  <c r="BW14" i="12" s="1"/>
  <c r="BX14" i="12" s="1"/>
  <c r="BY14" i="12" s="1"/>
  <c r="BZ14" i="12" s="1"/>
  <c r="CA14" i="12" s="1"/>
  <c r="CB14" i="12" s="1"/>
  <c r="CC14" i="12" s="1"/>
  <c r="CD14" i="12" s="1"/>
  <c r="CE14" i="12" s="1"/>
  <c r="CF14" i="12" s="1"/>
  <c r="CG14" i="12" s="1"/>
  <c r="CH14" i="12" s="1"/>
  <c r="CI14" i="12" s="1"/>
  <c r="CJ14" i="12" s="1"/>
  <c r="CK14" i="12" s="1"/>
  <c r="CL14" i="12" s="1"/>
  <c r="CM14" i="12" s="1"/>
  <c r="CN14" i="12" s="1"/>
  <c r="CO14" i="12" s="1"/>
  <c r="CP14" i="12" s="1"/>
  <c r="CQ14" i="12" s="1"/>
  <c r="CR14" i="12" s="1"/>
  <c r="CS14" i="12" s="1"/>
  <c r="CT14" i="12" s="1"/>
  <c r="CU14" i="12" s="1"/>
  <c r="CV14" i="12" s="1"/>
  <c r="CW14" i="12" s="1"/>
  <c r="CX14" i="12" s="1"/>
  <c r="CY14" i="12" s="1"/>
  <c r="CZ14" i="12" s="1"/>
  <c r="AA14" i="12"/>
  <c r="AX4" i="19"/>
  <c r="AK4" i="19"/>
  <c r="AQ4" i="19"/>
  <c r="J4" i="19"/>
  <c r="BL4" i="19"/>
  <c r="BU4" i="19"/>
  <c r="P4" i="19"/>
  <c r="I4" i="19"/>
  <c r="Q4" i="19"/>
  <c r="BI4" i="19"/>
  <c r="AE4" i="19"/>
  <c r="L4" i="19"/>
  <c r="AZ4" i="19"/>
  <c r="AO4" i="19"/>
  <c r="N4" i="19"/>
  <c r="BQ4" i="19"/>
  <c r="BK4" i="19"/>
  <c r="K4" i="19"/>
  <c r="BO4" i="19"/>
  <c r="U4" i="19"/>
  <c r="X4" i="19"/>
  <c r="AR11" i="12"/>
  <c r="AT11" i="12"/>
  <c r="M11" i="12"/>
  <c r="AA11" i="12"/>
  <c r="BS11" i="12"/>
  <c r="R11" i="12"/>
  <c r="BV11" i="12"/>
  <c r="BW11" i="12" s="1"/>
  <c r="BX11" i="12" s="1"/>
  <c r="BY11" i="12" s="1"/>
  <c r="BZ11" i="12" s="1"/>
  <c r="CA11" i="12" s="1"/>
  <c r="CB11" i="12" s="1"/>
  <c r="CC11" i="12" s="1"/>
  <c r="CD11" i="12" s="1"/>
  <c r="CE11" i="12" s="1"/>
  <c r="CF11" i="12" s="1"/>
  <c r="CG11" i="12" s="1"/>
  <c r="CH11" i="12" s="1"/>
  <c r="CI11" i="12" s="1"/>
  <c r="CJ11" i="12" s="1"/>
  <c r="CK11" i="12" s="1"/>
  <c r="CL11" i="12" s="1"/>
  <c r="CM11" i="12" s="1"/>
  <c r="CN11" i="12" s="1"/>
  <c r="CO11" i="12" s="1"/>
  <c r="CP11" i="12" s="1"/>
  <c r="CQ11" i="12" s="1"/>
  <c r="CR11" i="12" s="1"/>
  <c r="CS11" i="12" s="1"/>
  <c r="CT11" i="12" s="1"/>
  <c r="CU11" i="12" s="1"/>
  <c r="CV11" i="12" s="1"/>
  <c r="CW11" i="12" s="1"/>
  <c r="CX11" i="12" s="1"/>
  <c r="CY11" i="12" s="1"/>
  <c r="CZ11" i="12" s="1"/>
  <c r="AI11" i="12"/>
  <c r="AU11" i="12"/>
  <c r="AD11" i="12"/>
  <c r="AM11" i="12"/>
  <c r="AO11" i="12"/>
  <c r="BG11" i="12"/>
  <c r="BF11" i="12"/>
  <c r="BC11" i="12"/>
  <c r="BO11" i="12"/>
  <c r="AQ33" i="12"/>
  <c r="T11" i="12"/>
  <c r="BU14" i="12"/>
  <c r="AB14" i="12"/>
  <c r="W33" i="12"/>
  <c r="AJ14" i="12"/>
  <c r="R64" i="12"/>
  <c r="BG63" i="12"/>
  <c r="BI5" i="19"/>
  <c r="BO14" i="12"/>
  <c r="AE67" i="12"/>
  <c r="BU63" i="12"/>
  <c r="AS4" i="19"/>
  <c r="BG4" i="19"/>
  <c r="W4" i="19"/>
  <c r="D96" i="6"/>
  <c r="E96" i="6" s="1"/>
  <c r="D28" i="35"/>
  <c r="D33" i="35"/>
  <c r="F33" i="35" s="1"/>
  <c r="D18" i="35"/>
  <c r="D92" i="6"/>
  <c r="D24" i="35"/>
  <c r="C21" i="24" s="1"/>
  <c r="H21" i="24" s="1"/>
  <c r="D95" i="6"/>
  <c r="D22" i="35"/>
  <c r="D20" i="35"/>
  <c r="Q34" i="12"/>
  <c r="T34" i="12"/>
  <c r="T12" i="12"/>
  <c r="BO12" i="12"/>
  <c r="AJ12" i="12"/>
  <c r="D34" i="35"/>
  <c r="F34" i="35" s="1"/>
  <c r="D30" i="35"/>
  <c r="F30" i="35" s="1"/>
  <c r="O34" i="12"/>
  <c r="AM29" i="12"/>
  <c r="AA29" i="12"/>
  <c r="BM29" i="12"/>
  <c r="BO29" i="12"/>
  <c r="AC66" i="12"/>
  <c r="V66" i="12"/>
  <c r="N66" i="12"/>
  <c r="Q66" i="12"/>
  <c r="AA66" i="12"/>
  <c r="AQ66" i="12"/>
  <c r="AF66" i="12"/>
  <c r="AH95" i="12"/>
  <c r="X95" i="12"/>
  <c r="AI95" i="12"/>
  <c r="Z95" i="12"/>
  <c r="AC95" i="12"/>
  <c r="V95" i="12"/>
  <c r="AF95" i="12"/>
  <c r="S95" i="12"/>
  <c r="AR95" i="12"/>
  <c r="O95" i="12"/>
  <c r="AE95" i="12"/>
  <c r="Q95" i="12"/>
  <c r="AF3" i="19"/>
  <c r="BG3" i="19"/>
  <c r="AZ3" i="19"/>
  <c r="X35" i="12"/>
  <c r="AD35" i="12"/>
  <c r="AM35" i="12"/>
  <c r="BB35" i="12" s="1"/>
  <c r="BQ35" i="12" s="1"/>
  <c r="AX29" i="12"/>
  <c r="AF29" i="12"/>
  <c r="BP29" i="12"/>
  <c r="AL29" i="12"/>
  <c r="BC29" i="12"/>
  <c r="BJ29" i="12"/>
  <c r="W29" i="12"/>
  <c r="BD29" i="12"/>
  <c r="BH29" i="12"/>
  <c r="AC29" i="12"/>
  <c r="AZ29" i="12"/>
  <c r="BI29" i="12"/>
  <c r="AR29" i="12"/>
  <c r="U29" i="12"/>
  <c r="AS29" i="12"/>
  <c r="AT12" i="12"/>
  <c r="S12" i="12"/>
  <c r="U12" i="12"/>
  <c r="W12" i="12"/>
  <c r="AC12" i="12"/>
  <c r="X12" i="12"/>
  <c r="AA12" i="12"/>
  <c r="BB12" i="12"/>
  <c r="AS12" i="12"/>
  <c r="AW12" i="12"/>
  <c r="BA12" i="12"/>
  <c r="BI12" i="12"/>
  <c r="BF12" i="12"/>
  <c r="BR12" i="12"/>
  <c r="R12" i="12"/>
  <c r="BM12" i="12"/>
  <c r="AK12" i="12"/>
  <c r="AZ12" i="12"/>
  <c r="AX12" i="12"/>
  <c r="AV12" i="12"/>
  <c r="AR12" i="12"/>
  <c r="AH17" i="12"/>
  <c r="BB17" i="12" s="1"/>
  <c r="BQ17" i="12" s="1"/>
  <c r="H17" i="12"/>
  <c r="P17" i="12"/>
  <c r="L17" i="12"/>
  <c r="AG17" i="12"/>
  <c r="AR34" i="12"/>
  <c r="V34" i="12"/>
  <c r="BS12" i="12"/>
  <c r="AH12" i="12"/>
  <c r="S17" i="12"/>
  <c r="BD12" i="12"/>
  <c r="V12" i="12"/>
  <c r="D23" i="35"/>
  <c r="O17" i="12"/>
  <c r="X34" i="12"/>
  <c r="AI29" i="12"/>
  <c r="BB29" i="12"/>
  <c r="AD12" i="12"/>
  <c r="BT29" i="12"/>
  <c r="AY29" i="12"/>
  <c r="BS29" i="12"/>
  <c r="J7" i="19"/>
  <c r="AK7" i="19"/>
  <c r="BD7" i="19"/>
  <c r="AE7" i="19"/>
  <c r="F7" i="19"/>
  <c r="AZ7" i="19"/>
  <c r="AS7" i="19"/>
  <c r="AJ7" i="19"/>
  <c r="BF7" i="19"/>
  <c r="AR7" i="19"/>
  <c r="AH7" i="19"/>
  <c r="BA7" i="19"/>
  <c r="BU7" i="19"/>
  <c r="BO7" i="19"/>
  <c r="AL7" i="19"/>
  <c r="N7" i="19"/>
  <c r="AV7" i="19"/>
  <c r="BR7" i="19"/>
  <c r="AM7" i="19"/>
  <c r="BI7" i="19"/>
  <c r="BJ7" i="19"/>
  <c r="BV7" i="19"/>
  <c r="BW7" i="19" s="1"/>
  <c r="BX7" i="19" s="1"/>
  <c r="BY7" i="19" s="1"/>
  <c r="BZ7" i="19" s="1"/>
  <c r="CA7" i="19" s="1"/>
  <c r="CB7" i="19" s="1"/>
  <c r="CC7" i="19" s="1"/>
  <c r="CD7" i="19" s="1"/>
  <c r="CE7" i="19" s="1"/>
  <c r="CF7" i="19" s="1"/>
  <c r="CG7" i="19" s="1"/>
  <c r="CH7" i="19" s="1"/>
  <c r="CI7" i="19" s="1"/>
  <c r="CJ7" i="19" s="1"/>
  <c r="CK7" i="19" s="1"/>
  <c r="CL7" i="19" s="1"/>
  <c r="CM7" i="19" s="1"/>
  <c r="CN7" i="19" s="1"/>
  <c r="CO7" i="19" s="1"/>
  <c r="CP7" i="19" s="1"/>
  <c r="CQ7" i="19" s="1"/>
  <c r="CR7" i="19" s="1"/>
  <c r="CS7" i="19" s="1"/>
  <c r="CT7" i="19" s="1"/>
  <c r="CU7" i="19" s="1"/>
  <c r="CV7" i="19" s="1"/>
  <c r="CW7" i="19" s="1"/>
  <c r="CX7" i="19" s="1"/>
  <c r="CY7" i="19" s="1"/>
  <c r="CZ7" i="19" s="1"/>
  <c r="T7" i="19"/>
  <c r="C148" i="6"/>
  <c r="I17" i="12"/>
  <c r="Z34" i="12"/>
  <c r="AM12" i="12"/>
  <c r="BN12" i="12"/>
  <c r="K17" i="12"/>
  <c r="T66" i="12"/>
  <c r="H12" i="12"/>
  <c r="M12" i="12"/>
  <c r="D97" i="6"/>
  <c r="E97" i="6" s="1"/>
  <c r="D29" i="35"/>
  <c r="AL95" i="12"/>
  <c r="AK95" i="12"/>
  <c r="D26" i="35"/>
  <c r="BE29" i="12"/>
  <c r="BG29" i="12"/>
  <c r="J12" i="12"/>
  <c r="M7" i="19"/>
  <c r="AQ12" i="12"/>
  <c r="AH29" i="12"/>
  <c r="AA56" i="15"/>
  <c r="Y56" i="15"/>
  <c r="AP3" i="19"/>
  <c r="L3" i="19"/>
  <c r="BB3" i="19"/>
  <c r="V3" i="19"/>
  <c r="AJ3" i="19"/>
  <c r="BF3" i="19"/>
  <c r="BN3" i="19"/>
  <c r="BL3" i="19"/>
  <c r="AB3" i="19"/>
  <c r="N3" i="19"/>
  <c r="AR3" i="19"/>
  <c r="AI3" i="19"/>
  <c r="AU3" i="19"/>
  <c r="AL3" i="19"/>
  <c r="BR3" i="19"/>
  <c r="AE3" i="19"/>
  <c r="BI3" i="19"/>
  <c r="AK3" i="19"/>
  <c r="BC3" i="19"/>
  <c r="Y3" i="19"/>
  <c r="U3" i="19"/>
  <c r="Z3" i="19"/>
  <c r="I3" i="19"/>
  <c r="BA3" i="19"/>
  <c r="AQ3" i="19"/>
  <c r="J3" i="19"/>
  <c r="W3" i="19"/>
  <c r="AS3" i="19"/>
  <c r="BV3" i="19"/>
  <c r="BW3" i="19" s="1"/>
  <c r="BX3" i="19" s="1"/>
  <c r="BY3" i="19" s="1"/>
  <c r="BZ3" i="19" s="1"/>
  <c r="CA3" i="19" s="1"/>
  <c r="CB3" i="19" s="1"/>
  <c r="CC3" i="19" s="1"/>
  <c r="CD3" i="19" s="1"/>
  <c r="CE3" i="19" s="1"/>
  <c r="CF3" i="19" s="1"/>
  <c r="CG3" i="19" s="1"/>
  <c r="CH3" i="19" s="1"/>
  <c r="CI3" i="19" s="1"/>
  <c r="CJ3" i="19" s="1"/>
  <c r="CK3" i="19" s="1"/>
  <c r="CL3" i="19" s="1"/>
  <c r="CM3" i="19" s="1"/>
  <c r="CN3" i="19" s="1"/>
  <c r="CO3" i="19" s="1"/>
  <c r="CP3" i="19" s="1"/>
  <c r="CQ3" i="19" s="1"/>
  <c r="CR3" i="19" s="1"/>
  <c r="CS3" i="19" s="1"/>
  <c r="CT3" i="19" s="1"/>
  <c r="CU3" i="19" s="1"/>
  <c r="CV3" i="19" s="1"/>
  <c r="CW3" i="19" s="1"/>
  <c r="CX3" i="19" s="1"/>
  <c r="CY3" i="19" s="1"/>
  <c r="CZ3" i="19" s="1"/>
  <c r="BP3" i="19"/>
  <c r="AX3" i="19"/>
  <c r="AC3" i="19"/>
  <c r="BO3" i="19"/>
  <c r="BU3" i="19"/>
  <c r="BJ3" i="19"/>
  <c r="BD3" i="19"/>
  <c r="BQ3" i="19"/>
  <c r="AW3" i="19"/>
  <c r="AM3" i="19"/>
  <c r="H3" i="19"/>
  <c r="X3" i="19"/>
  <c r="AO3" i="19"/>
  <c r="AY3" i="19"/>
  <c r="BK3" i="19"/>
  <c r="AV3" i="19"/>
  <c r="T3" i="19"/>
  <c r="BE3" i="19"/>
  <c r="F3" i="19"/>
  <c r="AA3" i="19"/>
  <c r="AT3" i="19"/>
  <c r="Q3" i="19"/>
  <c r="G3" i="19"/>
  <c r="BM3" i="19"/>
  <c r="M3" i="19"/>
  <c r="S3" i="19"/>
  <c r="O3" i="19"/>
  <c r="AG3" i="19"/>
  <c r="AH3" i="19"/>
  <c r="BH3" i="19"/>
  <c r="BT3" i="19"/>
  <c r="K3" i="19"/>
  <c r="E3" i="19"/>
  <c r="P3" i="19"/>
  <c r="AN3" i="19"/>
  <c r="BS3" i="19"/>
  <c r="AD3" i="19"/>
  <c r="P35" i="12"/>
  <c r="AQ35" i="12"/>
  <c r="AC35" i="12"/>
  <c r="N35" i="12"/>
  <c r="Z35" i="12"/>
  <c r="AH35" i="12"/>
  <c r="AJ35" i="12"/>
  <c r="O35" i="12"/>
  <c r="R35" i="12"/>
  <c r="Y35" i="12"/>
  <c r="AE35" i="12"/>
  <c r="AK35" i="12"/>
  <c r="W35" i="12"/>
  <c r="U35" i="12"/>
  <c r="AP35" i="12"/>
  <c r="AL35" i="12"/>
  <c r="V35" i="12"/>
  <c r="AI35" i="12"/>
  <c r="T35" i="12"/>
  <c r="AB35" i="12"/>
  <c r="AG35" i="12"/>
  <c r="Q35" i="12"/>
  <c r="S35" i="12"/>
  <c r="AO35" i="12"/>
  <c r="AF35" i="12"/>
  <c r="AN35" i="12"/>
  <c r="AA35" i="12"/>
  <c r="R3" i="19"/>
  <c r="AR35" i="12"/>
  <c r="AE100" i="12"/>
  <c r="AQ99" i="12"/>
  <c r="U99" i="12"/>
  <c r="W99" i="12"/>
  <c r="X99" i="12"/>
  <c r="AP99" i="12"/>
  <c r="AR99" i="12"/>
  <c r="AC99" i="12"/>
  <c r="AL99" i="12"/>
  <c r="V99" i="12"/>
  <c r="P99" i="12"/>
  <c r="Z99" i="12"/>
  <c r="AB99" i="12"/>
  <c r="AM99" i="12"/>
  <c r="BB99" i="12" s="1"/>
  <c r="O99" i="12"/>
  <c r="AO99" i="12"/>
  <c r="S99" i="12"/>
  <c r="AN99" i="12"/>
  <c r="AJ99" i="12"/>
  <c r="AA99" i="12"/>
  <c r="AF99" i="12"/>
  <c r="Q99" i="12"/>
  <c r="AD99" i="12"/>
  <c r="T99" i="12"/>
  <c r="AI99" i="12"/>
  <c r="AH99" i="12"/>
  <c r="AE99" i="12"/>
  <c r="R99" i="12"/>
  <c r="A97" i="14"/>
  <c r="C97" i="14" s="1"/>
  <c r="L65" i="15"/>
  <c r="W65" i="15"/>
  <c r="O65" i="15"/>
  <c r="D65" i="15"/>
  <c r="M65" i="15" s="1"/>
  <c r="J65" i="15"/>
  <c r="AF65" i="15"/>
  <c r="I65" i="15"/>
  <c r="P65" i="15"/>
  <c r="R65" i="15"/>
  <c r="N65" i="15"/>
  <c r="F65" i="15"/>
  <c r="R100" i="12"/>
  <c r="AK100" i="12"/>
  <c r="AJ100" i="12"/>
  <c r="AD100" i="12"/>
  <c r="O100" i="12"/>
  <c r="AP100" i="12"/>
  <c r="T100" i="12"/>
  <c r="AN100" i="12"/>
  <c r="AC100" i="12"/>
  <c r="V100" i="12"/>
  <c r="AG100" i="12"/>
  <c r="AI100" i="12"/>
  <c r="AH100" i="12"/>
  <c r="AO100" i="12"/>
  <c r="AR100" i="12"/>
  <c r="AM100" i="12"/>
  <c r="BB100" i="12" s="1"/>
  <c r="P100" i="12"/>
  <c r="AB100" i="12"/>
  <c r="AL100" i="12"/>
  <c r="X100" i="12"/>
  <c r="AF100" i="12"/>
  <c r="AQ100" i="12"/>
  <c r="Z100" i="12"/>
  <c r="Y100" i="12"/>
  <c r="C66" i="15"/>
  <c r="Q66" i="15" s="1"/>
  <c r="AV93" i="12"/>
  <c r="AC93" i="12"/>
  <c r="AL93" i="12"/>
  <c r="BA93" i="12"/>
  <c r="BS93" i="12"/>
  <c r="AB93" i="12"/>
  <c r="AN93" i="12"/>
  <c r="AE93" i="12"/>
  <c r="W93" i="12"/>
  <c r="AY93" i="12"/>
  <c r="BI93" i="12"/>
  <c r="BG93" i="12"/>
  <c r="BE93" i="12"/>
  <c r="BD93" i="12"/>
  <c r="BF93" i="12"/>
  <c r="Q93" i="12"/>
  <c r="P93" i="12"/>
  <c r="X93" i="12"/>
  <c r="AD93" i="12"/>
  <c r="AQ93" i="12"/>
  <c r="BB93" i="12"/>
  <c r="AH93" i="12"/>
  <c r="BR93" i="12"/>
  <c r="S93" i="12"/>
  <c r="BV93" i="12"/>
  <c r="BW93" i="12" s="1"/>
  <c r="BX93" i="12" s="1"/>
  <c r="BY93" i="12" s="1"/>
  <c r="BZ93" i="12" s="1"/>
  <c r="CA93" i="12" s="1"/>
  <c r="CB93" i="12" s="1"/>
  <c r="CC93" i="12" s="1"/>
  <c r="CD93" i="12" s="1"/>
  <c r="CE93" i="12" s="1"/>
  <c r="CF93" i="12" s="1"/>
  <c r="CG93" i="12" s="1"/>
  <c r="CH93" i="12" s="1"/>
  <c r="CI93" i="12" s="1"/>
  <c r="CJ93" i="12" s="1"/>
  <c r="CK93" i="12" s="1"/>
  <c r="CL93" i="12" s="1"/>
  <c r="CM93" i="12" s="1"/>
  <c r="CN93" i="12" s="1"/>
  <c r="CO93" i="12" s="1"/>
  <c r="CP93" i="12" s="1"/>
  <c r="CQ93" i="12" s="1"/>
  <c r="CR93" i="12" s="1"/>
  <c r="CS93" i="12" s="1"/>
  <c r="CT93" i="12" s="1"/>
  <c r="CU93" i="12" s="1"/>
  <c r="CV93" i="12" s="1"/>
  <c r="CW93" i="12" s="1"/>
  <c r="CX93" i="12" s="1"/>
  <c r="CY93" i="12" s="1"/>
  <c r="CZ93" i="12" s="1"/>
  <c r="Y93" i="12"/>
  <c r="BU93" i="12"/>
  <c r="AX93" i="12"/>
  <c r="BK93" i="12"/>
  <c r="BN93" i="12"/>
  <c r="Z93" i="12"/>
  <c r="AF93" i="12"/>
  <c r="BM93" i="12"/>
  <c r="T93" i="12"/>
  <c r="BQ93" i="12"/>
  <c r="U93" i="12"/>
  <c r="BP93" i="12"/>
  <c r="O93" i="12"/>
  <c r="AI93" i="12"/>
  <c r="AG93" i="12"/>
  <c r="AW93" i="12"/>
  <c r="AO93" i="12"/>
  <c r="BL93" i="12"/>
  <c r="V93" i="12"/>
  <c r="BC93" i="12"/>
  <c r="AC2" i="19"/>
  <c r="X2" i="19"/>
  <c r="E2" i="19"/>
  <c r="BL2" i="19"/>
  <c r="BK2" i="19"/>
  <c r="W2" i="19"/>
  <c r="H2" i="19"/>
  <c r="AO2" i="19"/>
  <c r="BO2" i="19"/>
  <c r="BR2" i="19"/>
  <c r="S2" i="19"/>
  <c r="V2" i="19"/>
  <c r="U2" i="19"/>
  <c r="T2" i="19"/>
  <c r="Z2" i="19"/>
  <c r="Q2" i="19"/>
  <c r="AS2" i="19"/>
  <c r="BM2" i="19"/>
  <c r="BQ2" i="19"/>
  <c r="BP2" i="19"/>
  <c r="AR2" i="19"/>
  <c r="BD2" i="19"/>
  <c r="AF2" i="19"/>
  <c r="AG2" i="19"/>
  <c r="AL2" i="19"/>
  <c r="R2" i="19"/>
  <c r="AT2" i="19"/>
  <c r="AK2" i="19"/>
  <c r="BC2" i="19"/>
  <c r="AB2" i="19"/>
  <c r="BA2" i="19"/>
  <c r="AM2" i="19"/>
  <c r="BN2" i="19"/>
  <c r="AE2" i="19"/>
  <c r="BI2" i="19"/>
  <c r="I2" i="19"/>
  <c r="BF2" i="19"/>
  <c r="AZ2" i="19"/>
  <c r="AQ2" i="19"/>
  <c r="M2" i="19"/>
  <c r="AD2" i="19"/>
  <c r="BU2" i="19"/>
  <c r="BJ2" i="19"/>
  <c r="N2" i="19"/>
  <c r="L2" i="19"/>
  <c r="AU2" i="19"/>
  <c r="AW2" i="19"/>
  <c r="AN2" i="19"/>
  <c r="Y2" i="19"/>
  <c r="BG2" i="19"/>
  <c r="BV2" i="19"/>
  <c r="BW2" i="19" s="1"/>
  <c r="BX2" i="19" s="1"/>
  <c r="BY2" i="19" s="1"/>
  <c r="BZ2" i="19" s="1"/>
  <c r="CA2" i="19" s="1"/>
  <c r="CB2" i="19" s="1"/>
  <c r="CC2" i="19" s="1"/>
  <c r="CD2" i="19" s="1"/>
  <c r="CE2" i="19" s="1"/>
  <c r="CF2" i="19" s="1"/>
  <c r="CG2" i="19" s="1"/>
  <c r="CH2" i="19" s="1"/>
  <c r="CI2" i="19" s="1"/>
  <c r="CJ2" i="19" s="1"/>
  <c r="CK2" i="19" s="1"/>
  <c r="CL2" i="19" s="1"/>
  <c r="CM2" i="19" s="1"/>
  <c r="CN2" i="19" s="1"/>
  <c r="CO2" i="19" s="1"/>
  <c r="CP2" i="19" s="1"/>
  <c r="CQ2" i="19" s="1"/>
  <c r="CR2" i="19" s="1"/>
  <c r="CS2" i="19" s="1"/>
  <c r="CT2" i="19" s="1"/>
  <c r="CU2" i="19" s="1"/>
  <c r="CV2" i="19" s="1"/>
  <c r="CW2" i="19" s="1"/>
  <c r="CX2" i="19" s="1"/>
  <c r="CY2" i="19" s="1"/>
  <c r="CZ2" i="19" s="1"/>
  <c r="BH2" i="19"/>
  <c r="BB2" i="19"/>
  <c r="BJ11" i="12"/>
  <c r="AX11" i="12"/>
  <c r="BL11" i="12"/>
  <c r="Y11" i="12"/>
  <c r="N11" i="12"/>
  <c r="BM11" i="12"/>
  <c r="S11" i="12"/>
  <c r="U11" i="12"/>
  <c r="K11" i="12"/>
  <c r="H11" i="12"/>
  <c r="BD11" i="12"/>
  <c r="AG11" i="12"/>
  <c r="BN11" i="12"/>
  <c r="AH11" i="12"/>
  <c r="AY11" i="12"/>
  <c r="BA11" i="12"/>
  <c r="AQ11" i="12"/>
  <c r="BT11" i="12"/>
  <c r="P11" i="12"/>
  <c r="BP11" i="12"/>
  <c r="BQ11" i="12"/>
  <c r="W11" i="12"/>
  <c r="AS11" i="12"/>
  <c r="BE11" i="12"/>
  <c r="O11" i="12"/>
  <c r="BU11" i="12"/>
  <c r="AL11" i="12"/>
  <c r="BH11" i="12"/>
  <c r="AV11" i="12"/>
  <c r="I11" i="12"/>
  <c r="Z11" i="12"/>
  <c r="AJ11" i="12"/>
  <c r="L11" i="12"/>
  <c r="AP11" i="12"/>
  <c r="J11" i="12"/>
  <c r="AZ11" i="12"/>
  <c r="AB11" i="12"/>
  <c r="AS93" i="12"/>
  <c r="R93" i="12"/>
  <c r="BJ93" i="12"/>
  <c r="K14" i="8"/>
  <c r="M8" i="19"/>
  <c r="BP8" i="19"/>
  <c r="L8" i="19"/>
  <c r="AQ8" i="19"/>
  <c r="BT8" i="19"/>
  <c r="AK8" i="19"/>
  <c r="BR8" i="19"/>
  <c r="AC8" i="19"/>
  <c r="AB8" i="19"/>
  <c r="BH8" i="19"/>
  <c r="AO8" i="19"/>
  <c r="BF8" i="19"/>
  <c r="I8" i="19"/>
  <c r="BS8" i="19"/>
  <c r="BG8" i="19"/>
  <c r="AV8" i="19"/>
  <c r="BL8" i="19"/>
  <c r="S8" i="19"/>
  <c r="Q8" i="19"/>
  <c r="AT8" i="19"/>
  <c r="BQ8" i="19"/>
  <c r="AW8" i="19"/>
  <c r="AX8" i="19"/>
  <c r="AM8" i="19"/>
  <c r="AN8" i="19"/>
  <c r="U8" i="19"/>
  <c r="BC8" i="19"/>
  <c r="G8" i="19"/>
  <c r="BV8" i="19"/>
  <c r="BW8" i="19" s="1"/>
  <c r="BX8" i="19" s="1"/>
  <c r="BY8" i="19" s="1"/>
  <c r="BZ8" i="19" s="1"/>
  <c r="CA8" i="19" s="1"/>
  <c r="CB8" i="19" s="1"/>
  <c r="CC8" i="19" s="1"/>
  <c r="CD8" i="19" s="1"/>
  <c r="CE8" i="19" s="1"/>
  <c r="CF8" i="19" s="1"/>
  <c r="CG8" i="19" s="1"/>
  <c r="CH8" i="19" s="1"/>
  <c r="CI8" i="19" s="1"/>
  <c r="CJ8" i="19" s="1"/>
  <c r="CK8" i="19" s="1"/>
  <c r="CL8" i="19" s="1"/>
  <c r="CM8" i="19" s="1"/>
  <c r="CN8" i="19" s="1"/>
  <c r="CO8" i="19" s="1"/>
  <c r="CP8" i="19" s="1"/>
  <c r="CQ8" i="19" s="1"/>
  <c r="CR8" i="19" s="1"/>
  <c r="CS8" i="19" s="1"/>
  <c r="CT8" i="19" s="1"/>
  <c r="CU8" i="19" s="1"/>
  <c r="CV8" i="19" s="1"/>
  <c r="CW8" i="19" s="1"/>
  <c r="CX8" i="19" s="1"/>
  <c r="CY8" i="19" s="1"/>
  <c r="CZ8" i="19" s="1"/>
  <c r="H8" i="19"/>
  <c r="O8" i="19"/>
  <c r="BK8" i="19"/>
  <c r="AL8" i="19"/>
  <c r="BE8" i="19"/>
  <c r="BO8" i="19"/>
  <c r="AD8" i="19"/>
  <c r="AI8" i="19"/>
  <c r="AP8" i="19"/>
  <c r="AE8" i="19"/>
  <c r="N8" i="19"/>
  <c r="AU8" i="19"/>
  <c r="AY8" i="19"/>
  <c r="BB8" i="19"/>
  <c r="AA8" i="19"/>
  <c r="V8" i="19"/>
  <c r="AF8" i="19"/>
  <c r="R8" i="19"/>
  <c r="BN8" i="19"/>
  <c r="AR8" i="19"/>
  <c r="AH8" i="19"/>
  <c r="BI8" i="19"/>
  <c r="T8" i="19"/>
  <c r="Y8" i="19"/>
  <c r="BD8" i="19"/>
  <c r="H16" i="12"/>
  <c r="W16" i="12"/>
  <c r="AH16" i="12"/>
  <c r="BB16" i="12" s="1"/>
  <c r="J16" i="12"/>
  <c r="AA16" i="12"/>
  <c r="K16" i="12"/>
  <c r="AG16" i="12"/>
  <c r="U16" i="12"/>
  <c r="AD16" i="12"/>
  <c r="AC16" i="12"/>
  <c r="Z16" i="12"/>
  <c r="P16" i="12"/>
  <c r="AB16" i="12"/>
  <c r="O16" i="12"/>
  <c r="Y16" i="12"/>
  <c r="M16" i="12"/>
  <c r="AF16" i="12"/>
  <c r="R16" i="12"/>
  <c r="I16" i="12"/>
  <c r="AE16" i="12"/>
  <c r="AE11" i="12"/>
  <c r="X11" i="12"/>
  <c r="AF11" i="12"/>
  <c r="BB11" i="12"/>
  <c r="G2" i="19"/>
  <c r="AN11" i="12"/>
  <c r="Z8" i="19"/>
  <c r="W8" i="19"/>
  <c r="BM8" i="19"/>
  <c r="A15" i="13"/>
  <c r="B15" i="13" s="1"/>
  <c r="B67" i="15"/>
  <c r="BC5" i="19"/>
  <c r="AV5" i="19"/>
  <c r="BL5" i="19"/>
  <c r="BK5" i="19"/>
  <c r="F5" i="19"/>
  <c r="BM5" i="19"/>
  <c r="AX5" i="19"/>
  <c r="BG5" i="19"/>
  <c r="E5" i="19"/>
  <c r="K5" i="19"/>
  <c r="AE5" i="19"/>
  <c r="BU5" i="19"/>
  <c r="N5" i="19"/>
  <c r="AC5" i="19"/>
  <c r="BO5" i="19"/>
  <c r="U5" i="19"/>
  <c r="AI5" i="19"/>
  <c r="Y5" i="19"/>
  <c r="BQ5" i="19"/>
  <c r="AK5" i="19"/>
  <c r="AL5" i="19"/>
  <c r="BS5" i="19"/>
  <c r="Z5" i="19"/>
  <c r="AW5" i="19"/>
  <c r="AS5" i="19"/>
  <c r="W5" i="19"/>
  <c r="BH5" i="19"/>
  <c r="AA5" i="19"/>
  <c r="BT5" i="19"/>
  <c r="S5" i="19"/>
  <c r="G5" i="19"/>
  <c r="BR5" i="19"/>
  <c r="AJ5" i="19"/>
  <c r="BB5" i="19"/>
  <c r="T5" i="19"/>
  <c r="AU5" i="19"/>
  <c r="AZ5" i="19"/>
  <c r="BN5" i="19"/>
  <c r="L5" i="19"/>
  <c r="AF5" i="19"/>
  <c r="I5" i="19"/>
  <c r="J5" i="19"/>
  <c r="AI63" i="12"/>
  <c r="AC63" i="12"/>
  <c r="BF63" i="12"/>
  <c r="AG63" i="12"/>
  <c r="AW63" i="12"/>
  <c r="AN63" i="12"/>
  <c r="AX63" i="12"/>
  <c r="BO63" i="12"/>
  <c r="AO63" i="12"/>
  <c r="AR63" i="12"/>
  <c r="BA63" i="12"/>
  <c r="BJ63" i="12"/>
  <c r="BV63" i="12"/>
  <c r="BW63" i="12" s="1"/>
  <c r="BX63" i="12" s="1"/>
  <c r="BY63" i="12" s="1"/>
  <c r="BZ63" i="12" s="1"/>
  <c r="CA63" i="12" s="1"/>
  <c r="CB63" i="12" s="1"/>
  <c r="CC63" i="12" s="1"/>
  <c r="CD63" i="12" s="1"/>
  <c r="CE63" i="12" s="1"/>
  <c r="CF63" i="12" s="1"/>
  <c r="CG63" i="12" s="1"/>
  <c r="CH63" i="12" s="1"/>
  <c r="CI63" i="12" s="1"/>
  <c r="CJ63" i="12" s="1"/>
  <c r="CK63" i="12" s="1"/>
  <c r="CL63" i="12" s="1"/>
  <c r="CM63" i="12" s="1"/>
  <c r="CN63" i="12" s="1"/>
  <c r="CO63" i="12" s="1"/>
  <c r="CP63" i="12" s="1"/>
  <c r="CQ63" i="12" s="1"/>
  <c r="CR63" i="12" s="1"/>
  <c r="CS63" i="12" s="1"/>
  <c r="CT63" i="12" s="1"/>
  <c r="CU63" i="12" s="1"/>
  <c r="CV63" i="12" s="1"/>
  <c r="CW63" i="12" s="1"/>
  <c r="CX63" i="12" s="1"/>
  <c r="CY63" i="12" s="1"/>
  <c r="CZ63" i="12" s="1"/>
  <c r="AU63" i="12"/>
  <c r="AT63" i="12"/>
  <c r="BT63" i="12"/>
  <c r="BR63" i="12"/>
  <c r="N63" i="12"/>
  <c r="O63" i="12"/>
  <c r="AS63" i="12"/>
  <c r="R63" i="12"/>
  <c r="BB63" i="12"/>
  <c r="X17" i="12"/>
  <c r="AA17" i="12"/>
  <c r="T17" i="12"/>
  <c r="AF17" i="12"/>
  <c r="AC17" i="12"/>
  <c r="U17" i="12"/>
  <c r="J17" i="12"/>
  <c r="Y17" i="12"/>
  <c r="Y68" i="12"/>
  <c r="U68" i="12"/>
  <c r="AA68" i="12"/>
  <c r="AE68" i="12"/>
  <c r="P68" i="12"/>
  <c r="AK68" i="12"/>
  <c r="AQ68" i="12"/>
  <c r="Z68" i="12"/>
  <c r="U30" i="12"/>
  <c r="AZ30" i="12"/>
  <c r="W30" i="12"/>
  <c r="AC30" i="12"/>
  <c r="AX30" i="12"/>
  <c r="BM30" i="12"/>
  <c r="S30" i="12"/>
  <c r="AP30" i="12"/>
  <c r="AQ30" i="12"/>
  <c r="BV30" i="12"/>
  <c r="BW30" i="12" s="1"/>
  <c r="BX30" i="12" s="1"/>
  <c r="BY30" i="12" s="1"/>
  <c r="BZ30" i="12" s="1"/>
  <c r="CA30" i="12" s="1"/>
  <c r="CB30" i="12" s="1"/>
  <c r="CC30" i="12" s="1"/>
  <c r="CD30" i="12" s="1"/>
  <c r="CE30" i="12" s="1"/>
  <c r="CF30" i="12" s="1"/>
  <c r="CG30" i="12" s="1"/>
  <c r="CH30" i="12" s="1"/>
  <c r="CI30" i="12" s="1"/>
  <c r="CJ30" i="12" s="1"/>
  <c r="CK30" i="12" s="1"/>
  <c r="CL30" i="12" s="1"/>
  <c r="CM30" i="12" s="1"/>
  <c r="CN30" i="12" s="1"/>
  <c r="CO30" i="12" s="1"/>
  <c r="CP30" i="12" s="1"/>
  <c r="CQ30" i="12" s="1"/>
  <c r="CR30" i="12" s="1"/>
  <c r="CS30" i="12" s="1"/>
  <c r="CT30" i="12" s="1"/>
  <c r="CU30" i="12" s="1"/>
  <c r="CV30" i="12" s="1"/>
  <c r="CW30" i="12" s="1"/>
  <c r="CX30" i="12" s="1"/>
  <c r="CY30" i="12" s="1"/>
  <c r="CZ30" i="12" s="1"/>
  <c r="BC30" i="12"/>
  <c r="AU30" i="12"/>
  <c r="BI30" i="12"/>
  <c r="AT30" i="12"/>
  <c r="BT30" i="12"/>
  <c r="AL30" i="12"/>
  <c r="AV30" i="12"/>
  <c r="BJ30" i="12"/>
  <c r="AM30" i="12"/>
  <c r="N30" i="12"/>
  <c r="BD30" i="12"/>
  <c r="AR30" i="12"/>
  <c r="AS30" i="12"/>
  <c r="AY30" i="12"/>
  <c r="R30" i="12"/>
  <c r="AD30" i="12"/>
  <c r="BS30" i="12"/>
  <c r="BG30" i="12"/>
  <c r="AG30" i="12"/>
  <c r="AJ30" i="12"/>
  <c r="AM34" i="12"/>
  <c r="BB34" i="12" s="1"/>
  <c r="AF34" i="12"/>
  <c r="AO34" i="12"/>
  <c r="W34" i="12"/>
  <c r="AN34" i="12"/>
  <c r="AK34" i="12"/>
  <c r="R34" i="12"/>
  <c r="AD34" i="12"/>
  <c r="P34" i="12"/>
  <c r="AB34" i="12"/>
  <c r="N34" i="12"/>
  <c r="U34" i="12"/>
  <c r="BV94" i="12"/>
  <c r="BW94" i="12" s="1"/>
  <c r="BX94" i="12" s="1"/>
  <c r="BY94" i="12" s="1"/>
  <c r="BZ94" i="12" s="1"/>
  <c r="CA94" i="12" s="1"/>
  <c r="CB94" i="12" s="1"/>
  <c r="CC94" i="12" s="1"/>
  <c r="CD94" i="12" s="1"/>
  <c r="CE94" i="12" s="1"/>
  <c r="CF94" i="12" s="1"/>
  <c r="CG94" i="12" s="1"/>
  <c r="CH94" i="12" s="1"/>
  <c r="CI94" i="12" s="1"/>
  <c r="CJ94" i="12" s="1"/>
  <c r="CK94" i="12" s="1"/>
  <c r="CL94" i="12" s="1"/>
  <c r="CM94" i="12" s="1"/>
  <c r="CN94" i="12" s="1"/>
  <c r="CO94" i="12" s="1"/>
  <c r="CP94" i="12" s="1"/>
  <c r="CQ94" i="12" s="1"/>
  <c r="CR94" i="12" s="1"/>
  <c r="CS94" i="12" s="1"/>
  <c r="CT94" i="12" s="1"/>
  <c r="CU94" i="12" s="1"/>
  <c r="CV94" i="12" s="1"/>
  <c r="CW94" i="12" s="1"/>
  <c r="CX94" i="12" s="1"/>
  <c r="CY94" i="12" s="1"/>
  <c r="CZ94" i="12" s="1"/>
  <c r="BE94" i="12"/>
  <c r="X94" i="12"/>
  <c r="AX94" i="12"/>
  <c r="AB94" i="12"/>
  <c r="AU6" i="19"/>
  <c r="BI6" i="19"/>
  <c r="BR6" i="19"/>
  <c r="BJ6" i="19"/>
  <c r="AS6" i="19"/>
  <c r="AK6" i="19"/>
  <c r="AH6" i="19"/>
  <c r="AZ6" i="19"/>
  <c r="AG6" i="19"/>
  <c r="X6" i="19"/>
  <c r="AL6" i="19"/>
  <c r="AY6" i="19"/>
  <c r="R6" i="19"/>
  <c r="K6" i="19"/>
  <c r="AA6" i="19"/>
  <c r="G6" i="19"/>
  <c r="I6" i="19"/>
  <c r="J6" i="19"/>
  <c r="BU6" i="19"/>
  <c r="BH6" i="19"/>
  <c r="L6" i="19"/>
  <c r="AW6" i="19"/>
  <c r="BC6" i="19"/>
  <c r="W6" i="19"/>
  <c r="AX6" i="19"/>
  <c r="BS6" i="19"/>
  <c r="AN12" i="12"/>
  <c r="Y12" i="12"/>
  <c r="I12" i="12"/>
  <c r="BU12" i="12"/>
  <c r="AO12" i="12"/>
  <c r="BJ12" i="12"/>
  <c r="O12" i="12"/>
  <c r="BT12" i="12"/>
  <c r="BQ12" i="12"/>
  <c r="AL12" i="12"/>
  <c r="C61" i="6"/>
  <c r="B69" i="6"/>
  <c r="BS64" i="12"/>
  <c r="AZ64" i="12"/>
  <c r="AJ64" i="12"/>
  <c r="AV64" i="12"/>
  <c r="AL64" i="12"/>
  <c r="N64" i="12"/>
  <c r="BM64" i="12"/>
  <c r="Y64" i="12"/>
  <c r="BH64" i="12"/>
  <c r="BU64" i="12"/>
  <c r="BA64" i="12"/>
  <c r="P64" i="12"/>
  <c r="BJ64" i="12"/>
  <c r="BO64" i="12"/>
  <c r="BK64" i="12"/>
  <c r="AG64" i="12"/>
  <c r="AI64" i="12"/>
  <c r="BN64" i="12"/>
  <c r="AP64" i="12"/>
  <c r="AI4" i="19"/>
  <c r="AT4" i="19"/>
  <c r="AL4" i="19"/>
  <c r="AF4" i="19"/>
  <c r="BV4" i="19"/>
  <c r="BW4" i="19" s="1"/>
  <c r="BX4" i="19" s="1"/>
  <c r="BY4" i="19" s="1"/>
  <c r="BZ4" i="19" s="1"/>
  <c r="CA4" i="19" s="1"/>
  <c r="CB4" i="19" s="1"/>
  <c r="CC4" i="19" s="1"/>
  <c r="CD4" i="19" s="1"/>
  <c r="CE4" i="19" s="1"/>
  <c r="CF4" i="19" s="1"/>
  <c r="CG4" i="19" s="1"/>
  <c r="CH4" i="19" s="1"/>
  <c r="CI4" i="19" s="1"/>
  <c r="CJ4" i="19" s="1"/>
  <c r="CK4" i="19" s="1"/>
  <c r="CL4" i="19" s="1"/>
  <c r="CM4" i="19" s="1"/>
  <c r="CN4" i="19" s="1"/>
  <c r="CO4" i="19" s="1"/>
  <c r="CP4" i="19" s="1"/>
  <c r="CQ4" i="19" s="1"/>
  <c r="CR4" i="19" s="1"/>
  <c r="CS4" i="19" s="1"/>
  <c r="CT4" i="19" s="1"/>
  <c r="CU4" i="19" s="1"/>
  <c r="CV4" i="19" s="1"/>
  <c r="CW4" i="19" s="1"/>
  <c r="CX4" i="19" s="1"/>
  <c r="CY4" i="19" s="1"/>
  <c r="CZ4" i="19" s="1"/>
  <c r="BD4" i="19"/>
  <c r="AH4" i="19"/>
  <c r="S4" i="19"/>
  <c r="AJ4" i="19"/>
  <c r="BN4" i="19"/>
  <c r="Y4" i="19"/>
  <c r="R4" i="19"/>
  <c r="BJ4" i="19"/>
  <c r="BF4" i="19"/>
  <c r="G4" i="19"/>
  <c r="AP4" i="19"/>
  <c r="BT4" i="19"/>
  <c r="BP4" i="19"/>
  <c r="V4" i="19"/>
  <c r="AN4" i="19"/>
  <c r="BH4" i="19"/>
  <c r="BR4" i="19"/>
  <c r="T4" i="19"/>
  <c r="AY4" i="19"/>
  <c r="AB4" i="19"/>
  <c r="AA4" i="19"/>
  <c r="AR4" i="19"/>
  <c r="H4" i="19"/>
  <c r="AM4" i="19"/>
  <c r="Z4" i="19"/>
  <c r="BS4" i="19"/>
  <c r="AG4" i="19"/>
  <c r="AD4" i="19"/>
  <c r="BE4" i="19"/>
  <c r="BV29" i="12"/>
  <c r="BW29" i="12" s="1"/>
  <c r="BX29" i="12" s="1"/>
  <c r="BY29" i="12" s="1"/>
  <c r="BZ29" i="12" s="1"/>
  <c r="CA29" i="12" s="1"/>
  <c r="CB29" i="12" s="1"/>
  <c r="CC29" i="12" s="1"/>
  <c r="CD29" i="12" s="1"/>
  <c r="CE29" i="12" s="1"/>
  <c r="CF29" i="12" s="1"/>
  <c r="CG29" i="12" s="1"/>
  <c r="CH29" i="12" s="1"/>
  <c r="CI29" i="12" s="1"/>
  <c r="CJ29" i="12" s="1"/>
  <c r="CK29" i="12" s="1"/>
  <c r="CL29" i="12" s="1"/>
  <c r="CM29" i="12" s="1"/>
  <c r="CN29" i="12" s="1"/>
  <c r="CO29" i="12" s="1"/>
  <c r="CP29" i="12" s="1"/>
  <c r="CQ29" i="12" s="1"/>
  <c r="CR29" i="12" s="1"/>
  <c r="CS29" i="12" s="1"/>
  <c r="CT29" i="12" s="1"/>
  <c r="CU29" i="12" s="1"/>
  <c r="CV29" i="12" s="1"/>
  <c r="CW29" i="12" s="1"/>
  <c r="CX29" i="12" s="1"/>
  <c r="CY29" i="12" s="1"/>
  <c r="CZ29" i="12" s="1"/>
  <c r="AA18" i="12"/>
  <c r="AE18" i="12"/>
  <c r="BR29" i="12"/>
  <c r="P29" i="12"/>
  <c r="X29" i="12"/>
  <c r="AN29" i="12"/>
  <c r="BA29" i="12"/>
  <c r="AW29" i="12"/>
  <c r="AG29" i="12"/>
  <c r="BF29" i="12"/>
  <c r="Y29" i="12"/>
  <c r="AB29" i="12"/>
  <c r="BK29" i="12"/>
  <c r="T29" i="12"/>
  <c r="BU29" i="12"/>
  <c r="AU29" i="12"/>
  <c r="N29" i="12"/>
  <c r="Z29" i="12"/>
  <c r="AV29" i="12"/>
  <c r="Y7" i="19"/>
  <c r="AY7" i="19"/>
  <c r="K7" i="19"/>
  <c r="AF7" i="19"/>
  <c r="BG7" i="19"/>
  <c r="BL7" i="19"/>
  <c r="AQ31" i="12"/>
  <c r="BG31" i="12"/>
  <c r="AO31" i="12"/>
  <c r="BJ31" i="12"/>
  <c r="Z31" i="12"/>
  <c r="AK31" i="12"/>
  <c r="BN31" i="12"/>
  <c r="AX31" i="12"/>
  <c r="D31" i="35"/>
  <c r="F31" i="35" s="1"/>
  <c r="D98" i="6"/>
  <c r="D161" i="6"/>
  <c r="D49" i="34"/>
  <c r="H49" i="34"/>
  <c r="E49" i="34"/>
  <c r="G49" i="34"/>
  <c r="C49" i="34"/>
  <c r="G48" i="34"/>
  <c r="H48" i="34"/>
  <c r="D48" i="34"/>
  <c r="E48" i="34"/>
  <c r="E33" i="34"/>
  <c r="H33" i="34"/>
  <c r="G33" i="34"/>
  <c r="B111" i="34"/>
  <c r="B96" i="34"/>
  <c r="C40" i="34"/>
  <c r="B103" i="34"/>
  <c r="B69" i="34"/>
  <c r="G40" i="34"/>
  <c r="H40" i="34"/>
  <c r="B118" i="34"/>
  <c r="A18" i="17"/>
  <c r="E65" i="15"/>
  <c r="A66" i="15"/>
  <c r="A139" i="15"/>
  <c r="A186" i="15" s="1"/>
  <c r="E50" i="34"/>
  <c r="H50" i="34"/>
  <c r="C50" i="34"/>
  <c r="B113" i="34"/>
  <c r="E35" i="34"/>
  <c r="H7" i="119"/>
  <c r="C89" i="119" s="1"/>
  <c r="D89" i="119" s="1"/>
  <c r="F59" i="119"/>
  <c r="B81" i="119"/>
  <c r="B80" i="119"/>
  <c r="D91" i="119"/>
  <c r="I6" i="119"/>
  <c r="C88" i="119" s="1"/>
  <c r="D88" i="119" s="1"/>
  <c r="F58" i="119"/>
  <c r="N101" i="119"/>
  <c r="N107" i="119"/>
  <c r="N103" i="119"/>
  <c r="N105" i="119"/>
  <c r="N104" i="119"/>
  <c r="N106" i="119"/>
  <c r="N102" i="119"/>
  <c r="B68" i="6"/>
  <c r="B67" i="6"/>
  <c r="B66" i="6"/>
  <c r="C25" i="33"/>
  <c r="C281" i="15"/>
  <c r="T9" i="12" l="1"/>
  <c r="Z664" i="11"/>
  <c r="AA494" i="11" s="1"/>
  <c r="AB494" i="11" s="1"/>
  <c r="AC494" i="11" s="1"/>
  <c r="AD494" i="11" s="1"/>
  <c r="AE494" i="11" s="1"/>
  <c r="AF494" i="11" s="1"/>
  <c r="AG494" i="11" s="1"/>
  <c r="AH494" i="11" s="1"/>
  <c r="AF9" i="12"/>
  <c r="R7" i="12"/>
  <c r="H37" i="34"/>
  <c r="I249" i="119"/>
  <c r="G249" i="119"/>
  <c r="F249" i="119"/>
  <c r="D249" i="119"/>
  <c r="H249" i="119"/>
  <c r="C249" i="119"/>
  <c r="BR18" i="12"/>
  <c r="BS18" i="12" s="1"/>
  <c r="BT18" i="12" s="1"/>
  <c r="BU18" i="12" s="1"/>
  <c r="BW18" i="12"/>
  <c r="BX18" i="12" s="1"/>
  <c r="BY18" i="12" s="1"/>
  <c r="BZ18" i="12" s="1"/>
  <c r="CA18" i="12" s="1"/>
  <c r="CB18" i="12" s="1"/>
  <c r="CC18" i="12" s="1"/>
  <c r="CD18" i="12" s="1"/>
  <c r="CE18" i="12" s="1"/>
  <c r="CF18" i="12" s="1"/>
  <c r="CG18" i="12" s="1"/>
  <c r="CH18" i="12" s="1"/>
  <c r="CI18" i="12" s="1"/>
  <c r="CJ18" i="12" s="1"/>
  <c r="CK18" i="12" s="1"/>
  <c r="CL18" i="12" s="1"/>
  <c r="CM18" i="12" s="1"/>
  <c r="CN18" i="12" s="1"/>
  <c r="CO18" i="12" s="1"/>
  <c r="CP18" i="12" s="1"/>
  <c r="CQ18" i="12" s="1"/>
  <c r="CR18" i="12" s="1"/>
  <c r="CS18" i="12" s="1"/>
  <c r="CT18" i="12" s="1"/>
  <c r="CU18" i="12" s="1"/>
  <c r="CV18" i="12" s="1"/>
  <c r="CW18" i="12" s="1"/>
  <c r="CX18" i="12" s="1"/>
  <c r="CY18" i="12" s="1"/>
  <c r="CZ18" i="12" s="1"/>
  <c r="N7" i="12"/>
  <c r="Y25" i="12"/>
  <c r="AC7" i="12"/>
  <c r="F16" i="35"/>
  <c r="AF91" i="12"/>
  <c r="AR65" i="12"/>
  <c r="AQ91" i="12"/>
  <c r="AA65" i="12"/>
  <c r="AH26" i="12"/>
  <c r="AH27" i="12"/>
  <c r="M9" i="12"/>
  <c r="AO61" i="12"/>
  <c r="AN90" i="12"/>
  <c r="R96" i="12"/>
  <c r="AJ494" i="11"/>
  <c r="AK494" i="11" s="1"/>
  <c r="AL494" i="11" s="1"/>
  <c r="AM494" i="11" s="1"/>
  <c r="AN494" i="11" s="1"/>
  <c r="AO494" i="11" s="1"/>
  <c r="AP494" i="11" s="1"/>
  <c r="AQ494" i="11" s="1"/>
  <c r="AR494" i="11" s="1"/>
  <c r="AS494" i="11" s="1"/>
  <c r="AT494" i="11" s="1"/>
  <c r="AU494" i="11" s="1"/>
  <c r="AV494" i="11" s="1"/>
  <c r="AW494" i="11" s="1"/>
  <c r="AJ276" i="11"/>
  <c r="AK276" i="11" s="1"/>
  <c r="AL276" i="11" s="1"/>
  <c r="AM276" i="11" s="1"/>
  <c r="AN276" i="11" s="1"/>
  <c r="AO276" i="11" s="1"/>
  <c r="AP276" i="11" s="1"/>
  <c r="AQ276" i="11" s="1"/>
  <c r="AR276" i="11" s="1"/>
  <c r="AS276" i="11" s="1"/>
  <c r="AT276" i="11" s="1"/>
  <c r="AU276" i="11" s="1"/>
  <c r="AV276" i="11" s="1"/>
  <c r="AW276" i="11" s="1"/>
  <c r="AH8" i="12"/>
  <c r="BB8" i="12" s="1"/>
  <c r="BQ8" i="12" s="1"/>
  <c r="S7" i="12"/>
  <c r="V89" i="12"/>
  <c r="AY277" i="11"/>
  <c r="AZ277" i="11" s="1"/>
  <c r="BA277" i="11" s="1"/>
  <c r="BB277" i="11" s="1"/>
  <c r="BC277" i="11" s="1"/>
  <c r="BD277" i="11" s="1"/>
  <c r="BE277" i="11" s="1"/>
  <c r="BF277" i="11" s="1"/>
  <c r="BG277" i="11" s="1"/>
  <c r="BH277" i="11" s="1"/>
  <c r="BI277" i="11" s="1"/>
  <c r="BJ277" i="11" s="1"/>
  <c r="BK277" i="11" s="1"/>
  <c r="BL277" i="11" s="1"/>
  <c r="Z65" i="12"/>
  <c r="W9" i="12"/>
  <c r="P9" i="12"/>
  <c r="Q7" i="12"/>
  <c r="Q9" i="12"/>
  <c r="W89" i="12"/>
  <c r="Z8" i="12"/>
  <c r="S9" i="12"/>
  <c r="AA9" i="12"/>
  <c r="N9" i="12"/>
  <c r="T89" i="12"/>
  <c r="AJ480" i="11"/>
  <c r="AK480" i="11" s="1"/>
  <c r="AL480" i="11" s="1"/>
  <c r="AM480" i="11" s="1"/>
  <c r="AN480" i="11" s="1"/>
  <c r="AO480" i="11" s="1"/>
  <c r="AP480" i="11" s="1"/>
  <c r="AQ480" i="11" s="1"/>
  <c r="AR480" i="11" s="1"/>
  <c r="AS480" i="11" s="1"/>
  <c r="AT480" i="11" s="1"/>
  <c r="AU480" i="11" s="1"/>
  <c r="AV480" i="11" s="1"/>
  <c r="AW480" i="11" s="1"/>
  <c r="AJ277" i="11"/>
  <c r="AK277" i="11" s="1"/>
  <c r="AL277" i="11" s="1"/>
  <c r="AM277" i="11" s="1"/>
  <c r="AN277" i="11" s="1"/>
  <c r="AO277" i="11" s="1"/>
  <c r="AP277" i="11" s="1"/>
  <c r="AQ277" i="11" s="1"/>
  <c r="AR277" i="11" s="1"/>
  <c r="AS277" i="11" s="1"/>
  <c r="AT277" i="11" s="1"/>
  <c r="AU277" i="11" s="1"/>
  <c r="AV277" i="11" s="1"/>
  <c r="AW277" i="11" s="1"/>
  <c r="AL91" i="12"/>
  <c r="AP90" i="12"/>
  <c r="AI92" i="12"/>
  <c r="AG91" i="12"/>
  <c r="AO89" i="12"/>
  <c r="AK59" i="12"/>
  <c r="P65" i="12"/>
  <c r="J7" i="12"/>
  <c r="S96" i="12"/>
  <c r="H7" i="12"/>
  <c r="AE277" i="11"/>
  <c r="AF277" i="11" s="1"/>
  <c r="AG277" i="11" s="1"/>
  <c r="AH277" i="11" s="1"/>
  <c r="BN277" i="11"/>
  <c r="BO277" i="11" s="1"/>
  <c r="BP277" i="11" s="1"/>
  <c r="BQ277" i="11" s="1"/>
  <c r="P28" i="12"/>
  <c r="Y32" i="12"/>
  <c r="T25" i="12"/>
  <c r="AB27" i="12"/>
  <c r="AH28" i="12"/>
  <c r="S59" i="12"/>
  <c r="AM27" i="12"/>
  <c r="BB27" i="12" s="1"/>
  <c r="BQ27" i="12" s="1"/>
  <c r="BC27" i="12" s="1"/>
  <c r="BD27" i="12" s="1"/>
  <c r="BE27" i="12" s="1"/>
  <c r="BF27" i="12" s="1"/>
  <c r="BG27" i="12" s="1"/>
  <c r="BH27" i="12" s="1"/>
  <c r="BI27" i="12" s="1"/>
  <c r="BJ27" i="12" s="1"/>
  <c r="BK27" i="12" s="1"/>
  <c r="BL27" i="12" s="1"/>
  <c r="BM27" i="12" s="1"/>
  <c r="BN27" i="12" s="1"/>
  <c r="BO27" i="12" s="1"/>
  <c r="BP27" i="12" s="1"/>
  <c r="AG7" i="12"/>
  <c r="U89" i="12"/>
  <c r="AR25" i="12"/>
  <c r="AQ28" i="12"/>
  <c r="S8" i="12"/>
  <c r="Q27" i="12"/>
  <c r="N27" i="12"/>
  <c r="AQ65" i="12"/>
  <c r="Q91" i="12"/>
  <c r="AE96" i="12"/>
  <c r="AC25" i="12"/>
  <c r="AF90" i="12"/>
  <c r="AG32" i="12"/>
  <c r="X91" i="12"/>
  <c r="AQ89" i="12"/>
  <c r="R8" i="12"/>
  <c r="AF92" i="12"/>
  <c r="AG9" i="12"/>
  <c r="AE10" i="12"/>
  <c r="P32" i="12"/>
  <c r="R65" i="12"/>
  <c r="AP91" i="12"/>
  <c r="V25" i="12"/>
  <c r="AB32" i="12"/>
  <c r="AC91" i="12"/>
  <c r="AA89" i="12"/>
  <c r="AJ89" i="12"/>
  <c r="AC62" i="12"/>
  <c r="T60" i="12"/>
  <c r="AJ97" i="12"/>
  <c r="W91" i="12"/>
  <c r="AD25" i="12"/>
  <c r="Z90" i="12"/>
  <c r="AH25" i="12"/>
  <c r="AA25" i="12"/>
  <c r="Q8" i="12"/>
  <c r="AH32" i="12"/>
  <c r="AQ32" i="12"/>
  <c r="U27" i="12"/>
  <c r="AF27" i="12"/>
  <c r="AK91" i="12"/>
  <c r="Y59" i="12"/>
  <c r="R91" i="12"/>
  <c r="AE92" i="12"/>
  <c r="AK65" i="12"/>
  <c r="AE91" i="12"/>
  <c r="AM25" i="12"/>
  <c r="BB25" i="12" s="1"/>
  <c r="BQ25" i="12" s="1"/>
  <c r="BV25" i="12" s="1"/>
  <c r="BW25" i="12" s="1"/>
  <c r="BX25" i="12" s="1"/>
  <c r="BY25" i="12" s="1"/>
  <c r="BZ25" i="12" s="1"/>
  <c r="CA25" i="12" s="1"/>
  <c r="CB25" i="12" s="1"/>
  <c r="CC25" i="12" s="1"/>
  <c r="CD25" i="12" s="1"/>
  <c r="CE25" i="12" s="1"/>
  <c r="CF25" i="12" s="1"/>
  <c r="CG25" i="12" s="1"/>
  <c r="CH25" i="12" s="1"/>
  <c r="CI25" i="12" s="1"/>
  <c r="CJ25" i="12" s="1"/>
  <c r="CK25" i="12" s="1"/>
  <c r="CL25" i="12" s="1"/>
  <c r="CM25" i="12" s="1"/>
  <c r="CN25" i="12" s="1"/>
  <c r="CO25" i="12" s="1"/>
  <c r="CP25" i="12" s="1"/>
  <c r="CQ25" i="12" s="1"/>
  <c r="CR25" i="12" s="1"/>
  <c r="CS25" i="12" s="1"/>
  <c r="CT25" i="12" s="1"/>
  <c r="CU25" i="12" s="1"/>
  <c r="CV25" i="12" s="1"/>
  <c r="CW25" i="12" s="1"/>
  <c r="CX25" i="12" s="1"/>
  <c r="CY25" i="12" s="1"/>
  <c r="CZ25" i="12" s="1"/>
  <c r="AO25" i="12"/>
  <c r="Z25" i="12"/>
  <c r="AJ61" i="12"/>
  <c r="O25" i="12"/>
  <c r="AL32" i="12"/>
  <c r="AR89" i="12"/>
  <c r="AR27" i="12"/>
  <c r="AD65" i="12"/>
  <c r="U91" i="12"/>
  <c r="AJ393" i="11"/>
  <c r="AK393" i="11" s="1"/>
  <c r="AL393" i="11" s="1"/>
  <c r="AM393" i="11" s="1"/>
  <c r="AN393" i="11" s="1"/>
  <c r="AO393" i="11" s="1"/>
  <c r="AP393" i="11" s="1"/>
  <c r="AQ393" i="11" s="1"/>
  <c r="AR393" i="11" s="1"/>
  <c r="AS393" i="11" s="1"/>
  <c r="AT393" i="11" s="1"/>
  <c r="AU393" i="11" s="1"/>
  <c r="AV393" i="11" s="1"/>
  <c r="AW393" i="11" s="1"/>
  <c r="AL27" i="12"/>
  <c r="AI25" i="12"/>
  <c r="AI61" i="12"/>
  <c r="G37" i="34"/>
  <c r="AJ91" i="12"/>
  <c r="X96" i="12"/>
  <c r="W25" i="12"/>
  <c r="AC92" i="12"/>
  <c r="BN480" i="11"/>
  <c r="BO480" i="11" s="1"/>
  <c r="BP480" i="11" s="1"/>
  <c r="BQ480" i="11" s="1"/>
  <c r="Z96" i="12"/>
  <c r="AO28" i="12"/>
  <c r="AB62" i="12"/>
  <c r="AB96" i="12"/>
  <c r="W96" i="12"/>
  <c r="AJ96" i="12"/>
  <c r="AG92" i="12"/>
  <c r="AF60" i="12"/>
  <c r="S32" i="12"/>
  <c r="Q32" i="12"/>
  <c r="AR32" i="12"/>
  <c r="O32" i="12"/>
  <c r="AM32" i="12"/>
  <c r="BB32" i="12" s="1"/>
  <c r="BQ32" i="12" s="1"/>
  <c r="BV32" i="12" s="1"/>
  <c r="BW32" i="12" s="1"/>
  <c r="BX32" i="12" s="1"/>
  <c r="BY32" i="12" s="1"/>
  <c r="BZ32" i="12" s="1"/>
  <c r="CA32" i="12" s="1"/>
  <c r="CB32" i="12" s="1"/>
  <c r="CC32" i="12" s="1"/>
  <c r="CD32" i="12" s="1"/>
  <c r="CE32" i="12" s="1"/>
  <c r="CF32" i="12" s="1"/>
  <c r="CG32" i="12" s="1"/>
  <c r="CH32" i="12" s="1"/>
  <c r="CI32" i="12" s="1"/>
  <c r="CJ32" i="12" s="1"/>
  <c r="CK32" i="12" s="1"/>
  <c r="CL32" i="12" s="1"/>
  <c r="CM32" i="12" s="1"/>
  <c r="CN32" i="12" s="1"/>
  <c r="CO32" i="12" s="1"/>
  <c r="CP32" i="12" s="1"/>
  <c r="CQ32" i="12" s="1"/>
  <c r="CR32" i="12" s="1"/>
  <c r="CS32" i="12" s="1"/>
  <c r="CT32" i="12" s="1"/>
  <c r="CU32" i="12" s="1"/>
  <c r="CV32" i="12" s="1"/>
  <c r="CW32" i="12" s="1"/>
  <c r="CX32" i="12" s="1"/>
  <c r="CY32" i="12" s="1"/>
  <c r="CZ32" i="12" s="1"/>
  <c r="L8" i="12"/>
  <c r="AH91" i="12"/>
  <c r="AF7" i="12"/>
  <c r="M7" i="12"/>
  <c r="AP28" i="12"/>
  <c r="U96" i="12"/>
  <c r="AO96" i="12"/>
  <c r="O96" i="12"/>
  <c r="AP96" i="12"/>
  <c r="AI32" i="12"/>
  <c r="X7" i="12"/>
  <c r="AE60" i="12"/>
  <c r="N32" i="12"/>
  <c r="AG8" i="12"/>
  <c r="Z32" i="12"/>
  <c r="AB92" i="12"/>
  <c r="AH89" i="12"/>
  <c r="K7" i="12"/>
  <c r="X89" i="12"/>
  <c r="AA8" i="12"/>
  <c r="P90" i="12"/>
  <c r="AC32" i="12"/>
  <c r="O92" i="12"/>
  <c r="U32" i="12"/>
  <c r="BR532" i="11"/>
  <c r="BN532" i="11" s="1"/>
  <c r="BO532" i="11" s="1"/>
  <c r="BP532" i="11" s="1"/>
  <c r="BQ532" i="11" s="1"/>
  <c r="AJ392" i="11"/>
  <c r="AK392" i="11" s="1"/>
  <c r="AL392" i="11" s="1"/>
  <c r="AM392" i="11" s="1"/>
  <c r="AN392" i="11" s="1"/>
  <c r="AO392" i="11" s="1"/>
  <c r="AP392" i="11" s="1"/>
  <c r="AQ392" i="11" s="1"/>
  <c r="AR392" i="11" s="1"/>
  <c r="AS392" i="11" s="1"/>
  <c r="AT392" i="11" s="1"/>
  <c r="AU392" i="11" s="1"/>
  <c r="AV392" i="11" s="1"/>
  <c r="AW392" i="11" s="1"/>
  <c r="O28" i="12"/>
  <c r="AA32" i="12"/>
  <c r="R25" i="12"/>
  <c r="AY494" i="11"/>
  <c r="AZ494" i="11" s="1"/>
  <c r="BA494" i="11" s="1"/>
  <c r="BB494" i="11" s="1"/>
  <c r="BC494" i="11" s="1"/>
  <c r="BD494" i="11" s="1"/>
  <c r="BE494" i="11" s="1"/>
  <c r="BF494" i="11" s="1"/>
  <c r="BG494" i="11" s="1"/>
  <c r="BH494" i="11" s="1"/>
  <c r="BI494" i="11" s="1"/>
  <c r="BJ494" i="11" s="1"/>
  <c r="BK494" i="11" s="1"/>
  <c r="BL494" i="11" s="1"/>
  <c r="Z642" i="11"/>
  <c r="AA472" i="11" s="1"/>
  <c r="AB472" i="11" s="1"/>
  <c r="AC472" i="11" s="1"/>
  <c r="AD472" i="11" s="1"/>
  <c r="AE472" i="11" s="1"/>
  <c r="AF472" i="11" s="1"/>
  <c r="AG472" i="11" s="1"/>
  <c r="AH472" i="11" s="1"/>
  <c r="AX472" i="11"/>
  <c r="AD28" i="12"/>
  <c r="T96" i="12"/>
  <c r="R92" i="12"/>
  <c r="AI62" i="12"/>
  <c r="AF28" i="12"/>
  <c r="AR96" i="12"/>
  <c r="T32" i="12"/>
  <c r="Z641" i="11"/>
  <c r="AA471" i="11" s="1"/>
  <c r="AB471" i="11" s="1"/>
  <c r="AC471" i="11" s="1"/>
  <c r="AD471" i="11" s="1"/>
  <c r="AE471" i="11" s="1"/>
  <c r="AF471" i="11" s="1"/>
  <c r="AG471" i="11" s="1"/>
  <c r="AH471" i="11" s="1"/>
  <c r="AX471" i="11"/>
  <c r="W26" i="12"/>
  <c r="V59" i="12"/>
  <c r="AM91" i="12"/>
  <c r="BB91" i="12" s="1"/>
  <c r="BQ91" i="12" s="1"/>
  <c r="AA91" i="12"/>
  <c r="V7" i="12"/>
  <c r="N28" i="12"/>
  <c r="AN96" i="12"/>
  <c r="Q96" i="12"/>
  <c r="P96" i="12"/>
  <c r="AK96" i="12"/>
  <c r="AH96" i="12"/>
  <c r="V10" i="12"/>
  <c r="O90" i="12"/>
  <c r="U92" i="12"/>
  <c r="AK32" i="12"/>
  <c r="R32" i="12"/>
  <c r="AM92" i="12"/>
  <c r="BB92" i="12" s="1"/>
  <c r="BQ92" i="12" s="1"/>
  <c r="BV92" i="12" s="1"/>
  <c r="S92" i="12"/>
  <c r="W90" i="12"/>
  <c r="AD32" i="12"/>
  <c r="AF32" i="12"/>
  <c r="AQ90" i="12"/>
  <c r="AL97" i="12"/>
  <c r="H8" i="12"/>
  <c r="AB28" i="12"/>
  <c r="AP92" i="12"/>
  <c r="AF96" i="12"/>
  <c r="AA96" i="12"/>
  <c r="AB89" i="12"/>
  <c r="AN59" i="12"/>
  <c r="AD91" i="12"/>
  <c r="AD7" i="12"/>
  <c r="I7" i="12"/>
  <c r="AJ28" i="12"/>
  <c r="AG96" i="12"/>
  <c r="AI96" i="12"/>
  <c r="AC96" i="12"/>
  <c r="AD96" i="12"/>
  <c r="AJ90" i="12"/>
  <c r="O8" i="12"/>
  <c r="X32" i="12"/>
  <c r="AE32" i="12"/>
  <c r="AE89" i="12"/>
  <c r="AO32" i="12"/>
  <c r="W32" i="12"/>
  <c r="R62" i="12"/>
  <c r="AG26" i="12"/>
  <c r="X59" i="12"/>
  <c r="AR61" i="12"/>
  <c r="AO90" i="12"/>
  <c r="AX358" i="11"/>
  <c r="BM358" i="11" s="1"/>
  <c r="AX483" i="11"/>
  <c r="Z653" i="11"/>
  <c r="AA483" i="11" s="1"/>
  <c r="AB483" i="11" s="1"/>
  <c r="AC483" i="11" s="1"/>
  <c r="AD483" i="11" s="1"/>
  <c r="AE483" i="11" s="1"/>
  <c r="AF483" i="11" s="1"/>
  <c r="AG483" i="11" s="1"/>
  <c r="AH483" i="11" s="1"/>
  <c r="Z539" i="11"/>
  <c r="AA369" i="11" s="1"/>
  <c r="AB369" i="11" s="1"/>
  <c r="AC369" i="11" s="1"/>
  <c r="AD369" i="11" s="1"/>
  <c r="AE369" i="11" s="1"/>
  <c r="AF369" i="11" s="1"/>
  <c r="AG369" i="11" s="1"/>
  <c r="AH369" i="11" s="1"/>
  <c r="AX369" i="11"/>
  <c r="AM96" i="12"/>
  <c r="BB96" i="12" s="1"/>
  <c r="BQ96" i="12" s="1"/>
  <c r="AM28" i="12"/>
  <c r="BB28" i="12" s="1"/>
  <c r="BQ28" i="12" s="1"/>
  <c r="AL96" i="12"/>
  <c r="AP32" i="12"/>
  <c r="AH92" i="12"/>
  <c r="AX263" i="11"/>
  <c r="AE263" i="11"/>
  <c r="AF263" i="11" s="1"/>
  <c r="AG263" i="11" s="1"/>
  <c r="AH263" i="11" s="1"/>
  <c r="AK89" i="12"/>
  <c r="Z7" i="12"/>
  <c r="U7" i="12"/>
  <c r="V96" i="12"/>
  <c r="AQ96" i="12"/>
  <c r="K15" i="12"/>
  <c r="AF89" i="12"/>
  <c r="AN32" i="12"/>
  <c r="V32" i="12"/>
  <c r="AN89" i="12"/>
  <c r="Q92" i="12"/>
  <c r="AG89" i="12"/>
  <c r="AP89" i="12"/>
  <c r="BN494" i="11"/>
  <c r="BO494" i="11" s="1"/>
  <c r="BP494" i="11" s="1"/>
  <c r="BQ494" i="11" s="1"/>
  <c r="W8" i="12"/>
  <c r="T28" i="12"/>
  <c r="AE253" i="11"/>
  <c r="AF253" i="11" s="1"/>
  <c r="AG253" i="11" s="1"/>
  <c r="AH253" i="11" s="1"/>
  <c r="AX253" i="11"/>
  <c r="AJ253" i="11" s="1"/>
  <c r="AK253" i="11" s="1"/>
  <c r="AL253" i="11" s="1"/>
  <c r="AM253" i="11" s="1"/>
  <c r="AN253" i="11" s="1"/>
  <c r="AO253" i="11" s="1"/>
  <c r="AP253" i="11" s="1"/>
  <c r="AQ253" i="11" s="1"/>
  <c r="AR253" i="11" s="1"/>
  <c r="AS253" i="11" s="1"/>
  <c r="AT253" i="11" s="1"/>
  <c r="AU253" i="11" s="1"/>
  <c r="AV253" i="11" s="1"/>
  <c r="AW253" i="11" s="1"/>
  <c r="AC26" i="12"/>
  <c r="T59" i="12"/>
  <c r="Q59" i="12"/>
  <c r="AP62" i="12"/>
  <c r="W10" i="12"/>
  <c r="Y10" i="12"/>
  <c r="AB61" i="12"/>
  <c r="X97" i="12"/>
  <c r="AQ60" i="12"/>
  <c r="AF8" i="12"/>
  <c r="Y27" i="12"/>
  <c r="Z27" i="12"/>
  <c r="AB59" i="12"/>
  <c r="AN61" i="12"/>
  <c r="AC65" i="12"/>
  <c r="AG65" i="12"/>
  <c r="O26" i="12"/>
  <c r="P59" i="12"/>
  <c r="V91" i="12"/>
  <c r="AR91" i="12"/>
  <c r="O91" i="12"/>
  <c r="X28" i="12"/>
  <c r="AN28" i="12"/>
  <c r="AG28" i="12"/>
  <c r="AQ62" i="12"/>
  <c r="AG10" i="12"/>
  <c r="AA10" i="12"/>
  <c r="W97" i="12"/>
  <c r="P97" i="12"/>
  <c r="AB91" i="12"/>
  <c r="AJ60" i="12"/>
  <c r="Q89" i="12"/>
  <c r="AB8" i="12"/>
  <c r="AC89" i="12"/>
  <c r="AD8" i="12"/>
  <c r="Y89" i="12"/>
  <c r="AB90" i="12"/>
  <c r="AM89" i="12"/>
  <c r="BB89" i="12" s="1"/>
  <c r="BQ89" i="12" s="1"/>
  <c r="BC89" i="12" s="1"/>
  <c r="BD89" i="12" s="1"/>
  <c r="BE89" i="12" s="1"/>
  <c r="BF89" i="12" s="1"/>
  <c r="BG89" i="12" s="1"/>
  <c r="BH89" i="12" s="1"/>
  <c r="BI89" i="12" s="1"/>
  <c r="BJ89" i="12" s="1"/>
  <c r="BK89" i="12" s="1"/>
  <c r="BL89" i="12" s="1"/>
  <c r="BM89" i="12" s="1"/>
  <c r="BN89" i="12" s="1"/>
  <c r="BO89" i="12" s="1"/>
  <c r="BP89" i="12" s="1"/>
  <c r="P8" i="12"/>
  <c r="W27" i="12"/>
  <c r="AK27" i="12"/>
  <c r="AQ27" i="12"/>
  <c r="V90" i="12"/>
  <c r="X25" i="12"/>
  <c r="Y96" i="12"/>
  <c r="AR59" i="12"/>
  <c r="R61" i="12"/>
  <c r="AS98" i="12"/>
  <c r="AT98" i="12" s="1"/>
  <c r="AU98" i="12" s="1"/>
  <c r="AV98" i="12" s="1"/>
  <c r="AW98" i="12" s="1"/>
  <c r="AX98" i="12" s="1"/>
  <c r="AY98" i="12" s="1"/>
  <c r="AZ98" i="12" s="1"/>
  <c r="BA98" i="12" s="1"/>
  <c r="AG59" i="12"/>
  <c r="AH60" i="12"/>
  <c r="BM266" i="11"/>
  <c r="BR266" i="11" s="1"/>
  <c r="BN266" i="11" s="1"/>
  <c r="BO266" i="11" s="1"/>
  <c r="BP266" i="11" s="1"/>
  <c r="BQ266" i="11" s="1"/>
  <c r="P89" i="12"/>
  <c r="Y65" i="12"/>
  <c r="AE26" i="12"/>
  <c r="AM26" i="12"/>
  <c r="BB26" i="12" s="1"/>
  <c r="BQ26" i="12" s="1"/>
  <c r="AD59" i="12"/>
  <c r="AO91" i="12"/>
  <c r="Z91" i="12"/>
  <c r="Q28" i="12"/>
  <c r="AC28" i="12"/>
  <c r="Y28" i="12"/>
  <c r="AO62" i="12"/>
  <c r="AL59" i="12"/>
  <c r="AC8" i="12"/>
  <c r="AD89" i="12"/>
  <c r="O89" i="12"/>
  <c r="M8" i="12"/>
  <c r="T8" i="12"/>
  <c r="X10" i="12"/>
  <c r="AO27" i="12"/>
  <c r="P27" i="12"/>
  <c r="Q62" i="12"/>
  <c r="V27" i="12"/>
  <c r="N10" i="12"/>
  <c r="U97" i="12"/>
  <c r="X26" i="12"/>
  <c r="AA62" i="12"/>
  <c r="V97" i="12"/>
  <c r="O61" i="12"/>
  <c r="R10" i="12"/>
  <c r="P61" i="12"/>
  <c r="R89" i="12"/>
  <c r="AE65" i="12"/>
  <c r="AH65" i="12"/>
  <c r="V26" i="12"/>
  <c r="R59" i="12"/>
  <c r="AE59" i="12"/>
  <c r="AI91" i="12"/>
  <c r="S91" i="12"/>
  <c r="T91" i="12"/>
  <c r="AN91" i="12"/>
  <c r="Z28" i="12"/>
  <c r="AE28" i="12"/>
  <c r="W28" i="12"/>
  <c r="V62" i="12"/>
  <c r="J10" i="12"/>
  <c r="AH59" i="12"/>
  <c r="AD90" i="12"/>
  <c r="AI90" i="12"/>
  <c r="V28" i="12"/>
  <c r="X8" i="12"/>
  <c r="K8" i="12"/>
  <c r="AL89" i="12"/>
  <c r="AE90" i="12"/>
  <c r="P10" i="12"/>
  <c r="L10" i="12"/>
  <c r="X27" i="12"/>
  <c r="AD27" i="12"/>
  <c r="U61" i="12"/>
  <c r="AG61" i="12"/>
  <c r="AY393" i="11"/>
  <c r="AZ393" i="11" s="1"/>
  <c r="BA393" i="11" s="1"/>
  <c r="BB393" i="11" s="1"/>
  <c r="BC393" i="11" s="1"/>
  <c r="BD393" i="11" s="1"/>
  <c r="BE393" i="11" s="1"/>
  <c r="BF393" i="11" s="1"/>
  <c r="BG393" i="11" s="1"/>
  <c r="BH393" i="11" s="1"/>
  <c r="BI393" i="11" s="1"/>
  <c r="BJ393" i="11" s="1"/>
  <c r="BK393" i="11" s="1"/>
  <c r="BL393" i="11" s="1"/>
  <c r="K10" i="12"/>
  <c r="AQ61" i="12"/>
  <c r="AI26" i="12"/>
  <c r="AL26" i="12"/>
  <c r="AI89" i="12"/>
  <c r="AM65" i="12"/>
  <c r="BB65" i="12" s="1"/>
  <c r="BQ65" i="12" s="1"/>
  <c r="AP59" i="12"/>
  <c r="AA59" i="12"/>
  <c r="AR28" i="12"/>
  <c r="P91" i="12"/>
  <c r="Y91" i="12"/>
  <c r="AK28" i="12"/>
  <c r="AI28" i="12"/>
  <c r="R28" i="12"/>
  <c r="AG62" i="12"/>
  <c r="AK90" i="12"/>
  <c r="O59" i="12"/>
  <c r="Z89" i="12"/>
  <c r="N8" i="12"/>
  <c r="V8" i="12"/>
  <c r="S89" i="12"/>
  <c r="AG27" i="12"/>
  <c r="AE27" i="12"/>
  <c r="O27" i="12"/>
  <c r="O14" i="12"/>
  <c r="P14" i="12" s="1"/>
  <c r="Q14" i="12" s="1"/>
  <c r="R14" i="12" s="1"/>
  <c r="S14" i="12" s="1"/>
  <c r="T14" i="12" s="1"/>
  <c r="C132" i="6"/>
  <c r="F25" i="35"/>
  <c r="AS95" i="12"/>
  <c r="AT95" i="12" s="1"/>
  <c r="AU95" i="12" s="1"/>
  <c r="AV95" i="12" s="1"/>
  <c r="AW95" i="12" s="1"/>
  <c r="AX95" i="12" s="1"/>
  <c r="AY95" i="12" s="1"/>
  <c r="AZ95" i="12" s="1"/>
  <c r="BA95" i="12" s="1"/>
  <c r="AS68" i="12"/>
  <c r="AT68" i="12" s="1"/>
  <c r="AU68" i="12" s="1"/>
  <c r="AV68" i="12" s="1"/>
  <c r="AW68" i="12" s="1"/>
  <c r="AX68" i="12" s="1"/>
  <c r="AY68" i="12" s="1"/>
  <c r="AZ68" i="12" s="1"/>
  <c r="BA68" i="12" s="1"/>
  <c r="BC18" i="12"/>
  <c r="BD18" i="12" s="1"/>
  <c r="BE18" i="12" s="1"/>
  <c r="BF18" i="12" s="1"/>
  <c r="BG18" i="12" s="1"/>
  <c r="BH18" i="12" s="1"/>
  <c r="BI18" i="12" s="1"/>
  <c r="BJ18" i="12" s="1"/>
  <c r="BK18" i="12" s="1"/>
  <c r="BL18" i="12" s="1"/>
  <c r="BM18" i="12" s="1"/>
  <c r="BN18" i="12" s="1"/>
  <c r="BO18" i="12" s="1"/>
  <c r="BP18" i="12" s="1"/>
  <c r="F27" i="35"/>
  <c r="AI18" i="12"/>
  <c r="AJ18" i="12" s="1"/>
  <c r="AK18" i="12" s="1"/>
  <c r="AL18" i="12" s="1"/>
  <c r="AM18" i="12" s="1"/>
  <c r="AN18" i="12" s="1"/>
  <c r="AO18" i="12" s="1"/>
  <c r="AP18" i="12" s="1"/>
  <c r="AQ18" i="12" s="1"/>
  <c r="AR18" i="12" s="1"/>
  <c r="AS18" i="12" s="1"/>
  <c r="AT18" i="12" s="1"/>
  <c r="AU18" i="12" s="1"/>
  <c r="AV18" i="12" s="1"/>
  <c r="AW18" i="12" s="1"/>
  <c r="AX18" i="12" s="1"/>
  <c r="AY18" i="12" s="1"/>
  <c r="AZ18" i="12" s="1"/>
  <c r="BA18" i="12" s="1"/>
  <c r="AS33" i="12"/>
  <c r="AT33" i="12" s="1"/>
  <c r="AU33" i="12" s="1"/>
  <c r="AV33" i="12" s="1"/>
  <c r="AW33" i="12" s="1"/>
  <c r="AX33" i="12" s="1"/>
  <c r="AY33" i="12" s="1"/>
  <c r="AZ33" i="12" s="1"/>
  <c r="BA33" i="12" s="1"/>
  <c r="AS66" i="12"/>
  <c r="AT66" i="12" s="1"/>
  <c r="AU66" i="12" s="1"/>
  <c r="AV66" i="12" s="1"/>
  <c r="AW66" i="12" s="1"/>
  <c r="AX66" i="12" s="1"/>
  <c r="AY66" i="12" s="1"/>
  <c r="AZ66" i="12" s="1"/>
  <c r="BA66" i="12" s="1"/>
  <c r="G111" i="119"/>
  <c r="O112" i="119"/>
  <c r="G115" i="119"/>
  <c r="O116" i="119"/>
  <c r="G117" i="119"/>
  <c r="O118" i="119"/>
  <c r="G120" i="119"/>
  <c r="O121" i="119"/>
  <c r="G122" i="119"/>
  <c r="O123" i="119"/>
  <c r="G125" i="119"/>
  <c r="O126" i="119"/>
  <c r="G127" i="119"/>
  <c r="O128" i="119"/>
  <c r="G130" i="119"/>
  <c r="O131" i="119"/>
  <c r="G132" i="119"/>
  <c r="O133" i="119"/>
  <c r="G135" i="119"/>
  <c r="O136" i="119"/>
  <c r="G137" i="119"/>
  <c r="O138" i="119"/>
  <c r="G140" i="119"/>
  <c r="O141" i="119"/>
  <c r="G142" i="119"/>
  <c r="O143" i="119"/>
  <c r="G145" i="119"/>
  <c r="O146" i="119"/>
  <c r="G147" i="119"/>
  <c r="O148" i="119"/>
  <c r="I116" i="119"/>
  <c r="Q118" i="119"/>
  <c r="I123" i="119"/>
  <c r="I126" i="119"/>
  <c r="Q128" i="119"/>
  <c r="I133" i="119"/>
  <c r="Q136" i="119"/>
  <c r="I141" i="119"/>
  <c r="Q143" i="119"/>
  <c r="I148" i="119"/>
  <c r="R112" i="119"/>
  <c r="J118" i="119"/>
  <c r="R121" i="119"/>
  <c r="R126" i="119"/>
  <c r="J131" i="119"/>
  <c r="R133" i="119"/>
  <c r="J138" i="119"/>
  <c r="R141" i="119"/>
  <c r="J146" i="119"/>
  <c r="R148" i="119"/>
  <c r="K118" i="119"/>
  <c r="S121" i="119"/>
  <c r="K126" i="119"/>
  <c r="S128" i="119"/>
  <c r="K133" i="119"/>
  <c r="K138" i="119"/>
  <c r="S141" i="119"/>
  <c r="K146" i="119"/>
  <c r="S148" i="119"/>
  <c r="L126" i="119"/>
  <c r="L133" i="119"/>
  <c r="L141" i="119"/>
  <c r="L148" i="119"/>
  <c r="E111" i="119"/>
  <c r="M116" i="119"/>
  <c r="E120" i="119"/>
  <c r="M123" i="119"/>
  <c r="E127" i="119"/>
  <c r="M131" i="119"/>
  <c r="E135" i="119"/>
  <c r="M138" i="119"/>
  <c r="E142" i="119"/>
  <c r="M146" i="119"/>
  <c r="H112" i="119"/>
  <c r="P112" i="119"/>
  <c r="H116" i="119"/>
  <c r="P116" i="119"/>
  <c r="H118" i="119"/>
  <c r="P118" i="119"/>
  <c r="H121" i="119"/>
  <c r="P121" i="119"/>
  <c r="H123" i="119"/>
  <c r="P123" i="119"/>
  <c r="H126" i="119"/>
  <c r="P126" i="119"/>
  <c r="H128" i="119"/>
  <c r="P128" i="119"/>
  <c r="H131" i="119"/>
  <c r="P131" i="119"/>
  <c r="H133" i="119"/>
  <c r="P133" i="119"/>
  <c r="H136" i="119"/>
  <c r="P136" i="119"/>
  <c r="H138" i="119"/>
  <c r="P138" i="119"/>
  <c r="H141" i="119"/>
  <c r="P141" i="119"/>
  <c r="H143" i="119"/>
  <c r="P143" i="119"/>
  <c r="H146" i="119"/>
  <c r="P146" i="119"/>
  <c r="H148" i="119"/>
  <c r="P148" i="119"/>
  <c r="I112" i="119"/>
  <c r="Q112" i="119"/>
  <c r="Q116" i="119"/>
  <c r="I118" i="119"/>
  <c r="I121" i="119"/>
  <c r="Q123" i="119"/>
  <c r="I128" i="119"/>
  <c r="Q131" i="119"/>
  <c r="I136" i="119"/>
  <c r="Q138" i="119"/>
  <c r="I143" i="119"/>
  <c r="Q146" i="119"/>
  <c r="J112" i="119"/>
  <c r="R116" i="119"/>
  <c r="J121" i="119"/>
  <c r="R123" i="119"/>
  <c r="J128" i="119"/>
  <c r="R131" i="119"/>
  <c r="J136" i="119"/>
  <c r="J141" i="119"/>
  <c r="R143" i="119"/>
  <c r="J148" i="119"/>
  <c r="K116" i="119"/>
  <c r="S118" i="119"/>
  <c r="S123" i="119"/>
  <c r="K128" i="119"/>
  <c r="S131" i="119"/>
  <c r="K136" i="119"/>
  <c r="S138" i="119"/>
  <c r="K143" i="119"/>
  <c r="S146" i="119"/>
  <c r="L112" i="119"/>
  <c r="L116" i="119"/>
  <c r="L123" i="119"/>
  <c r="L128" i="119"/>
  <c r="L136" i="119"/>
  <c r="L143" i="119"/>
  <c r="M112" i="119"/>
  <c r="E117" i="119"/>
  <c r="M121" i="119"/>
  <c r="E125" i="119"/>
  <c r="M128" i="119"/>
  <c r="E132" i="119"/>
  <c r="E137" i="119"/>
  <c r="M141" i="119"/>
  <c r="E145" i="119"/>
  <c r="M148" i="119"/>
  <c r="F111" i="119"/>
  <c r="N112" i="119"/>
  <c r="F115" i="119"/>
  <c r="N116" i="119"/>
  <c r="F117" i="119"/>
  <c r="N118" i="119"/>
  <c r="F120" i="119"/>
  <c r="N121" i="119"/>
  <c r="F122" i="119"/>
  <c r="N123" i="119"/>
  <c r="F125" i="119"/>
  <c r="N126" i="119"/>
  <c r="F127" i="119"/>
  <c r="N128" i="119"/>
  <c r="F130" i="119"/>
  <c r="N131" i="119"/>
  <c r="F132" i="119"/>
  <c r="N133" i="119"/>
  <c r="F135" i="119"/>
  <c r="N136" i="119"/>
  <c r="F137" i="119"/>
  <c r="N138" i="119"/>
  <c r="F140" i="119"/>
  <c r="N141" i="119"/>
  <c r="F142" i="119"/>
  <c r="N143" i="119"/>
  <c r="F145" i="119"/>
  <c r="N146" i="119"/>
  <c r="F147" i="119"/>
  <c r="N148" i="119"/>
  <c r="Q121" i="119"/>
  <c r="Q126" i="119"/>
  <c r="I131" i="119"/>
  <c r="Q133" i="119"/>
  <c r="I138" i="119"/>
  <c r="Q141" i="119"/>
  <c r="I146" i="119"/>
  <c r="Q148" i="119"/>
  <c r="J116" i="119"/>
  <c r="R118" i="119"/>
  <c r="J123" i="119"/>
  <c r="J126" i="119"/>
  <c r="R128" i="119"/>
  <c r="J133" i="119"/>
  <c r="R136" i="119"/>
  <c r="R138" i="119"/>
  <c r="J143" i="119"/>
  <c r="R146" i="119"/>
  <c r="K112" i="119"/>
  <c r="S112" i="119"/>
  <c r="S116" i="119"/>
  <c r="K121" i="119"/>
  <c r="K123" i="119"/>
  <c r="S126" i="119"/>
  <c r="K131" i="119"/>
  <c r="S133" i="119"/>
  <c r="S136" i="119"/>
  <c r="K141" i="119"/>
  <c r="S143" i="119"/>
  <c r="K148" i="119"/>
  <c r="L118" i="119"/>
  <c r="L121" i="119"/>
  <c r="L131" i="119"/>
  <c r="L138" i="119"/>
  <c r="L146" i="119"/>
  <c r="E115" i="119"/>
  <c r="M118" i="119"/>
  <c r="E122" i="119"/>
  <c r="M126" i="119"/>
  <c r="E130" i="119"/>
  <c r="M133" i="119"/>
  <c r="M136" i="119"/>
  <c r="E140" i="119"/>
  <c r="M143" i="119"/>
  <c r="E147" i="119"/>
  <c r="L105" i="119"/>
  <c r="AX366" i="11"/>
  <c r="AJ366" i="11" s="1"/>
  <c r="AK366" i="11" s="1"/>
  <c r="AL366" i="11" s="1"/>
  <c r="AM366" i="11" s="1"/>
  <c r="AN366" i="11" s="1"/>
  <c r="AO366" i="11" s="1"/>
  <c r="AP366" i="11" s="1"/>
  <c r="AQ366" i="11" s="1"/>
  <c r="AR366" i="11" s="1"/>
  <c r="AS366" i="11" s="1"/>
  <c r="AT366" i="11" s="1"/>
  <c r="AU366" i="11" s="1"/>
  <c r="AV366" i="11" s="1"/>
  <c r="AW366" i="11" s="1"/>
  <c r="Z536" i="11"/>
  <c r="AA366" i="11" s="1"/>
  <c r="AB366" i="11" s="1"/>
  <c r="AC366" i="11" s="1"/>
  <c r="AD366" i="11" s="1"/>
  <c r="AE366" i="11" s="1"/>
  <c r="AF366" i="11" s="1"/>
  <c r="AG366" i="11" s="1"/>
  <c r="AH366" i="11" s="1"/>
  <c r="AB15" i="12"/>
  <c r="AN97" i="12"/>
  <c r="N62" i="12"/>
  <c r="O15" i="12"/>
  <c r="AP97" i="12"/>
  <c r="AC97" i="12"/>
  <c r="B95" i="34"/>
  <c r="G32" i="34"/>
  <c r="AX357" i="11"/>
  <c r="AJ357" i="11" s="1"/>
  <c r="AK357" i="11" s="1"/>
  <c r="AL357" i="11" s="1"/>
  <c r="AM357" i="11" s="1"/>
  <c r="AN357" i="11" s="1"/>
  <c r="AO357" i="11" s="1"/>
  <c r="AP357" i="11" s="1"/>
  <c r="AQ357" i="11" s="1"/>
  <c r="AR357" i="11" s="1"/>
  <c r="AS357" i="11" s="1"/>
  <c r="AT357" i="11" s="1"/>
  <c r="AU357" i="11" s="1"/>
  <c r="AV357" i="11" s="1"/>
  <c r="AW357" i="11" s="1"/>
  <c r="Z527" i="11"/>
  <c r="AA357" i="11" s="1"/>
  <c r="AB357" i="11" s="1"/>
  <c r="AC357" i="11" s="1"/>
  <c r="AD357" i="11" s="1"/>
  <c r="AE357" i="11" s="1"/>
  <c r="AF357" i="11" s="1"/>
  <c r="AG357" i="11" s="1"/>
  <c r="AH357" i="11" s="1"/>
  <c r="AX267" i="11"/>
  <c r="AJ267" i="11" s="1"/>
  <c r="AK267" i="11" s="1"/>
  <c r="AL267" i="11" s="1"/>
  <c r="AM267" i="11" s="1"/>
  <c r="AN267" i="11" s="1"/>
  <c r="AO267" i="11" s="1"/>
  <c r="AP267" i="11" s="1"/>
  <c r="AQ267" i="11" s="1"/>
  <c r="AR267" i="11" s="1"/>
  <c r="AS267" i="11" s="1"/>
  <c r="AT267" i="11" s="1"/>
  <c r="AU267" i="11" s="1"/>
  <c r="AV267" i="11" s="1"/>
  <c r="AW267" i="11" s="1"/>
  <c r="AE267" i="11"/>
  <c r="AF267" i="11" s="1"/>
  <c r="AG267" i="11" s="1"/>
  <c r="AH267" i="11" s="1"/>
  <c r="AA7" i="12"/>
  <c r="P7" i="12"/>
  <c r="T7" i="12"/>
  <c r="AB7" i="12"/>
  <c r="AH7" i="12"/>
  <c r="BB7" i="12" s="1"/>
  <c r="BQ7" i="12" s="1"/>
  <c r="W7" i="12"/>
  <c r="O7" i="12"/>
  <c r="AE7" i="12"/>
  <c r="L7" i="12"/>
  <c r="Y7" i="12"/>
  <c r="W15" i="12"/>
  <c r="T15" i="12"/>
  <c r="M15" i="12"/>
  <c r="AE15" i="12"/>
  <c r="V15" i="12"/>
  <c r="S15" i="12"/>
  <c r="X15" i="12"/>
  <c r="I15" i="12"/>
  <c r="Q15" i="12"/>
  <c r="R15" i="12"/>
  <c r="Z15" i="12"/>
  <c r="AC15" i="12"/>
  <c r="U15" i="12"/>
  <c r="AX376" i="11"/>
  <c r="Z546" i="11"/>
  <c r="AA376" i="11" s="1"/>
  <c r="AB376" i="11" s="1"/>
  <c r="AC376" i="11" s="1"/>
  <c r="AD376" i="11" s="1"/>
  <c r="AE376" i="11" s="1"/>
  <c r="AF376" i="11" s="1"/>
  <c r="AG376" i="11" s="1"/>
  <c r="AH376" i="11" s="1"/>
  <c r="Y15" i="12"/>
  <c r="AH62" i="12"/>
  <c r="P62" i="12"/>
  <c r="O62" i="12"/>
  <c r="AE62" i="12"/>
  <c r="AM62" i="12"/>
  <c r="BB62" i="12" s="1"/>
  <c r="U62" i="12"/>
  <c r="Y62" i="12"/>
  <c r="AF62" i="12"/>
  <c r="AD62" i="12"/>
  <c r="S62" i="12"/>
  <c r="AR62" i="12"/>
  <c r="AJ62" i="12"/>
  <c r="AX259" i="11"/>
  <c r="AJ259" i="11" s="1"/>
  <c r="AK259" i="11" s="1"/>
  <c r="AL259" i="11" s="1"/>
  <c r="AM259" i="11" s="1"/>
  <c r="AN259" i="11" s="1"/>
  <c r="AO259" i="11" s="1"/>
  <c r="AP259" i="11" s="1"/>
  <c r="AQ259" i="11" s="1"/>
  <c r="AR259" i="11" s="1"/>
  <c r="AS259" i="11" s="1"/>
  <c r="AT259" i="11" s="1"/>
  <c r="AU259" i="11" s="1"/>
  <c r="AV259" i="11" s="1"/>
  <c r="AW259" i="11" s="1"/>
  <c r="AE259" i="11"/>
  <c r="AF259" i="11" s="1"/>
  <c r="AG259" i="11" s="1"/>
  <c r="AH259" i="11" s="1"/>
  <c r="BM380" i="11"/>
  <c r="AY380" i="11" s="1"/>
  <c r="AZ380" i="11" s="1"/>
  <c r="BA380" i="11" s="1"/>
  <c r="BB380" i="11" s="1"/>
  <c r="BC380" i="11" s="1"/>
  <c r="BD380" i="11" s="1"/>
  <c r="BE380" i="11" s="1"/>
  <c r="BF380" i="11" s="1"/>
  <c r="BG380" i="11" s="1"/>
  <c r="BH380" i="11" s="1"/>
  <c r="BI380" i="11" s="1"/>
  <c r="BJ380" i="11" s="1"/>
  <c r="BK380" i="11" s="1"/>
  <c r="BL380" i="11" s="1"/>
  <c r="AJ380" i="11"/>
  <c r="AK380" i="11" s="1"/>
  <c r="AL380" i="11" s="1"/>
  <c r="AM380" i="11" s="1"/>
  <c r="AN380" i="11" s="1"/>
  <c r="AO380" i="11" s="1"/>
  <c r="AP380" i="11" s="1"/>
  <c r="AQ380" i="11" s="1"/>
  <c r="AR380" i="11" s="1"/>
  <c r="AS380" i="11" s="1"/>
  <c r="AT380" i="11" s="1"/>
  <c r="AU380" i="11" s="1"/>
  <c r="AV380" i="11" s="1"/>
  <c r="AW380" i="11" s="1"/>
  <c r="X62" i="12"/>
  <c r="AN62" i="12"/>
  <c r="AL62" i="12"/>
  <c r="J15" i="12"/>
  <c r="L15" i="12"/>
  <c r="O31" i="12"/>
  <c r="P31" i="12" s="1"/>
  <c r="Q31" i="12" s="1"/>
  <c r="R31" i="12" s="1"/>
  <c r="S31" i="12" s="1"/>
  <c r="T31" i="12" s="1"/>
  <c r="O97" i="12"/>
  <c r="BM254" i="11"/>
  <c r="AY254" i="11" s="1"/>
  <c r="AZ254" i="11" s="1"/>
  <c r="BA254" i="11" s="1"/>
  <c r="BB254" i="11" s="1"/>
  <c r="BC254" i="11" s="1"/>
  <c r="BD254" i="11" s="1"/>
  <c r="BE254" i="11" s="1"/>
  <c r="BF254" i="11" s="1"/>
  <c r="BG254" i="11" s="1"/>
  <c r="BH254" i="11" s="1"/>
  <c r="BI254" i="11" s="1"/>
  <c r="BJ254" i="11" s="1"/>
  <c r="BK254" i="11" s="1"/>
  <c r="BL254" i="11" s="1"/>
  <c r="H15" i="12"/>
  <c r="AK62" i="12"/>
  <c r="W62" i="12"/>
  <c r="N15" i="12"/>
  <c r="AA15" i="12"/>
  <c r="AR97" i="12"/>
  <c r="W60" i="12"/>
  <c r="AN60" i="12"/>
  <c r="AM60" i="12"/>
  <c r="BB60" i="12" s="1"/>
  <c r="AL60" i="12"/>
  <c r="AD60" i="12"/>
  <c r="AR60" i="12"/>
  <c r="P60" i="12"/>
  <c r="N60" i="12"/>
  <c r="AP60" i="12"/>
  <c r="Q60" i="12"/>
  <c r="O60" i="12"/>
  <c r="AO60" i="12"/>
  <c r="S60" i="12"/>
  <c r="AA60" i="12"/>
  <c r="AC60" i="12"/>
  <c r="V60" i="12"/>
  <c r="U60" i="12"/>
  <c r="AB60" i="12"/>
  <c r="AK60" i="12"/>
  <c r="Z60" i="12"/>
  <c r="Y60" i="12"/>
  <c r="AG60" i="12"/>
  <c r="R60" i="12"/>
  <c r="X60" i="12"/>
  <c r="AI60" i="12"/>
  <c r="AF15" i="12"/>
  <c r="AD15" i="12"/>
  <c r="AI97" i="12"/>
  <c r="T97" i="12"/>
  <c r="AB97" i="12"/>
  <c r="R97" i="12"/>
  <c r="AO97" i="12"/>
  <c r="AK97" i="12"/>
  <c r="Y97" i="12"/>
  <c r="AA97" i="12"/>
  <c r="AH97" i="12"/>
  <c r="S97" i="12"/>
  <c r="AF97" i="12"/>
  <c r="AD97" i="12"/>
  <c r="AQ97" i="12"/>
  <c r="Q97" i="12"/>
  <c r="AM97" i="12"/>
  <c r="BB97" i="12" s="1"/>
  <c r="BQ97" i="12" s="1"/>
  <c r="Z62" i="12"/>
  <c r="T62" i="12"/>
  <c r="AG15" i="12"/>
  <c r="P15" i="12"/>
  <c r="Z97" i="12"/>
  <c r="BM488" i="11"/>
  <c r="AY488" i="11" s="1"/>
  <c r="AZ488" i="11" s="1"/>
  <c r="BA488" i="11" s="1"/>
  <c r="BB488" i="11" s="1"/>
  <c r="BC488" i="11" s="1"/>
  <c r="BD488" i="11" s="1"/>
  <c r="BE488" i="11" s="1"/>
  <c r="BF488" i="11" s="1"/>
  <c r="BG488" i="11" s="1"/>
  <c r="BH488" i="11" s="1"/>
  <c r="BI488" i="11" s="1"/>
  <c r="BJ488" i="11" s="1"/>
  <c r="BK488" i="11" s="1"/>
  <c r="BL488" i="11" s="1"/>
  <c r="AJ488" i="11"/>
  <c r="AK488" i="11" s="1"/>
  <c r="AL488" i="11" s="1"/>
  <c r="AM488" i="11" s="1"/>
  <c r="AN488" i="11" s="1"/>
  <c r="AO488" i="11" s="1"/>
  <c r="AP488" i="11" s="1"/>
  <c r="AQ488" i="11" s="1"/>
  <c r="AR488" i="11" s="1"/>
  <c r="AS488" i="11" s="1"/>
  <c r="AT488" i="11" s="1"/>
  <c r="AU488" i="11" s="1"/>
  <c r="AV488" i="11" s="1"/>
  <c r="AW488" i="11" s="1"/>
  <c r="V9" i="12"/>
  <c r="Z9" i="12"/>
  <c r="AC9" i="12"/>
  <c r="I9" i="12"/>
  <c r="O9" i="12"/>
  <c r="AH9" i="12"/>
  <c r="BB9" i="12" s="1"/>
  <c r="J9" i="12"/>
  <c r="Y9" i="12"/>
  <c r="L9" i="12"/>
  <c r="K9" i="12"/>
  <c r="X9" i="12"/>
  <c r="AD9" i="12"/>
  <c r="AB9" i="12"/>
  <c r="H9" i="12"/>
  <c r="R9" i="12"/>
  <c r="U9" i="12"/>
  <c r="AE9" i="12"/>
  <c r="AD92" i="12"/>
  <c r="W92" i="12"/>
  <c r="AN92" i="12"/>
  <c r="AR92" i="12"/>
  <c r="V92" i="12"/>
  <c r="AK92" i="12"/>
  <c r="Y92" i="12"/>
  <c r="Z92" i="12"/>
  <c r="AJ92" i="12"/>
  <c r="AL92" i="12"/>
  <c r="P92" i="12"/>
  <c r="AO92" i="12"/>
  <c r="X92" i="12"/>
  <c r="AA92" i="12"/>
  <c r="T92" i="12"/>
  <c r="AQ92" i="12"/>
  <c r="AE97" i="12"/>
  <c r="BM392" i="11"/>
  <c r="AY392" i="11" s="1"/>
  <c r="AZ392" i="11" s="1"/>
  <c r="BA392" i="11" s="1"/>
  <c r="BB392" i="11" s="1"/>
  <c r="BC392" i="11" s="1"/>
  <c r="BD392" i="11" s="1"/>
  <c r="BE392" i="11" s="1"/>
  <c r="BF392" i="11" s="1"/>
  <c r="BG392" i="11" s="1"/>
  <c r="BH392" i="11" s="1"/>
  <c r="BI392" i="11" s="1"/>
  <c r="BJ392" i="11" s="1"/>
  <c r="BK392" i="11" s="1"/>
  <c r="BL392" i="11" s="1"/>
  <c r="BR393" i="11"/>
  <c r="BN393" i="11" s="1"/>
  <c r="BO393" i="11" s="1"/>
  <c r="BP393" i="11" s="1"/>
  <c r="BQ393" i="11" s="1"/>
  <c r="AC61" i="12"/>
  <c r="AH61" i="12"/>
  <c r="Z59" i="12"/>
  <c r="AM59" i="12"/>
  <c r="BB59" i="12" s="1"/>
  <c r="AC10" i="12"/>
  <c r="S10" i="12"/>
  <c r="AP25" i="12"/>
  <c r="Q25" i="12"/>
  <c r="AQ25" i="12"/>
  <c r="N25" i="12"/>
  <c r="W61" i="12"/>
  <c r="V61" i="12"/>
  <c r="AH90" i="12"/>
  <c r="S90" i="12"/>
  <c r="T90" i="12"/>
  <c r="AL90" i="12"/>
  <c r="Y90" i="12"/>
  <c r="AC90" i="12"/>
  <c r="C56" i="34"/>
  <c r="D44" i="34"/>
  <c r="Z61" i="12"/>
  <c r="AK61" i="12"/>
  <c r="AQ59" i="12"/>
  <c r="N61" i="12"/>
  <c r="Q61" i="12"/>
  <c r="AP26" i="12"/>
  <c r="Q26" i="12"/>
  <c r="N26" i="12"/>
  <c r="AD26" i="12"/>
  <c r="AO26" i="12"/>
  <c r="AF26" i="12"/>
  <c r="U26" i="12"/>
  <c r="AQ26" i="12"/>
  <c r="Z26" i="12"/>
  <c r="R26" i="12"/>
  <c r="AJ26" i="12"/>
  <c r="AN26" i="12"/>
  <c r="Y26" i="12"/>
  <c r="AR26" i="12"/>
  <c r="AK26" i="12"/>
  <c r="AB26" i="12"/>
  <c r="S26" i="12"/>
  <c r="Z544" i="11"/>
  <c r="AA374" i="11" s="1"/>
  <c r="AB374" i="11" s="1"/>
  <c r="AC374" i="11" s="1"/>
  <c r="AD374" i="11" s="1"/>
  <c r="AE374" i="11" s="1"/>
  <c r="AF374" i="11" s="1"/>
  <c r="AG374" i="11" s="1"/>
  <c r="AH374" i="11" s="1"/>
  <c r="AX374" i="11"/>
  <c r="AJ59" i="12"/>
  <c r="AB25" i="12"/>
  <c r="AF25" i="12"/>
  <c r="P25" i="12"/>
  <c r="S25" i="12"/>
  <c r="AG25" i="12"/>
  <c r="AJ25" i="12"/>
  <c r="AL25" i="12"/>
  <c r="AF10" i="12"/>
  <c r="AH10" i="12"/>
  <c r="BB10" i="12" s="1"/>
  <c r="H10" i="12"/>
  <c r="M10" i="12"/>
  <c r="O10" i="12"/>
  <c r="Q10" i="12"/>
  <c r="AD10" i="12"/>
  <c r="S61" i="12"/>
  <c r="T61" i="12"/>
  <c r="AD61" i="12"/>
  <c r="T26" i="12"/>
  <c r="AA26" i="12"/>
  <c r="AC59" i="12"/>
  <c r="AO59" i="12"/>
  <c r="T10" i="12"/>
  <c r="AF59" i="12"/>
  <c r="U25" i="12"/>
  <c r="AA61" i="12"/>
  <c r="AK25" i="12"/>
  <c r="AR90" i="12"/>
  <c r="AP61" i="12"/>
  <c r="AE8" i="12"/>
  <c r="I8" i="12"/>
  <c r="Y8" i="12"/>
  <c r="AA28" i="12"/>
  <c r="U90" i="12"/>
  <c r="X90" i="12"/>
  <c r="U8" i="12"/>
  <c r="J8" i="12"/>
  <c r="AA27" i="12"/>
  <c r="S27" i="12"/>
  <c r="U65" i="12"/>
  <c r="N65" i="12"/>
  <c r="AO65" i="12"/>
  <c r="AN65" i="12"/>
  <c r="V65" i="12"/>
  <c r="X65" i="12"/>
  <c r="S65" i="12"/>
  <c r="AI65" i="12"/>
  <c r="AB65" i="12"/>
  <c r="T65" i="12"/>
  <c r="Q65" i="12"/>
  <c r="AJ65" i="12"/>
  <c r="AP65" i="12"/>
  <c r="AL65" i="12"/>
  <c r="O65" i="12"/>
  <c r="W65" i="12"/>
  <c r="AF65" i="12"/>
  <c r="Z660" i="11"/>
  <c r="AA490" i="11" s="1"/>
  <c r="AB490" i="11" s="1"/>
  <c r="AC490" i="11" s="1"/>
  <c r="AD490" i="11" s="1"/>
  <c r="AE490" i="11" s="1"/>
  <c r="AF490" i="11" s="1"/>
  <c r="AG490" i="11" s="1"/>
  <c r="AH490" i="11" s="1"/>
  <c r="AX490" i="11"/>
  <c r="W59" i="12"/>
  <c r="BM507" i="11"/>
  <c r="AY507" i="11" s="1"/>
  <c r="AZ507" i="11" s="1"/>
  <c r="BA507" i="11" s="1"/>
  <c r="BB507" i="11" s="1"/>
  <c r="BC507" i="11" s="1"/>
  <c r="BD507" i="11" s="1"/>
  <c r="BE507" i="11" s="1"/>
  <c r="BF507" i="11" s="1"/>
  <c r="BG507" i="11" s="1"/>
  <c r="BH507" i="11" s="1"/>
  <c r="BI507" i="11" s="1"/>
  <c r="BJ507" i="11" s="1"/>
  <c r="BK507" i="11" s="1"/>
  <c r="BL507" i="11" s="1"/>
  <c r="AJ507" i="11"/>
  <c r="AK507" i="11" s="1"/>
  <c r="AL507" i="11" s="1"/>
  <c r="AM507" i="11" s="1"/>
  <c r="AN507" i="11" s="1"/>
  <c r="AO507" i="11" s="1"/>
  <c r="AP507" i="11" s="1"/>
  <c r="AQ507" i="11" s="1"/>
  <c r="AR507" i="11" s="1"/>
  <c r="AS507" i="11" s="1"/>
  <c r="AT507" i="11" s="1"/>
  <c r="AU507" i="11" s="1"/>
  <c r="AV507" i="11" s="1"/>
  <c r="AW507" i="11" s="1"/>
  <c r="AI27" i="12"/>
  <c r="AM61" i="12"/>
  <c r="BB61" i="12" s="1"/>
  <c r="BQ61" i="12" s="1"/>
  <c r="AE61" i="12"/>
  <c r="AF61" i="12"/>
  <c r="AB10" i="12"/>
  <c r="Y61" i="12"/>
  <c r="P49" i="14"/>
  <c r="P26" i="12"/>
  <c r="AI59" i="12"/>
  <c r="U59" i="12"/>
  <c r="U10" i="12"/>
  <c r="AE25" i="12"/>
  <c r="N59" i="12"/>
  <c r="AN25" i="12"/>
  <c r="AG90" i="12"/>
  <c r="AM90" i="12"/>
  <c r="BB90" i="12" s="1"/>
  <c r="U28" i="12"/>
  <c r="S28" i="12"/>
  <c r="Z10" i="12"/>
  <c r="AA90" i="12"/>
  <c r="Q90" i="12"/>
  <c r="I10" i="12"/>
  <c r="R90" i="12"/>
  <c r="AC27" i="12"/>
  <c r="AP27" i="12"/>
  <c r="AN27" i="12"/>
  <c r="AJ27" i="12"/>
  <c r="T27" i="12"/>
  <c r="Z676" i="11"/>
  <c r="AA506" i="11" s="1"/>
  <c r="AB506" i="11" s="1"/>
  <c r="AC506" i="11" s="1"/>
  <c r="AD506" i="11" s="1"/>
  <c r="AE506" i="11" s="1"/>
  <c r="AF506" i="11" s="1"/>
  <c r="AG506" i="11" s="1"/>
  <c r="AH506" i="11" s="1"/>
  <c r="AX506" i="11"/>
  <c r="AJ506" i="11" s="1"/>
  <c r="AK506" i="11" s="1"/>
  <c r="AL506" i="11" s="1"/>
  <c r="AM506" i="11" s="1"/>
  <c r="AN506" i="11" s="1"/>
  <c r="AO506" i="11" s="1"/>
  <c r="AP506" i="11" s="1"/>
  <c r="AQ506" i="11" s="1"/>
  <c r="AR506" i="11" s="1"/>
  <c r="AS506" i="11" s="1"/>
  <c r="AT506" i="11" s="1"/>
  <c r="AU506" i="11" s="1"/>
  <c r="AV506" i="11" s="1"/>
  <c r="AW506" i="11" s="1"/>
  <c r="AX269" i="11"/>
  <c r="AJ269" i="11" s="1"/>
  <c r="AK269" i="11" s="1"/>
  <c r="AL269" i="11" s="1"/>
  <c r="AM269" i="11" s="1"/>
  <c r="AN269" i="11" s="1"/>
  <c r="AO269" i="11" s="1"/>
  <c r="AP269" i="11" s="1"/>
  <c r="AQ269" i="11" s="1"/>
  <c r="AR269" i="11" s="1"/>
  <c r="AS269" i="11" s="1"/>
  <c r="AT269" i="11" s="1"/>
  <c r="AU269" i="11" s="1"/>
  <c r="AV269" i="11" s="1"/>
  <c r="AW269" i="11" s="1"/>
  <c r="AE269" i="11"/>
  <c r="AF269" i="11" s="1"/>
  <c r="AG269" i="11" s="1"/>
  <c r="AH269" i="11" s="1"/>
  <c r="X61" i="12"/>
  <c r="R27" i="12"/>
  <c r="AL61" i="12"/>
  <c r="BQ33" i="12"/>
  <c r="BV33" i="12" s="1"/>
  <c r="BW33" i="12" s="1"/>
  <c r="BX33" i="12" s="1"/>
  <c r="BY33" i="12" s="1"/>
  <c r="BZ33" i="12" s="1"/>
  <c r="CA33" i="12" s="1"/>
  <c r="CB33" i="12" s="1"/>
  <c r="CC33" i="12" s="1"/>
  <c r="CD33" i="12" s="1"/>
  <c r="CE33" i="12" s="1"/>
  <c r="CF33" i="12" s="1"/>
  <c r="CG33" i="12" s="1"/>
  <c r="CH33" i="12" s="1"/>
  <c r="CI33" i="12" s="1"/>
  <c r="CJ33" i="12" s="1"/>
  <c r="CK33" i="12" s="1"/>
  <c r="CL33" i="12" s="1"/>
  <c r="CM33" i="12" s="1"/>
  <c r="CN33" i="12" s="1"/>
  <c r="CO33" i="12" s="1"/>
  <c r="CP33" i="12" s="1"/>
  <c r="CQ33" i="12" s="1"/>
  <c r="CR33" i="12" s="1"/>
  <c r="CS33" i="12" s="1"/>
  <c r="CT33" i="12" s="1"/>
  <c r="CU33" i="12" s="1"/>
  <c r="CV33" i="12" s="1"/>
  <c r="CW33" i="12" s="1"/>
  <c r="CX33" i="12" s="1"/>
  <c r="CY33" i="12" s="1"/>
  <c r="CZ33" i="12" s="1"/>
  <c r="C20" i="17"/>
  <c r="C21" i="17" s="1"/>
  <c r="C22" i="17" s="1"/>
  <c r="R49" i="14"/>
  <c r="AI17" i="12"/>
  <c r="AJ17" i="12" s="1"/>
  <c r="AK17" i="12" s="1"/>
  <c r="AL17" i="12" s="1"/>
  <c r="AM17" i="12" s="1"/>
  <c r="AN17" i="12" s="1"/>
  <c r="AO17" i="12" s="1"/>
  <c r="AP17" i="12" s="1"/>
  <c r="AQ17" i="12" s="1"/>
  <c r="AR17" i="12" s="1"/>
  <c r="AS17" i="12" s="1"/>
  <c r="AT17" i="12" s="1"/>
  <c r="AU17" i="12" s="1"/>
  <c r="AV17" i="12" s="1"/>
  <c r="AW17" i="12" s="1"/>
  <c r="AX17" i="12" s="1"/>
  <c r="AY17" i="12" s="1"/>
  <c r="AZ17" i="12" s="1"/>
  <c r="BA17" i="12" s="1"/>
  <c r="F24" i="35"/>
  <c r="BC95" i="12"/>
  <c r="BD95" i="12" s="1"/>
  <c r="BE95" i="12" s="1"/>
  <c r="BF95" i="12" s="1"/>
  <c r="BG95" i="12" s="1"/>
  <c r="BH95" i="12" s="1"/>
  <c r="BI95" i="12" s="1"/>
  <c r="BJ95" i="12" s="1"/>
  <c r="BK95" i="12" s="1"/>
  <c r="BL95" i="12" s="1"/>
  <c r="BM95" i="12" s="1"/>
  <c r="BN95" i="12" s="1"/>
  <c r="BO95" i="12" s="1"/>
  <c r="BP95" i="12" s="1"/>
  <c r="C14" i="24"/>
  <c r="H14" i="24" s="1"/>
  <c r="BC67" i="12"/>
  <c r="BD67" i="12" s="1"/>
  <c r="BE67" i="12" s="1"/>
  <c r="BF67" i="12" s="1"/>
  <c r="BG67" i="12" s="1"/>
  <c r="BH67" i="12" s="1"/>
  <c r="BI67" i="12" s="1"/>
  <c r="BJ67" i="12" s="1"/>
  <c r="BK67" i="12" s="1"/>
  <c r="BL67" i="12" s="1"/>
  <c r="BM67" i="12" s="1"/>
  <c r="BN67" i="12" s="1"/>
  <c r="BO67" i="12" s="1"/>
  <c r="BP67" i="12" s="1"/>
  <c r="AS67" i="12"/>
  <c r="AT67" i="12" s="1"/>
  <c r="AU67" i="12" s="1"/>
  <c r="AV67" i="12" s="1"/>
  <c r="AW67" i="12" s="1"/>
  <c r="AX67" i="12" s="1"/>
  <c r="AY67" i="12" s="1"/>
  <c r="AZ67" i="12" s="1"/>
  <c r="BA67" i="12" s="1"/>
  <c r="D66" i="15"/>
  <c r="M66" i="15" s="1"/>
  <c r="C34" i="34"/>
  <c r="E63" i="34" s="1"/>
  <c r="I49" i="14"/>
  <c r="C102" i="34"/>
  <c r="D102" i="34"/>
  <c r="B115" i="34"/>
  <c r="E37" i="34"/>
  <c r="H32" i="34"/>
  <c r="B110" i="34"/>
  <c r="B61" i="34"/>
  <c r="C117" i="34"/>
  <c r="D117" i="34"/>
  <c r="W66" i="15"/>
  <c r="E117" i="34"/>
  <c r="F102" i="34"/>
  <c r="F117" i="34"/>
  <c r="C49" i="14"/>
  <c r="B97" i="14" s="1"/>
  <c r="U65" i="15" s="1"/>
  <c r="E68" i="34"/>
  <c r="D68" i="34"/>
  <c r="C98" i="34"/>
  <c r="C35" i="34"/>
  <c r="E64" i="34" s="1"/>
  <c r="D98" i="34"/>
  <c r="E98" i="34"/>
  <c r="V49" i="14"/>
  <c r="L49" i="14"/>
  <c r="L66" i="15"/>
  <c r="B66" i="34"/>
  <c r="K49" i="14"/>
  <c r="W49" i="14"/>
  <c r="H49" i="14"/>
  <c r="C18" i="24"/>
  <c r="H18" i="24" s="1"/>
  <c r="F21" i="35"/>
  <c r="O49" i="14"/>
  <c r="T49" i="14"/>
  <c r="M49" i="14"/>
  <c r="K66" i="15"/>
  <c r="N49" i="14"/>
  <c r="J49" i="14"/>
  <c r="U49" i="14"/>
  <c r="S49" i="14"/>
  <c r="G49" i="14"/>
  <c r="C16" i="24"/>
  <c r="H16" i="24" s="1"/>
  <c r="F19" i="35"/>
  <c r="Q49" i="14"/>
  <c r="BQ68" i="12"/>
  <c r="BV68" i="12" s="1"/>
  <c r="BW68" i="12" s="1"/>
  <c r="BX68" i="12" s="1"/>
  <c r="BY68" i="12" s="1"/>
  <c r="BZ68" i="12" s="1"/>
  <c r="CA68" i="12" s="1"/>
  <c r="CB68" i="12" s="1"/>
  <c r="CC68" i="12" s="1"/>
  <c r="CD68" i="12" s="1"/>
  <c r="CE68" i="12" s="1"/>
  <c r="CF68" i="12" s="1"/>
  <c r="CG68" i="12" s="1"/>
  <c r="CH68" i="12" s="1"/>
  <c r="CI68" i="12" s="1"/>
  <c r="CJ68" i="12" s="1"/>
  <c r="CK68" i="12" s="1"/>
  <c r="CL68" i="12" s="1"/>
  <c r="CM68" i="12" s="1"/>
  <c r="CN68" i="12" s="1"/>
  <c r="CO68" i="12" s="1"/>
  <c r="CP68" i="12" s="1"/>
  <c r="CQ68" i="12" s="1"/>
  <c r="CR68" i="12" s="1"/>
  <c r="CS68" i="12" s="1"/>
  <c r="CT68" i="12" s="1"/>
  <c r="CU68" i="12" s="1"/>
  <c r="CV68" i="12" s="1"/>
  <c r="CW68" i="12" s="1"/>
  <c r="CX68" i="12" s="1"/>
  <c r="CY68" i="12" s="1"/>
  <c r="CZ68" i="12" s="1"/>
  <c r="E66" i="15"/>
  <c r="D49" i="14"/>
  <c r="F49" i="14"/>
  <c r="C97" i="34"/>
  <c r="E97" i="34"/>
  <c r="D97" i="34"/>
  <c r="C15" i="24"/>
  <c r="H15" i="24" s="1"/>
  <c r="F18" i="35"/>
  <c r="F20" i="35"/>
  <c r="C17" i="24"/>
  <c r="H17" i="24" s="1"/>
  <c r="C19" i="24"/>
  <c r="H19" i="24" s="1"/>
  <c r="F22" i="35"/>
  <c r="F26" i="35"/>
  <c r="C23" i="24"/>
  <c r="H23" i="24" s="1"/>
  <c r="C20" i="24"/>
  <c r="H20" i="24" s="1"/>
  <c r="F23" i="35"/>
  <c r="C25" i="24"/>
  <c r="H25" i="24" s="1"/>
  <c r="F28" i="35"/>
  <c r="F29" i="35"/>
  <c r="C26" i="24"/>
  <c r="H26" i="24" s="1"/>
  <c r="C33" i="34"/>
  <c r="C111" i="34" s="1"/>
  <c r="A16" i="13"/>
  <c r="B16" i="13" s="1"/>
  <c r="C67" i="15"/>
  <c r="Q67" i="15" s="1"/>
  <c r="BC66" i="12"/>
  <c r="BD66" i="12" s="1"/>
  <c r="BE66" i="12" s="1"/>
  <c r="BF66" i="12" s="1"/>
  <c r="BG66" i="12" s="1"/>
  <c r="BH66" i="12" s="1"/>
  <c r="BI66" i="12" s="1"/>
  <c r="BJ66" i="12" s="1"/>
  <c r="BK66" i="12" s="1"/>
  <c r="BL66" i="12" s="1"/>
  <c r="BM66" i="12" s="1"/>
  <c r="BN66" i="12" s="1"/>
  <c r="BO66" i="12" s="1"/>
  <c r="BP66" i="12" s="1"/>
  <c r="BV66" i="12"/>
  <c r="BW66" i="12" s="1"/>
  <c r="BX66" i="12" s="1"/>
  <c r="BY66" i="12" s="1"/>
  <c r="BZ66" i="12" s="1"/>
  <c r="CA66" i="12" s="1"/>
  <c r="CB66" i="12" s="1"/>
  <c r="CC66" i="12" s="1"/>
  <c r="CD66" i="12" s="1"/>
  <c r="CE66" i="12" s="1"/>
  <c r="CF66" i="12" s="1"/>
  <c r="CG66" i="12" s="1"/>
  <c r="CH66" i="12" s="1"/>
  <c r="CI66" i="12" s="1"/>
  <c r="CJ66" i="12" s="1"/>
  <c r="CK66" i="12" s="1"/>
  <c r="CL66" i="12" s="1"/>
  <c r="CM66" i="12" s="1"/>
  <c r="CN66" i="12" s="1"/>
  <c r="CO66" i="12" s="1"/>
  <c r="CP66" i="12" s="1"/>
  <c r="CQ66" i="12" s="1"/>
  <c r="CR66" i="12" s="1"/>
  <c r="CS66" i="12" s="1"/>
  <c r="CT66" i="12" s="1"/>
  <c r="CU66" i="12" s="1"/>
  <c r="CV66" i="12" s="1"/>
  <c r="CW66" i="12" s="1"/>
  <c r="CX66" i="12" s="1"/>
  <c r="CY66" i="12" s="1"/>
  <c r="CZ66" i="12" s="1"/>
  <c r="BQ34" i="12"/>
  <c r="AS34" i="12"/>
  <c r="AT34" i="12" s="1"/>
  <c r="AU34" i="12" s="1"/>
  <c r="AV34" i="12" s="1"/>
  <c r="AW34" i="12" s="1"/>
  <c r="AX34" i="12" s="1"/>
  <c r="AY34" i="12" s="1"/>
  <c r="AZ34" i="12" s="1"/>
  <c r="BA34" i="12" s="1"/>
  <c r="B23" i="17"/>
  <c r="H13" i="24"/>
  <c r="BR95" i="12"/>
  <c r="BS95" i="12" s="1"/>
  <c r="BT95" i="12" s="1"/>
  <c r="BU95" i="12" s="1"/>
  <c r="BQ99" i="12"/>
  <c r="AS99" i="12"/>
  <c r="AT99" i="12" s="1"/>
  <c r="AU99" i="12" s="1"/>
  <c r="AV99" i="12" s="1"/>
  <c r="AW99" i="12" s="1"/>
  <c r="AX99" i="12" s="1"/>
  <c r="AY99" i="12" s="1"/>
  <c r="AZ99" i="12" s="1"/>
  <c r="BA99" i="12" s="1"/>
  <c r="BC98" i="12"/>
  <c r="BD98" i="12" s="1"/>
  <c r="BE98" i="12" s="1"/>
  <c r="BF98" i="12" s="1"/>
  <c r="BG98" i="12" s="1"/>
  <c r="BH98" i="12" s="1"/>
  <c r="BI98" i="12" s="1"/>
  <c r="BJ98" i="12" s="1"/>
  <c r="BK98" i="12" s="1"/>
  <c r="BL98" i="12" s="1"/>
  <c r="BM98" i="12" s="1"/>
  <c r="BN98" i="12" s="1"/>
  <c r="BO98" i="12" s="1"/>
  <c r="BP98" i="12" s="1"/>
  <c r="BV98" i="12"/>
  <c r="BW98" i="12" s="1"/>
  <c r="BX98" i="12" s="1"/>
  <c r="BY98" i="12" s="1"/>
  <c r="BZ98" i="12" s="1"/>
  <c r="CA98" i="12" s="1"/>
  <c r="CB98" i="12" s="1"/>
  <c r="CC98" i="12" s="1"/>
  <c r="CD98" i="12" s="1"/>
  <c r="CE98" i="12" s="1"/>
  <c r="CF98" i="12" s="1"/>
  <c r="CG98" i="12" s="1"/>
  <c r="CH98" i="12" s="1"/>
  <c r="CI98" i="12" s="1"/>
  <c r="CJ98" i="12" s="1"/>
  <c r="CK98" i="12" s="1"/>
  <c r="CL98" i="12" s="1"/>
  <c r="CM98" i="12" s="1"/>
  <c r="CN98" i="12" s="1"/>
  <c r="CO98" i="12" s="1"/>
  <c r="CP98" i="12" s="1"/>
  <c r="CQ98" i="12" s="1"/>
  <c r="CR98" i="12" s="1"/>
  <c r="CS98" i="12" s="1"/>
  <c r="CT98" i="12" s="1"/>
  <c r="CU98" i="12" s="1"/>
  <c r="CV98" i="12" s="1"/>
  <c r="CW98" i="12" s="1"/>
  <c r="CX98" i="12" s="1"/>
  <c r="CY98" i="12" s="1"/>
  <c r="CZ98" i="12" s="1"/>
  <c r="AI16" i="12"/>
  <c r="AJ16" i="12" s="1"/>
  <c r="AK16" i="12" s="1"/>
  <c r="AL16" i="12" s="1"/>
  <c r="AM16" i="12" s="1"/>
  <c r="AN16" i="12" s="1"/>
  <c r="AO16" i="12" s="1"/>
  <c r="AP16" i="12" s="1"/>
  <c r="AQ16" i="12" s="1"/>
  <c r="AR16" i="12" s="1"/>
  <c r="AS16" i="12" s="1"/>
  <c r="AT16" i="12" s="1"/>
  <c r="AU16" i="12" s="1"/>
  <c r="AV16" i="12" s="1"/>
  <c r="AW16" i="12" s="1"/>
  <c r="AX16" i="12" s="1"/>
  <c r="AY16" i="12" s="1"/>
  <c r="AZ16" i="12" s="1"/>
  <c r="BA16" i="12" s="1"/>
  <c r="BQ16" i="12"/>
  <c r="BQ15" i="12"/>
  <c r="AI15" i="12"/>
  <c r="AJ15" i="12" s="1"/>
  <c r="AK15" i="12" s="1"/>
  <c r="AL15" i="12" s="1"/>
  <c r="AM15" i="12" s="1"/>
  <c r="AN15" i="12" s="1"/>
  <c r="AO15" i="12" s="1"/>
  <c r="AP15" i="12" s="1"/>
  <c r="AQ15" i="12" s="1"/>
  <c r="AR15" i="12" s="1"/>
  <c r="AS15" i="12" s="1"/>
  <c r="AT15" i="12" s="1"/>
  <c r="AU15" i="12" s="1"/>
  <c r="AV15" i="12" s="1"/>
  <c r="AW15" i="12" s="1"/>
  <c r="AX15" i="12" s="1"/>
  <c r="AY15" i="12" s="1"/>
  <c r="AZ15" i="12" s="1"/>
  <c r="BA15" i="12" s="1"/>
  <c r="A50" i="14"/>
  <c r="AF66" i="15"/>
  <c r="A98" i="14"/>
  <c r="C98" i="14" s="1"/>
  <c r="BQ100" i="12"/>
  <c r="AS100" i="12"/>
  <c r="AT100" i="12" s="1"/>
  <c r="AU100" i="12" s="1"/>
  <c r="AV100" i="12" s="1"/>
  <c r="AW100" i="12" s="1"/>
  <c r="AX100" i="12" s="1"/>
  <c r="AY100" i="12" s="1"/>
  <c r="AZ100" i="12" s="1"/>
  <c r="BA100" i="12" s="1"/>
  <c r="BC35" i="12"/>
  <c r="BD35" i="12" s="1"/>
  <c r="BE35" i="12" s="1"/>
  <c r="BF35" i="12" s="1"/>
  <c r="BG35" i="12" s="1"/>
  <c r="BH35" i="12" s="1"/>
  <c r="BI35" i="12" s="1"/>
  <c r="BJ35" i="12" s="1"/>
  <c r="BK35" i="12" s="1"/>
  <c r="BL35" i="12" s="1"/>
  <c r="BM35" i="12" s="1"/>
  <c r="BN35" i="12" s="1"/>
  <c r="BO35" i="12" s="1"/>
  <c r="BP35" i="12" s="1"/>
  <c r="BV35" i="12"/>
  <c r="BW35" i="12" s="1"/>
  <c r="BX35" i="12" s="1"/>
  <c r="BY35" i="12" s="1"/>
  <c r="BZ35" i="12" s="1"/>
  <c r="CA35" i="12" s="1"/>
  <c r="CB35" i="12" s="1"/>
  <c r="CC35" i="12" s="1"/>
  <c r="CD35" i="12" s="1"/>
  <c r="CE35" i="12" s="1"/>
  <c r="CF35" i="12" s="1"/>
  <c r="CG35" i="12" s="1"/>
  <c r="CH35" i="12" s="1"/>
  <c r="CI35" i="12" s="1"/>
  <c r="CJ35" i="12" s="1"/>
  <c r="CK35" i="12" s="1"/>
  <c r="CL35" i="12" s="1"/>
  <c r="CM35" i="12" s="1"/>
  <c r="CN35" i="12" s="1"/>
  <c r="CO35" i="12" s="1"/>
  <c r="CP35" i="12" s="1"/>
  <c r="CQ35" i="12" s="1"/>
  <c r="CR35" i="12" s="1"/>
  <c r="CS35" i="12" s="1"/>
  <c r="CT35" i="12" s="1"/>
  <c r="CU35" i="12" s="1"/>
  <c r="CV35" i="12" s="1"/>
  <c r="CW35" i="12" s="1"/>
  <c r="CX35" i="12" s="1"/>
  <c r="CY35" i="12" s="1"/>
  <c r="CZ35" i="12" s="1"/>
  <c r="AS35" i="12"/>
  <c r="AT35" i="12" s="1"/>
  <c r="AU35" i="12" s="1"/>
  <c r="AV35" i="12" s="1"/>
  <c r="AW35" i="12" s="1"/>
  <c r="AX35" i="12" s="1"/>
  <c r="AY35" i="12" s="1"/>
  <c r="AZ35" i="12" s="1"/>
  <c r="BA35" i="12" s="1"/>
  <c r="B68" i="15"/>
  <c r="BC17" i="12"/>
  <c r="BD17" i="12" s="1"/>
  <c r="BE17" i="12" s="1"/>
  <c r="BF17" i="12" s="1"/>
  <c r="BG17" i="12" s="1"/>
  <c r="BH17" i="12" s="1"/>
  <c r="BI17" i="12" s="1"/>
  <c r="BJ17" i="12" s="1"/>
  <c r="BK17" i="12" s="1"/>
  <c r="BL17" i="12" s="1"/>
  <c r="BM17" i="12" s="1"/>
  <c r="BN17" i="12" s="1"/>
  <c r="BO17" i="12" s="1"/>
  <c r="BP17" i="12" s="1"/>
  <c r="BV17" i="12"/>
  <c r="BW17" i="12" s="1"/>
  <c r="BX17" i="12" s="1"/>
  <c r="BY17" i="12" s="1"/>
  <c r="BZ17" i="12" s="1"/>
  <c r="CA17" i="12" s="1"/>
  <c r="CB17" i="12" s="1"/>
  <c r="CC17" i="12" s="1"/>
  <c r="CD17" i="12" s="1"/>
  <c r="CE17" i="12" s="1"/>
  <c r="CF17" i="12" s="1"/>
  <c r="CG17" i="12" s="1"/>
  <c r="CH17" i="12" s="1"/>
  <c r="CI17" i="12" s="1"/>
  <c r="CJ17" i="12" s="1"/>
  <c r="CK17" i="12" s="1"/>
  <c r="CL17" i="12" s="1"/>
  <c r="CM17" i="12" s="1"/>
  <c r="CN17" i="12" s="1"/>
  <c r="CO17" i="12" s="1"/>
  <c r="CP17" i="12" s="1"/>
  <c r="CQ17" i="12" s="1"/>
  <c r="CR17" i="12" s="1"/>
  <c r="CS17" i="12" s="1"/>
  <c r="CT17" i="12" s="1"/>
  <c r="CU17" i="12" s="1"/>
  <c r="CV17" i="12" s="1"/>
  <c r="CW17" i="12" s="1"/>
  <c r="CX17" i="12" s="1"/>
  <c r="CY17" i="12" s="1"/>
  <c r="CZ17" i="12" s="1"/>
  <c r="BR67" i="12"/>
  <c r="BS67" i="12" s="1"/>
  <c r="BT67" i="12" s="1"/>
  <c r="BU67" i="12" s="1"/>
  <c r="D36" i="35"/>
  <c r="E96" i="34"/>
  <c r="C96" i="34"/>
  <c r="D96" i="34"/>
  <c r="L139" i="15"/>
  <c r="I139" i="15"/>
  <c r="H139" i="15"/>
  <c r="T139" i="15"/>
  <c r="Q139" i="15"/>
  <c r="U139" i="15"/>
  <c r="R139" i="15"/>
  <c r="M139" i="15"/>
  <c r="N139" i="15"/>
  <c r="P139" i="15"/>
  <c r="V139" i="15"/>
  <c r="C118" i="34"/>
  <c r="F118" i="34"/>
  <c r="E118" i="34"/>
  <c r="D118" i="34"/>
  <c r="A19" i="17"/>
  <c r="A67" i="15"/>
  <c r="A140" i="15"/>
  <c r="A187" i="15" s="1"/>
  <c r="D69" i="34"/>
  <c r="E69" i="34"/>
  <c r="C69" i="34"/>
  <c r="E103" i="34"/>
  <c r="D103" i="34"/>
  <c r="F103" i="34"/>
  <c r="C103" i="34"/>
  <c r="L104" i="119"/>
  <c r="H72" i="119"/>
  <c r="H69" i="119" s="1"/>
  <c r="G72" i="119"/>
  <c r="C72" i="119"/>
  <c r="F72" i="119"/>
  <c r="E102" i="119"/>
  <c r="H102" i="119" s="1"/>
  <c r="I72" i="119"/>
  <c r="G102" i="119"/>
  <c r="J102" i="119" s="1"/>
  <c r="G105" i="119"/>
  <c r="J105" i="119" s="1"/>
  <c r="G107" i="119"/>
  <c r="J107" i="119" s="1"/>
  <c r="G103" i="119"/>
  <c r="J103" i="119" s="1"/>
  <c r="G104" i="119"/>
  <c r="J104" i="119" s="1"/>
  <c r="G106" i="119"/>
  <c r="J106" i="119" s="1"/>
  <c r="E106" i="119"/>
  <c r="H106" i="119" s="1"/>
  <c r="E105" i="119"/>
  <c r="E104" i="119"/>
  <c r="H104" i="119" s="1"/>
  <c r="E103" i="119"/>
  <c r="E107" i="119"/>
  <c r="I107" i="119" s="1"/>
  <c r="G101" i="119"/>
  <c r="J101" i="119" s="1"/>
  <c r="E101" i="119"/>
  <c r="D139" i="15"/>
  <c r="E139" i="15"/>
  <c r="C139" i="15"/>
  <c r="C282" i="15"/>
  <c r="D281" i="15"/>
  <c r="C67" i="6"/>
  <c r="AI8" i="12" l="1"/>
  <c r="AJ8" i="12" s="1"/>
  <c r="AK8" i="12" s="1"/>
  <c r="AL8" i="12" s="1"/>
  <c r="AM8" i="12" s="1"/>
  <c r="AN8" i="12" s="1"/>
  <c r="AO8" i="12" s="1"/>
  <c r="AP8" i="12" s="1"/>
  <c r="AQ8" i="12" s="1"/>
  <c r="AR8" i="12" s="1"/>
  <c r="AS8" i="12" s="1"/>
  <c r="AT8" i="12" s="1"/>
  <c r="AU8" i="12" s="1"/>
  <c r="AV8" i="12" s="1"/>
  <c r="AW8" i="12" s="1"/>
  <c r="AX8" i="12" s="1"/>
  <c r="AY8" i="12" s="1"/>
  <c r="AZ8" i="12" s="1"/>
  <c r="BA8" i="12" s="1"/>
  <c r="AJ358" i="11"/>
  <c r="AK358" i="11" s="1"/>
  <c r="AL358" i="11" s="1"/>
  <c r="AM358" i="11" s="1"/>
  <c r="AN358" i="11" s="1"/>
  <c r="AO358" i="11" s="1"/>
  <c r="AP358" i="11" s="1"/>
  <c r="AQ358" i="11" s="1"/>
  <c r="AR358" i="11" s="1"/>
  <c r="AS358" i="11" s="1"/>
  <c r="AT358" i="11" s="1"/>
  <c r="AU358" i="11" s="1"/>
  <c r="AV358" i="11" s="1"/>
  <c r="AW358" i="11" s="1"/>
  <c r="BV27" i="12"/>
  <c r="BW27" i="12" s="1"/>
  <c r="BX27" i="12" s="1"/>
  <c r="BY27" i="12" s="1"/>
  <c r="BZ27" i="12" s="1"/>
  <c r="CA27" i="12" s="1"/>
  <c r="CB27" i="12" s="1"/>
  <c r="CC27" i="12" s="1"/>
  <c r="CD27" i="12" s="1"/>
  <c r="CE27" i="12" s="1"/>
  <c r="CF27" i="12" s="1"/>
  <c r="CG27" i="12" s="1"/>
  <c r="CH27" i="12" s="1"/>
  <c r="CI27" i="12" s="1"/>
  <c r="CJ27" i="12" s="1"/>
  <c r="CK27" i="12" s="1"/>
  <c r="CL27" i="12" s="1"/>
  <c r="CM27" i="12" s="1"/>
  <c r="CN27" i="12" s="1"/>
  <c r="CO27" i="12" s="1"/>
  <c r="CP27" i="12" s="1"/>
  <c r="CQ27" i="12" s="1"/>
  <c r="CR27" i="12" s="1"/>
  <c r="CS27" i="12" s="1"/>
  <c r="CT27" i="12" s="1"/>
  <c r="CU27" i="12" s="1"/>
  <c r="CV27" i="12" s="1"/>
  <c r="CW27" i="12" s="1"/>
  <c r="CX27" i="12" s="1"/>
  <c r="CY27" i="12" s="1"/>
  <c r="CZ27" i="12" s="1"/>
  <c r="BR92" i="12"/>
  <c r="BS92" i="12" s="1"/>
  <c r="BT92" i="12" s="1"/>
  <c r="BU92" i="12" s="1"/>
  <c r="BW92" i="12"/>
  <c r="BX92" i="12" s="1"/>
  <c r="BY92" i="12" s="1"/>
  <c r="BZ92" i="12" s="1"/>
  <c r="CA92" i="12" s="1"/>
  <c r="CB92" i="12" s="1"/>
  <c r="CC92" i="12" s="1"/>
  <c r="CD92" i="12" s="1"/>
  <c r="CE92" i="12" s="1"/>
  <c r="CF92" i="12" s="1"/>
  <c r="CG92" i="12" s="1"/>
  <c r="CH92" i="12" s="1"/>
  <c r="CI92" i="12" s="1"/>
  <c r="CJ92" i="12" s="1"/>
  <c r="CK92" i="12" s="1"/>
  <c r="CL92" i="12" s="1"/>
  <c r="CM92" i="12" s="1"/>
  <c r="CN92" i="12" s="1"/>
  <c r="CO92" i="12" s="1"/>
  <c r="CP92" i="12" s="1"/>
  <c r="CQ92" i="12" s="1"/>
  <c r="CR92" i="12" s="1"/>
  <c r="CS92" i="12" s="1"/>
  <c r="CT92" i="12" s="1"/>
  <c r="CU92" i="12" s="1"/>
  <c r="CV92" i="12" s="1"/>
  <c r="CW92" i="12" s="1"/>
  <c r="CX92" i="12" s="1"/>
  <c r="CY92" i="12" s="1"/>
  <c r="CZ92" i="12" s="1"/>
  <c r="AS27" i="12"/>
  <c r="AT27" i="12" s="1"/>
  <c r="AU27" i="12" s="1"/>
  <c r="AV27" i="12" s="1"/>
  <c r="AW27" i="12" s="1"/>
  <c r="AX27" i="12" s="1"/>
  <c r="AY27" i="12" s="1"/>
  <c r="AZ27" i="12" s="1"/>
  <c r="BA27" i="12" s="1"/>
  <c r="AS25" i="12"/>
  <c r="AT25" i="12" s="1"/>
  <c r="AU25" i="12" s="1"/>
  <c r="AV25" i="12" s="1"/>
  <c r="AW25" i="12" s="1"/>
  <c r="AX25" i="12" s="1"/>
  <c r="AY25" i="12" s="1"/>
  <c r="AZ25" i="12" s="1"/>
  <c r="BA25" i="12" s="1"/>
  <c r="BC92" i="12"/>
  <c r="BD92" i="12" s="1"/>
  <c r="BE92" i="12" s="1"/>
  <c r="BF92" i="12" s="1"/>
  <c r="BG92" i="12" s="1"/>
  <c r="BH92" i="12" s="1"/>
  <c r="BI92" i="12" s="1"/>
  <c r="BJ92" i="12" s="1"/>
  <c r="BK92" i="12" s="1"/>
  <c r="BL92" i="12" s="1"/>
  <c r="BM92" i="12" s="1"/>
  <c r="BN92" i="12" s="1"/>
  <c r="BO92" i="12" s="1"/>
  <c r="BP92" i="12" s="1"/>
  <c r="AS26" i="12"/>
  <c r="AT26" i="12" s="1"/>
  <c r="AU26" i="12" s="1"/>
  <c r="AV26" i="12" s="1"/>
  <c r="AW26" i="12" s="1"/>
  <c r="AX26" i="12" s="1"/>
  <c r="AY26" i="12" s="1"/>
  <c r="AZ26" i="12" s="1"/>
  <c r="BA26" i="12" s="1"/>
  <c r="AS96" i="12"/>
  <c r="AT96" i="12" s="1"/>
  <c r="AU96" i="12" s="1"/>
  <c r="AV96" i="12" s="1"/>
  <c r="AW96" i="12" s="1"/>
  <c r="AX96" i="12" s="1"/>
  <c r="AY96" i="12" s="1"/>
  <c r="AZ96" i="12" s="1"/>
  <c r="BA96" i="12" s="1"/>
  <c r="AS92" i="12"/>
  <c r="AT92" i="12" s="1"/>
  <c r="AU92" i="12" s="1"/>
  <c r="AV92" i="12" s="1"/>
  <c r="AW92" i="12" s="1"/>
  <c r="AX92" i="12" s="1"/>
  <c r="AY92" i="12" s="1"/>
  <c r="AZ92" i="12" s="1"/>
  <c r="BA92" i="12" s="1"/>
  <c r="AS28" i="12"/>
  <c r="AT28" i="12" s="1"/>
  <c r="AU28" i="12" s="1"/>
  <c r="AV28" i="12" s="1"/>
  <c r="AW28" i="12" s="1"/>
  <c r="AX28" i="12" s="1"/>
  <c r="AY28" i="12" s="1"/>
  <c r="AZ28" i="12" s="1"/>
  <c r="BA28" i="12" s="1"/>
  <c r="BC32" i="12"/>
  <c r="BD32" i="12" s="1"/>
  <c r="BE32" i="12" s="1"/>
  <c r="BF32" i="12" s="1"/>
  <c r="BG32" i="12" s="1"/>
  <c r="BH32" i="12" s="1"/>
  <c r="BI32" i="12" s="1"/>
  <c r="BJ32" i="12" s="1"/>
  <c r="BK32" i="12" s="1"/>
  <c r="BL32" i="12" s="1"/>
  <c r="BM32" i="12" s="1"/>
  <c r="BN32" i="12" s="1"/>
  <c r="BO32" i="12" s="1"/>
  <c r="BP32" i="12" s="1"/>
  <c r="AS65" i="12"/>
  <c r="AT65" i="12" s="1"/>
  <c r="AU65" i="12" s="1"/>
  <c r="AV65" i="12" s="1"/>
  <c r="AW65" i="12" s="1"/>
  <c r="AX65" i="12" s="1"/>
  <c r="AY65" i="12" s="1"/>
  <c r="AZ65" i="12" s="1"/>
  <c r="BA65" i="12" s="1"/>
  <c r="AJ263" i="11"/>
  <c r="AK263" i="11" s="1"/>
  <c r="AL263" i="11" s="1"/>
  <c r="AM263" i="11" s="1"/>
  <c r="AN263" i="11" s="1"/>
  <c r="AO263" i="11" s="1"/>
  <c r="AP263" i="11" s="1"/>
  <c r="AQ263" i="11" s="1"/>
  <c r="AR263" i="11" s="1"/>
  <c r="AS263" i="11" s="1"/>
  <c r="AT263" i="11" s="1"/>
  <c r="AU263" i="11" s="1"/>
  <c r="AV263" i="11" s="1"/>
  <c r="AW263" i="11" s="1"/>
  <c r="BM263" i="11"/>
  <c r="AY263" i="11" s="1"/>
  <c r="AZ263" i="11" s="1"/>
  <c r="BA263" i="11" s="1"/>
  <c r="BB263" i="11" s="1"/>
  <c r="BC263" i="11" s="1"/>
  <c r="BD263" i="11" s="1"/>
  <c r="BE263" i="11" s="1"/>
  <c r="BF263" i="11" s="1"/>
  <c r="BG263" i="11" s="1"/>
  <c r="BH263" i="11" s="1"/>
  <c r="BI263" i="11" s="1"/>
  <c r="BJ263" i="11" s="1"/>
  <c r="BK263" i="11" s="1"/>
  <c r="BL263" i="11" s="1"/>
  <c r="AJ483" i="11"/>
  <c r="AK483" i="11" s="1"/>
  <c r="AL483" i="11" s="1"/>
  <c r="AM483" i="11" s="1"/>
  <c r="AN483" i="11" s="1"/>
  <c r="AO483" i="11" s="1"/>
  <c r="AP483" i="11" s="1"/>
  <c r="AQ483" i="11" s="1"/>
  <c r="AR483" i="11" s="1"/>
  <c r="AS483" i="11" s="1"/>
  <c r="AT483" i="11" s="1"/>
  <c r="AU483" i="11" s="1"/>
  <c r="AV483" i="11" s="1"/>
  <c r="AW483" i="11" s="1"/>
  <c r="BM483" i="11"/>
  <c r="AY358" i="11"/>
  <c r="AZ358" i="11" s="1"/>
  <c r="BA358" i="11" s="1"/>
  <c r="BB358" i="11" s="1"/>
  <c r="BC358" i="11" s="1"/>
  <c r="BD358" i="11" s="1"/>
  <c r="BE358" i="11" s="1"/>
  <c r="BF358" i="11" s="1"/>
  <c r="BG358" i="11" s="1"/>
  <c r="BH358" i="11" s="1"/>
  <c r="BI358" i="11" s="1"/>
  <c r="BJ358" i="11" s="1"/>
  <c r="BK358" i="11" s="1"/>
  <c r="BL358" i="11" s="1"/>
  <c r="BR358" i="11"/>
  <c r="BN358" i="11" s="1"/>
  <c r="BO358" i="11" s="1"/>
  <c r="BP358" i="11" s="1"/>
  <c r="BQ358" i="11" s="1"/>
  <c r="AS91" i="12"/>
  <c r="AT91" i="12" s="1"/>
  <c r="AU91" i="12" s="1"/>
  <c r="AV91" i="12" s="1"/>
  <c r="AW91" i="12" s="1"/>
  <c r="AX91" i="12" s="1"/>
  <c r="AY91" i="12" s="1"/>
  <c r="AZ91" i="12" s="1"/>
  <c r="BA91" i="12" s="1"/>
  <c r="AS32" i="12"/>
  <c r="AT32" i="12" s="1"/>
  <c r="AU32" i="12" s="1"/>
  <c r="AV32" i="12" s="1"/>
  <c r="AW32" i="12" s="1"/>
  <c r="AX32" i="12" s="1"/>
  <c r="AY32" i="12" s="1"/>
  <c r="AZ32" i="12" s="1"/>
  <c r="BA32" i="12" s="1"/>
  <c r="BM369" i="11"/>
  <c r="AY369" i="11" s="1"/>
  <c r="AZ369" i="11" s="1"/>
  <c r="BA369" i="11" s="1"/>
  <c r="BB369" i="11" s="1"/>
  <c r="BC369" i="11" s="1"/>
  <c r="BD369" i="11" s="1"/>
  <c r="BE369" i="11" s="1"/>
  <c r="BF369" i="11" s="1"/>
  <c r="BG369" i="11" s="1"/>
  <c r="BH369" i="11" s="1"/>
  <c r="BI369" i="11" s="1"/>
  <c r="BJ369" i="11" s="1"/>
  <c r="BK369" i="11" s="1"/>
  <c r="BL369" i="11" s="1"/>
  <c r="BM471" i="11"/>
  <c r="BR471" i="11" s="1"/>
  <c r="BN471" i="11" s="1"/>
  <c r="BO471" i="11" s="1"/>
  <c r="BP471" i="11" s="1"/>
  <c r="BQ471" i="11" s="1"/>
  <c r="AJ471" i="11"/>
  <c r="AK471" i="11" s="1"/>
  <c r="AL471" i="11" s="1"/>
  <c r="AM471" i="11" s="1"/>
  <c r="AN471" i="11" s="1"/>
  <c r="AO471" i="11" s="1"/>
  <c r="AP471" i="11" s="1"/>
  <c r="AQ471" i="11" s="1"/>
  <c r="AR471" i="11" s="1"/>
  <c r="AS471" i="11" s="1"/>
  <c r="AT471" i="11" s="1"/>
  <c r="AU471" i="11" s="1"/>
  <c r="AV471" i="11" s="1"/>
  <c r="AW471" i="11" s="1"/>
  <c r="BM253" i="11"/>
  <c r="AY253" i="11" s="1"/>
  <c r="AZ253" i="11" s="1"/>
  <c r="BA253" i="11" s="1"/>
  <c r="BB253" i="11" s="1"/>
  <c r="BC253" i="11" s="1"/>
  <c r="BD253" i="11" s="1"/>
  <c r="BE253" i="11" s="1"/>
  <c r="BF253" i="11" s="1"/>
  <c r="BG253" i="11" s="1"/>
  <c r="BH253" i="11" s="1"/>
  <c r="BI253" i="11" s="1"/>
  <c r="BJ253" i="11" s="1"/>
  <c r="BK253" i="11" s="1"/>
  <c r="BL253" i="11" s="1"/>
  <c r="AJ472" i="11"/>
  <c r="AK472" i="11" s="1"/>
  <c r="AL472" i="11" s="1"/>
  <c r="AM472" i="11" s="1"/>
  <c r="AN472" i="11" s="1"/>
  <c r="AO472" i="11" s="1"/>
  <c r="AP472" i="11" s="1"/>
  <c r="AQ472" i="11" s="1"/>
  <c r="AR472" i="11" s="1"/>
  <c r="AS472" i="11" s="1"/>
  <c r="AT472" i="11" s="1"/>
  <c r="AU472" i="11" s="1"/>
  <c r="AV472" i="11" s="1"/>
  <c r="AW472" i="11" s="1"/>
  <c r="BM472" i="11"/>
  <c r="BR472" i="11" s="1"/>
  <c r="BN472" i="11" s="1"/>
  <c r="BO472" i="11" s="1"/>
  <c r="BP472" i="11" s="1"/>
  <c r="BQ472" i="11" s="1"/>
  <c r="AJ369" i="11"/>
  <c r="AK369" i="11" s="1"/>
  <c r="AL369" i="11" s="1"/>
  <c r="AM369" i="11" s="1"/>
  <c r="AN369" i="11" s="1"/>
  <c r="AO369" i="11" s="1"/>
  <c r="AP369" i="11" s="1"/>
  <c r="AQ369" i="11" s="1"/>
  <c r="AR369" i="11" s="1"/>
  <c r="AS369" i="11" s="1"/>
  <c r="AT369" i="11" s="1"/>
  <c r="AU369" i="11" s="1"/>
  <c r="AV369" i="11" s="1"/>
  <c r="AW369" i="11" s="1"/>
  <c r="AS89" i="12"/>
  <c r="AT89" i="12" s="1"/>
  <c r="AU89" i="12" s="1"/>
  <c r="AV89" i="12" s="1"/>
  <c r="AW89" i="12" s="1"/>
  <c r="AX89" i="12" s="1"/>
  <c r="AY89" i="12" s="1"/>
  <c r="AZ89" i="12" s="1"/>
  <c r="BA89" i="12" s="1"/>
  <c r="AY266" i="11"/>
  <c r="AZ266" i="11" s="1"/>
  <c r="BA266" i="11" s="1"/>
  <c r="BB266" i="11" s="1"/>
  <c r="BC266" i="11" s="1"/>
  <c r="BD266" i="11" s="1"/>
  <c r="BE266" i="11" s="1"/>
  <c r="BF266" i="11" s="1"/>
  <c r="BG266" i="11" s="1"/>
  <c r="BH266" i="11" s="1"/>
  <c r="BI266" i="11" s="1"/>
  <c r="BJ266" i="11" s="1"/>
  <c r="BK266" i="11" s="1"/>
  <c r="BL266" i="11" s="1"/>
  <c r="AS59" i="12"/>
  <c r="AT59" i="12" s="1"/>
  <c r="AU59" i="12" s="1"/>
  <c r="AV59" i="12" s="1"/>
  <c r="AW59" i="12" s="1"/>
  <c r="AX59" i="12" s="1"/>
  <c r="AY59" i="12" s="1"/>
  <c r="AZ59" i="12" s="1"/>
  <c r="BA59" i="12" s="1"/>
  <c r="AI7" i="12"/>
  <c r="AJ7" i="12" s="1"/>
  <c r="AK7" i="12" s="1"/>
  <c r="AL7" i="12" s="1"/>
  <c r="AM7" i="12" s="1"/>
  <c r="AN7" i="12" s="1"/>
  <c r="AO7" i="12" s="1"/>
  <c r="AP7" i="12" s="1"/>
  <c r="AQ7" i="12" s="1"/>
  <c r="AR7" i="12" s="1"/>
  <c r="AS7" i="12" s="1"/>
  <c r="AT7" i="12" s="1"/>
  <c r="AU7" i="12" s="1"/>
  <c r="AV7" i="12" s="1"/>
  <c r="AW7" i="12" s="1"/>
  <c r="AX7" i="12" s="1"/>
  <c r="AY7" i="12" s="1"/>
  <c r="AZ7" i="12" s="1"/>
  <c r="BA7" i="12" s="1"/>
  <c r="BC25" i="12"/>
  <c r="BD25" i="12" s="1"/>
  <c r="BE25" i="12" s="1"/>
  <c r="BF25" i="12" s="1"/>
  <c r="BG25" i="12" s="1"/>
  <c r="BH25" i="12" s="1"/>
  <c r="BI25" i="12" s="1"/>
  <c r="BJ25" i="12" s="1"/>
  <c r="BK25" i="12" s="1"/>
  <c r="BL25" i="12" s="1"/>
  <c r="BM25" i="12" s="1"/>
  <c r="BN25" i="12" s="1"/>
  <c r="BO25" i="12" s="1"/>
  <c r="BP25" i="12" s="1"/>
  <c r="AS90" i="12"/>
  <c r="AT90" i="12" s="1"/>
  <c r="AU90" i="12" s="1"/>
  <c r="AV90" i="12" s="1"/>
  <c r="AW90" i="12" s="1"/>
  <c r="AX90" i="12" s="1"/>
  <c r="AY90" i="12" s="1"/>
  <c r="AZ90" i="12" s="1"/>
  <c r="BA90" i="12" s="1"/>
  <c r="BV89" i="12"/>
  <c r="AS62" i="12"/>
  <c r="AT62" i="12" s="1"/>
  <c r="AU62" i="12" s="1"/>
  <c r="AV62" i="12" s="1"/>
  <c r="AW62" i="12" s="1"/>
  <c r="AX62" i="12" s="1"/>
  <c r="AY62" i="12" s="1"/>
  <c r="AZ62" i="12" s="1"/>
  <c r="BA62" i="12" s="1"/>
  <c r="BC33" i="12"/>
  <c r="BD33" i="12" s="1"/>
  <c r="BE33" i="12" s="1"/>
  <c r="BF33" i="12" s="1"/>
  <c r="BG33" i="12" s="1"/>
  <c r="BH33" i="12" s="1"/>
  <c r="BI33" i="12" s="1"/>
  <c r="BJ33" i="12" s="1"/>
  <c r="BK33" i="12" s="1"/>
  <c r="BL33" i="12" s="1"/>
  <c r="BM33" i="12" s="1"/>
  <c r="BN33" i="12" s="1"/>
  <c r="BO33" i="12" s="1"/>
  <c r="BP33" i="12" s="1"/>
  <c r="BQ90" i="12"/>
  <c r="BQ62" i="12"/>
  <c r="BC62" i="12" s="1"/>
  <c r="BD62" i="12" s="1"/>
  <c r="BE62" i="12" s="1"/>
  <c r="BF62" i="12" s="1"/>
  <c r="BG62" i="12" s="1"/>
  <c r="BH62" i="12" s="1"/>
  <c r="BI62" i="12" s="1"/>
  <c r="BJ62" i="12" s="1"/>
  <c r="BK62" i="12" s="1"/>
  <c r="BL62" i="12" s="1"/>
  <c r="BM62" i="12" s="1"/>
  <c r="BN62" i="12" s="1"/>
  <c r="BO62" i="12" s="1"/>
  <c r="BP62" i="12" s="1"/>
  <c r="BQ59" i="12"/>
  <c r="BC59" i="12" s="1"/>
  <c r="BD59" i="12" s="1"/>
  <c r="BE59" i="12" s="1"/>
  <c r="BF59" i="12" s="1"/>
  <c r="BG59" i="12" s="1"/>
  <c r="BH59" i="12" s="1"/>
  <c r="BI59" i="12" s="1"/>
  <c r="BJ59" i="12" s="1"/>
  <c r="BK59" i="12" s="1"/>
  <c r="BL59" i="12" s="1"/>
  <c r="BM59" i="12" s="1"/>
  <c r="BN59" i="12" s="1"/>
  <c r="BO59" i="12" s="1"/>
  <c r="BP59" i="12" s="1"/>
  <c r="BC97" i="12"/>
  <c r="BD97" i="12" s="1"/>
  <c r="BE97" i="12" s="1"/>
  <c r="BF97" i="12" s="1"/>
  <c r="BG97" i="12" s="1"/>
  <c r="BH97" i="12" s="1"/>
  <c r="BI97" i="12" s="1"/>
  <c r="BJ97" i="12" s="1"/>
  <c r="BK97" i="12" s="1"/>
  <c r="BL97" i="12" s="1"/>
  <c r="BM97" i="12" s="1"/>
  <c r="BN97" i="12" s="1"/>
  <c r="BO97" i="12" s="1"/>
  <c r="BP97" i="12" s="1"/>
  <c r="BV97" i="12"/>
  <c r="BM269" i="11"/>
  <c r="AY269" i="11"/>
  <c r="AZ269" i="11" s="1"/>
  <c r="BA269" i="11" s="1"/>
  <c r="BB269" i="11" s="1"/>
  <c r="BC269" i="11" s="1"/>
  <c r="BD269" i="11" s="1"/>
  <c r="BE269" i="11" s="1"/>
  <c r="BF269" i="11" s="1"/>
  <c r="BG269" i="11" s="1"/>
  <c r="BH269" i="11" s="1"/>
  <c r="BI269" i="11" s="1"/>
  <c r="BJ269" i="11" s="1"/>
  <c r="BK269" i="11" s="1"/>
  <c r="BL269" i="11" s="1"/>
  <c r="BM374" i="11"/>
  <c r="AY374" i="11" s="1"/>
  <c r="AZ374" i="11" s="1"/>
  <c r="BA374" i="11" s="1"/>
  <c r="BB374" i="11" s="1"/>
  <c r="BC374" i="11" s="1"/>
  <c r="BD374" i="11" s="1"/>
  <c r="BE374" i="11" s="1"/>
  <c r="BF374" i="11" s="1"/>
  <c r="BG374" i="11" s="1"/>
  <c r="BH374" i="11" s="1"/>
  <c r="BI374" i="11" s="1"/>
  <c r="BJ374" i="11" s="1"/>
  <c r="BK374" i="11" s="1"/>
  <c r="BL374" i="11" s="1"/>
  <c r="BM267" i="11"/>
  <c r="BM490" i="11"/>
  <c r="AY490" i="11" s="1"/>
  <c r="AZ490" i="11" s="1"/>
  <c r="BA490" i="11" s="1"/>
  <c r="BB490" i="11" s="1"/>
  <c r="BC490" i="11" s="1"/>
  <c r="BD490" i="11" s="1"/>
  <c r="BE490" i="11" s="1"/>
  <c r="BF490" i="11" s="1"/>
  <c r="BG490" i="11" s="1"/>
  <c r="BH490" i="11" s="1"/>
  <c r="BI490" i="11" s="1"/>
  <c r="BJ490" i="11" s="1"/>
  <c r="BK490" i="11" s="1"/>
  <c r="BL490" i="11" s="1"/>
  <c r="BQ60" i="12"/>
  <c r="AS60" i="12"/>
  <c r="AT60" i="12" s="1"/>
  <c r="AU60" i="12" s="1"/>
  <c r="AV60" i="12" s="1"/>
  <c r="AW60" i="12" s="1"/>
  <c r="AX60" i="12" s="1"/>
  <c r="AY60" i="12" s="1"/>
  <c r="AZ60" i="12" s="1"/>
  <c r="BA60" i="12" s="1"/>
  <c r="BR392" i="11"/>
  <c r="BN392" i="11" s="1"/>
  <c r="BO392" i="11" s="1"/>
  <c r="BP392" i="11" s="1"/>
  <c r="BQ392" i="11" s="1"/>
  <c r="AS61" i="12"/>
  <c r="AT61" i="12" s="1"/>
  <c r="AU61" i="12" s="1"/>
  <c r="AV61" i="12" s="1"/>
  <c r="AW61" i="12" s="1"/>
  <c r="AX61" i="12" s="1"/>
  <c r="AY61" i="12" s="1"/>
  <c r="AZ61" i="12" s="1"/>
  <c r="BA61" i="12" s="1"/>
  <c r="AS97" i="12"/>
  <c r="AT97" i="12" s="1"/>
  <c r="AU97" i="12" s="1"/>
  <c r="AV97" i="12" s="1"/>
  <c r="AW97" i="12" s="1"/>
  <c r="AX97" i="12" s="1"/>
  <c r="AY97" i="12" s="1"/>
  <c r="AZ97" i="12" s="1"/>
  <c r="BA97" i="12" s="1"/>
  <c r="AJ374" i="11"/>
  <c r="AK374" i="11" s="1"/>
  <c r="AL374" i="11" s="1"/>
  <c r="AM374" i="11" s="1"/>
  <c r="AN374" i="11" s="1"/>
  <c r="AO374" i="11" s="1"/>
  <c r="AP374" i="11" s="1"/>
  <c r="AQ374" i="11" s="1"/>
  <c r="AR374" i="11" s="1"/>
  <c r="AS374" i="11" s="1"/>
  <c r="AT374" i="11" s="1"/>
  <c r="AU374" i="11" s="1"/>
  <c r="AV374" i="11" s="1"/>
  <c r="AW374" i="11" s="1"/>
  <c r="BR254" i="11"/>
  <c r="BN254" i="11" s="1"/>
  <c r="BO254" i="11" s="1"/>
  <c r="BP254" i="11" s="1"/>
  <c r="BQ254" i="11" s="1"/>
  <c r="AI9" i="12"/>
  <c r="AJ9" i="12" s="1"/>
  <c r="AK9" i="12" s="1"/>
  <c r="AL9" i="12" s="1"/>
  <c r="AM9" i="12" s="1"/>
  <c r="AN9" i="12" s="1"/>
  <c r="AO9" i="12" s="1"/>
  <c r="AP9" i="12" s="1"/>
  <c r="AQ9" i="12" s="1"/>
  <c r="AR9" i="12" s="1"/>
  <c r="AS9" i="12" s="1"/>
  <c r="AT9" i="12" s="1"/>
  <c r="AU9" i="12" s="1"/>
  <c r="AV9" i="12" s="1"/>
  <c r="AW9" i="12" s="1"/>
  <c r="AX9" i="12" s="1"/>
  <c r="AY9" i="12" s="1"/>
  <c r="AZ9" i="12" s="1"/>
  <c r="BA9" i="12" s="1"/>
  <c r="BQ9" i="12"/>
  <c r="BR488" i="11"/>
  <c r="BN488" i="11" s="1"/>
  <c r="BO488" i="11" s="1"/>
  <c r="BP488" i="11" s="1"/>
  <c r="BQ488" i="11" s="1"/>
  <c r="BM376" i="11"/>
  <c r="BM259" i="11"/>
  <c r="AY259" i="11" s="1"/>
  <c r="AZ259" i="11" s="1"/>
  <c r="BA259" i="11" s="1"/>
  <c r="BB259" i="11" s="1"/>
  <c r="BC259" i="11" s="1"/>
  <c r="BD259" i="11" s="1"/>
  <c r="BE259" i="11" s="1"/>
  <c r="BF259" i="11" s="1"/>
  <c r="BG259" i="11" s="1"/>
  <c r="BH259" i="11" s="1"/>
  <c r="BI259" i="11" s="1"/>
  <c r="BJ259" i="11" s="1"/>
  <c r="BK259" i="11" s="1"/>
  <c r="BL259" i="11" s="1"/>
  <c r="BM506" i="11"/>
  <c r="AY506" i="11" s="1"/>
  <c r="AZ506" i="11" s="1"/>
  <c r="BA506" i="11" s="1"/>
  <c r="BB506" i="11" s="1"/>
  <c r="BC506" i="11" s="1"/>
  <c r="BD506" i="11" s="1"/>
  <c r="BE506" i="11" s="1"/>
  <c r="BF506" i="11" s="1"/>
  <c r="BG506" i="11" s="1"/>
  <c r="BH506" i="11" s="1"/>
  <c r="BI506" i="11" s="1"/>
  <c r="BJ506" i="11" s="1"/>
  <c r="BK506" i="11" s="1"/>
  <c r="BL506" i="11" s="1"/>
  <c r="BR507" i="11"/>
  <c r="BN507" i="11" s="1"/>
  <c r="BO507" i="11" s="1"/>
  <c r="BP507" i="11" s="1"/>
  <c r="BQ507" i="11" s="1"/>
  <c r="AJ490" i="11"/>
  <c r="AK490" i="11" s="1"/>
  <c r="AL490" i="11" s="1"/>
  <c r="AM490" i="11" s="1"/>
  <c r="AN490" i="11" s="1"/>
  <c r="AO490" i="11" s="1"/>
  <c r="AP490" i="11" s="1"/>
  <c r="AQ490" i="11" s="1"/>
  <c r="AR490" i="11" s="1"/>
  <c r="AS490" i="11" s="1"/>
  <c r="AT490" i="11" s="1"/>
  <c r="AU490" i="11" s="1"/>
  <c r="AV490" i="11" s="1"/>
  <c r="AW490" i="11" s="1"/>
  <c r="BC61" i="12"/>
  <c r="BD61" i="12" s="1"/>
  <c r="BE61" i="12" s="1"/>
  <c r="BF61" i="12" s="1"/>
  <c r="BG61" i="12" s="1"/>
  <c r="BH61" i="12" s="1"/>
  <c r="BI61" i="12" s="1"/>
  <c r="BJ61" i="12" s="1"/>
  <c r="BK61" i="12" s="1"/>
  <c r="BL61" i="12" s="1"/>
  <c r="BM61" i="12" s="1"/>
  <c r="BN61" i="12" s="1"/>
  <c r="BO61" i="12" s="1"/>
  <c r="BP61" i="12" s="1"/>
  <c r="BV61" i="12"/>
  <c r="AI10" i="12"/>
  <c r="AJ10" i="12" s="1"/>
  <c r="AK10" i="12" s="1"/>
  <c r="AL10" i="12" s="1"/>
  <c r="AM10" i="12" s="1"/>
  <c r="AN10" i="12" s="1"/>
  <c r="AO10" i="12" s="1"/>
  <c r="AP10" i="12" s="1"/>
  <c r="AQ10" i="12" s="1"/>
  <c r="AR10" i="12" s="1"/>
  <c r="AS10" i="12" s="1"/>
  <c r="AT10" i="12" s="1"/>
  <c r="AU10" i="12" s="1"/>
  <c r="AV10" i="12" s="1"/>
  <c r="AW10" i="12" s="1"/>
  <c r="AX10" i="12" s="1"/>
  <c r="AY10" i="12" s="1"/>
  <c r="AZ10" i="12" s="1"/>
  <c r="BA10" i="12" s="1"/>
  <c r="BQ10" i="12"/>
  <c r="AJ376" i="11"/>
  <c r="AK376" i="11" s="1"/>
  <c r="AL376" i="11" s="1"/>
  <c r="AM376" i="11" s="1"/>
  <c r="AN376" i="11" s="1"/>
  <c r="AO376" i="11" s="1"/>
  <c r="AP376" i="11" s="1"/>
  <c r="AQ376" i="11" s="1"/>
  <c r="AR376" i="11" s="1"/>
  <c r="AS376" i="11" s="1"/>
  <c r="AT376" i="11" s="1"/>
  <c r="AU376" i="11" s="1"/>
  <c r="AV376" i="11" s="1"/>
  <c r="AW376" i="11" s="1"/>
  <c r="BR380" i="11"/>
  <c r="BN380" i="11" s="1"/>
  <c r="BO380" i="11" s="1"/>
  <c r="BP380" i="11" s="1"/>
  <c r="BQ380" i="11" s="1"/>
  <c r="BM357" i="11"/>
  <c r="BM366" i="11"/>
  <c r="AY366" i="11" s="1"/>
  <c r="AZ366" i="11" s="1"/>
  <c r="BA366" i="11" s="1"/>
  <c r="BB366" i="11" s="1"/>
  <c r="BC366" i="11" s="1"/>
  <c r="BD366" i="11" s="1"/>
  <c r="BE366" i="11" s="1"/>
  <c r="BF366" i="11" s="1"/>
  <c r="BG366" i="11" s="1"/>
  <c r="BH366" i="11" s="1"/>
  <c r="BI366" i="11" s="1"/>
  <c r="BJ366" i="11" s="1"/>
  <c r="BK366" i="11" s="1"/>
  <c r="BL366" i="11" s="1"/>
  <c r="E281" i="15"/>
  <c r="BC68" i="12"/>
  <c r="BD68" i="12" s="1"/>
  <c r="BE68" i="12" s="1"/>
  <c r="BF68" i="12" s="1"/>
  <c r="BG68" i="12" s="1"/>
  <c r="BH68" i="12" s="1"/>
  <c r="BI68" i="12" s="1"/>
  <c r="BJ68" i="12" s="1"/>
  <c r="BK68" i="12" s="1"/>
  <c r="BL68" i="12" s="1"/>
  <c r="BM68" i="12" s="1"/>
  <c r="BN68" i="12" s="1"/>
  <c r="BO68" i="12" s="1"/>
  <c r="BP68" i="12" s="1"/>
  <c r="C63" i="34"/>
  <c r="E112" i="34"/>
  <c r="C180" i="119"/>
  <c r="C179" i="119"/>
  <c r="C178" i="119"/>
  <c r="C177" i="119"/>
  <c r="C176" i="119"/>
  <c r="D34" i="34"/>
  <c r="C112" i="34"/>
  <c r="D112" i="34"/>
  <c r="D63" i="34"/>
  <c r="C113" i="34"/>
  <c r="D113" i="34"/>
  <c r="E113" i="34"/>
  <c r="C64" i="34"/>
  <c r="F98" i="34"/>
  <c r="X49" i="14"/>
  <c r="D35" i="34"/>
  <c r="D64" i="34"/>
  <c r="F36" i="35"/>
  <c r="BV8" i="12"/>
  <c r="BW8" i="12" s="1"/>
  <c r="BX8" i="12" s="1"/>
  <c r="BY8" i="12" s="1"/>
  <c r="BZ8" i="12" s="1"/>
  <c r="CA8" i="12" s="1"/>
  <c r="CB8" i="12" s="1"/>
  <c r="CC8" i="12" s="1"/>
  <c r="CD8" i="12" s="1"/>
  <c r="CE8" i="12" s="1"/>
  <c r="CF8" i="12" s="1"/>
  <c r="CG8" i="12" s="1"/>
  <c r="CH8" i="12" s="1"/>
  <c r="CI8" i="12" s="1"/>
  <c r="CJ8" i="12" s="1"/>
  <c r="CK8" i="12" s="1"/>
  <c r="CL8" i="12" s="1"/>
  <c r="CM8" i="12" s="1"/>
  <c r="CN8" i="12" s="1"/>
  <c r="CO8" i="12" s="1"/>
  <c r="CP8" i="12" s="1"/>
  <c r="CQ8" i="12" s="1"/>
  <c r="CR8" i="12" s="1"/>
  <c r="CS8" i="12" s="1"/>
  <c r="CT8" i="12" s="1"/>
  <c r="CU8" i="12" s="1"/>
  <c r="CV8" i="12" s="1"/>
  <c r="CW8" i="12" s="1"/>
  <c r="CX8" i="12" s="1"/>
  <c r="CY8" i="12" s="1"/>
  <c r="CZ8" i="12" s="1"/>
  <c r="BC8" i="12"/>
  <c r="BD8" i="12" s="1"/>
  <c r="BE8" i="12" s="1"/>
  <c r="BF8" i="12" s="1"/>
  <c r="BG8" i="12" s="1"/>
  <c r="BH8" i="12" s="1"/>
  <c r="BI8" i="12" s="1"/>
  <c r="BJ8" i="12" s="1"/>
  <c r="BK8" i="12" s="1"/>
  <c r="BL8" i="12" s="1"/>
  <c r="BM8" i="12" s="1"/>
  <c r="BN8" i="12" s="1"/>
  <c r="BO8" i="12" s="1"/>
  <c r="BP8" i="12" s="1"/>
  <c r="F97" i="34"/>
  <c r="E111" i="34"/>
  <c r="D111" i="34"/>
  <c r="D62" i="34"/>
  <c r="E62" i="34"/>
  <c r="C62" i="34"/>
  <c r="D33" i="34"/>
  <c r="H27" i="24"/>
  <c r="C27" i="24"/>
  <c r="F96" i="34"/>
  <c r="BR17" i="12"/>
  <c r="BS17" i="12" s="1"/>
  <c r="BT17" i="12" s="1"/>
  <c r="BU17" i="12" s="1"/>
  <c r="BR32" i="12"/>
  <c r="BS32" i="12" s="1"/>
  <c r="BT32" i="12" s="1"/>
  <c r="BU32" i="12" s="1"/>
  <c r="BV99" i="12"/>
  <c r="BW99" i="12" s="1"/>
  <c r="BX99" i="12" s="1"/>
  <c r="BY99" i="12" s="1"/>
  <c r="BZ99" i="12" s="1"/>
  <c r="CA99" i="12" s="1"/>
  <c r="CB99" i="12" s="1"/>
  <c r="CC99" i="12" s="1"/>
  <c r="CD99" i="12" s="1"/>
  <c r="CE99" i="12" s="1"/>
  <c r="CF99" i="12" s="1"/>
  <c r="CG99" i="12" s="1"/>
  <c r="CH99" i="12" s="1"/>
  <c r="CI99" i="12" s="1"/>
  <c r="CJ99" i="12" s="1"/>
  <c r="CK99" i="12" s="1"/>
  <c r="CL99" i="12" s="1"/>
  <c r="CM99" i="12" s="1"/>
  <c r="CN99" i="12" s="1"/>
  <c r="CO99" i="12" s="1"/>
  <c r="CP99" i="12" s="1"/>
  <c r="CQ99" i="12" s="1"/>
  <c r="CR99" i="12" s="1"/>
  <c r="CS99" i="12" s="1"/>
  <c r="CT99" i="12" s="1"/>
  <c r="CU99" i="12" s="1"/>
  <c r="CV99" i="12" s="1"/>
  <c r="CW99" i="12" s="1"/>
  <c r="CX99" i="12" s="1"/>
  <c r="CY99" i="12" s="1"/>
  <c r="CZ99" i="12" s="1"/>
  <c r="BC99" i="12"/>
  <c r="BD99" i="12" s="1"/>
  <c r="BE99" i="12" s="1"/>
  <c r="BF99" i="12" s="1"/>
  <c r="BG99" i="12" s="1"/>
  <c r="BH99" i="12" s="1"/>
  <c r="BI99" i="12" s="1"/>
  <c r="BJ99" i="12" s="1"/>
  <c r="BK99" i="12" s="1"/>
  <c r="BL99" i="12" s="1"/>
  <c r="BM99" i="12" s="1"/>
  <c r="BN99" i="12" s="1"/>
  <c r="BO99" i="12" s="1"/>
  <c r="BP99" i="12" s="1"/>
  <c r="BV7" i="12"/>
  <c r="BW7" i="12" s="1"/>
  <c r="BX7" i="12" s="1"/>
  <c r="BY7" i="12" s="1"/>
  <c r="BZ7" i="12" s="1"/>
  <c r="CA7" i="12" s="1"/>
  <c r="CB7" i="12" s="1"/>
  <c r="CC7" i="12" s="1"/>
  <c r="CD7" i="12" s="1"/>
  <c r="CE7" i="12" s="1"/>
  <c r="CF7" i="12" s="1"/>
  <c r="CG7" i="12" s="1"/>
  <c r="CH7" i="12" s="1"/>
  <c r="CI7" i="12" s="1"/>
  <c r="CJ7" i="12" s="1"/>
  <c r="CK7" i="12" s="1"/>
  <c r="CL7" i="12" s="1"/>
  <c r="CM7" i="12" s="1"/>
  <c r="CN7" i="12" s="1"/>
  <c r="CO7" i="12" s="1"/>
  <c r="CP7" i="12" s="1"/>
  <c r="CQ7" i="12" s="1"/>
  <c r="CR7" i="12" s="1"/>
  <c r="CS7" i="12" s="1"/>
  <c r="CT7" i="12" s="1"/>
  <c r="CU7" i="12" s="1"/>
  <c r="CV7" i="12" s="1"/>
  <c r="CW7" i="12" s="1"/>
  <c r="CX7" i="12" s="1"/>
  <c r="CY7" i="12" s="1"/>
  <c r="CZ7" i="12" s="1"/>
  <c r="BC7" i="12"/>
  <c r="BD7" i="12" s="1"/>
  <c r="BE7" i="12" s="1"/>
  <c r="BF7" i="12" s="1"/>
  <c r="BG7" i="12" s="1"/>
  <c r="BH7" i="12" s="1"/>
  <c r="BI7" i="12" s="1"/>
  <c r="BJ7" i="12" s="1"/>
  <c r="BK7" i="12" s="1"/>
  <c r="BL7" i="12" s="1"/>
  <c r="BM7" i="12" s="1"/>
  <c r="BN7" i="12" s="1"/>
  <c r="BO7" i="12" s="1"/>
  <c r="BP7" i="12" s="1"/>
  <c r="BR33" i="12"/>
  <c r="BS33" i="12" s="1"/>
  <c r="BT33" i="12" s="1"/>
  <c r="BU33" i="12" s="1"/>
  <c r="A17" i="13"/>
  <c r="B17" i="13" s="1"/>
  <c r="C68" i="15"/>
  <c r="BC28" i="12"/>
  <c r="BD28" i="12" s="1"/>
  <c r="BE28" i="12" s="1"/>
  <c r="BF28" i="12" s="1"/>
  <c r="BG28" i="12" s="1"/>
  <c r="BH28" i="12" s="1"/>
  <c r="BI28" i="12" s="1"/>
  <c r="BJ28" i="12" s="1"/>
  <c r="BK28" i="12" s="1"/>
  <c r="BL28" i="12" s="1"/>
  <c r="BM28" i="12" s="1"/>
  <c r="BN28" i="12" s="1"/>
  <c r="BO28" i="12" s="1"/>
  <c r="BP28" i="12" s="1"/>
  <c r="BV28" i="12"/>
  <c r="BW28" i="12" s="1"/>
  <c r="BX28" i="12" s="1"/>
  <c r="BY28" i="12" s="1"/>
  <c r="BZ28" i="12" s="1"/>
  <c r="CA28" i="12" s="1"/>
  <c r="CB28" i="12" s="1"/>
  <c r="CC28" i="12" s="1"/>
  <c r="CD28" i="12" s="1"/>
  <c r="CE28" i="12" s="1"/>
  <c r="CF28" i="12" s="1"/>
  <c r="CG28" i="12" s="1"/>
  <c r="CH28" i="12" s="1"/>
  <c r="CI28" i="12" s="1"/>
  <c r="CJ28" i="12" s="1"/>
  <c r="CK28" i="12" s="1"/>
  <c r="CL28" i="12" s="1"/>
  <c r="CM28" i="12" s="1"/>
  <c r="CN28" i="12" s="1"/>
  <c r="CO28" i="12" s="1"/>
  <c r="CP28" i="12" s="1"/>
  <c r="CQ28" i="12" s="1"/>
  <c r="CR28" i="12" s="1"/>
  <c r="CS28" i="12" s="1"/>
  <c r="CT28" i="12" s="1"/>
  <c r="CU28" i="12" s="1"/>
  <c r="CV28" i="12" s="1"/>
  <c r="CW28" i="12" s="1"/>
  <c r="CX28" i="12" s="1"/>
  <c r="CY28" i="12" s="1"/>
  <c r="CZ28" i="12" s="1"/>
  <c r="BV96" i="12"/>
  <c r="BW96" i="12" s="1"/>
  <c r="BX96" i="12" s="1"/>
  <c r="BY96" i="12" s="1"/>
  <c r="BZ96" i="12" s="1"/>
  <c r="CA96" i="12" s="1"/>
  <c r="CB96" i="12" s="1"/>
  <c r="CC96" i="12" s="1"/>
  <c r="CD96" i="12" s="1"/>
  <c r="CE96" i="12" s="1"/>
  <c r="CF96" i="12" s="1"/>
  <c r="CG96" i="12" s="1"/>
  <c r="CH96" i="12" s="1"/>
  <c r="CI96" i="12" s="1"/>
  <c r="CJ96" i="12" s="1"/>
  <c r="CK96" i="12" s="1"/>
  <c r="CL96" i="12" s="1"/>
  <c r="CM96" i="12" s="1"/>
  <c r="CN96" i="12" s="1"/>
  <c r="CO96" i="12" s="1"/>
  <c r="CP96" i="12" s="1"/>
  <c r="CQ96" i="12" s="1"/>
  <c r="CR96" i="12" s="1"/>
  <c r="CS96" i="12" s="1"/>
  <c r="CT96" i="12" s="1"/>
  <c r="CU96" i="12" s="1"/>
  <c r="CV96" i="12" s="1"/>
  <c r="CW96" i="12" s="1"/>
  <c r="CX96" i="12" s="1"/>
  <c r="CY96" i="12" s="1"/>
  <c r="CZ96" i="12" s="1"/>
  <c r="BC96" i="12"/>
  <c r="BD96" i="12" s="1"/>
  <c r="BE96" i="12" s="1"/>
  <c r="BF96" i="12" s="1"/>
  <c r="BG96" i="12" s="1"/>
  <c r="BH96" i="12" s="1"/>
  <c r="BI96" i="12" s="1"/>
  <c r="BJ96" i="12" s="1"/>
  <c r="BK96" i="12" s="1"/>
  <c r="BL96" i="12" s="1"/>
  <c r="BM96" i="12" s="1"/>
  <c r="BN96" i="12" s="1"/>
  <c r="BO96" i="12" s="1"/>
  <c r="BP96" i="12" s="1"/>
  <c r="BC65" i="12"/>
  <c r="BD65" i="12" s="1"/>
  <c r="BE65" i="12" s="1"/>
  <c r="BF65" i="12" s="1"/>
  <c r="BG65" i="12" s="1"/>
  <c r="BH65" i="12" s="1"/>
  <c r="BI65" i="12" s="1"/>
  <c r="BJ65" i="12" s="1"/>
  <c r="BK65" i="12" s="1"/>
  <c r="BL65" i="12" s="1"/>
  <c r="BM65" i="12" s="1"/>
  <c r="BN65" i="12" s="1"/>
  <c r="BO65" i="12" s="1"/>
  <c r="BP65" i="12" s="1"/>
  <c r="BV65" i="12"/>
  <c r="BW65" i="12" s="1"/>
  <c r="BX65" i="12" s="1"/>
  <c r="BY65" i="12" s="1"/>
  <c r="BZ65" i="12" s="1"/>
  <c r="CA65" i="12" s="1"/>
  <c r="CB65" i="12" s="1"/>
  <c r="CC65" i="12" s="1"/>
  <c r="CD65" i="12" s="1"/>
  <c r="CE65" i="12" s="1"/>
  <c r="CF65" i="12" s="1"/>
  <c r="CG65" i="12" s="1"/>
  <c r="CH65" i="12" s="1"/>
  <c r="CI65" i="12" s="1"/>
  <c r="CJ65" i="12" s="1"/>
  <c r="CK65" i="12" s="1"/>
  <c r="CL65" i="12" s="1"/>
  <c r="CM65" i="12" s="1"/>
  <c r="CN65" i="12" s="1"/>
  <c r="CO65" i="12" s="1"/>
  <c r="CP65" i="12" s="1"/>
  <c r="CQ65" i="12" s="1"/>
  <c r="CR65" i="12" s="1"/>
  <c r="CS65" i="12" s="1"/>
  <c r="CT65" i="12" s="1"/>
  <c r="CU65" i="12" s="1"/>
  <c r="CV65" i="12" s="1"/>
  <c r="CW65" i="12" s="1"/>
  <c r="CX65" i="12" s="1"/>
  <c r="CY65" i="12" s="1"/>
  <c r="CZ65" i="12" s="1"/>
  <c r="AF67" i="15"/>
  <c r="D67" i="15"/>
  <c r="M67" i="15" s="1"/>
  <c r="W67" i="15"/>
  <c r="K67" i="15"/>
  <c r="A51" i="14"/>
  <c r="A99" i="14"/>
  <c r="C99" i="14" s="1"/>
  <c r="L67" i="15"/>
  <c r="B69" i="15"/>
  <c r="BV16" i="12"/>
  <c r="BW16" i="12" s="1"/>
  <c r="BX16" i="12" s="1"/>
  <c r="BY16" i="12" s="1"/>
  <c r="BZ16" i="12" s="1"/>
  <c r="CA16" i="12" s="1"/>
  <c r="CB16" i="12" s="1"/>
  <c r="CC16" i="12" s="1"/>
  <c r="CD16" i="12" s="1"/>
  <c r="CE16" i="12" s="1"/>
  <c r="CF16" i="12" s="1"/>
  <c r="CG16" i="12" s="1"/>
  <c r="CH16" i="12" s="1"/>
  <c r="CI16" i="12" s="1"/>
  <c r="CJ16" i="12" s="1"/>
  <c r="CK16" i="12" s="1"/>
  <c r="CL16" i="12" s="1"/>
  <c r="CM16" i="12" s="1"/>
  <c r="CN16" i="12" s="1"/>
  <c r="CO16" i="12" s="1"/>
  <c r="CP16" i="12" s="1"/>
  <c r="CQ16" i="12" s="1"/>
  <c r="CR16" i="12" s="1"/>
  <c r="CS16" i="12" s="1"/>
  <c r="CT16" i="12" s="1"/>
  <c r="CU16" i="12" s="1"/>
  <c r="CV16" i="12" s="1"/>
  <c r="CW16" i="12" s="1"/>
  <c r="CX16" i="12" s="1"/>
  <c r="CY16" i="12" s="1"/>
  <c r="CZ16" i="12" s="1"/>
  <c r="BC16" i="12"/>
  <c r="BD16" i="12" s="1"/>
  <c r="BE16" i="12" s="1"/>
  <c r="BF16" i="12" s="1"/>
  <c r="BG16" i="12" s="1"/>
  <c r="BH16" i="12" s="1"/>
  <c r="BI16" i="12" s="1"/>
  <c r="BJ16" i="12" s="1"/>
  <c r="BK16" i="12" s="1"/>
  <c r="BL16" i="12" s="1"/>
  <c r="BM16" i="12" s="1"/>
  <c r="BN16" i="12" s="1"/>
  <c r="BO16" i="12" s="1"/>
  <c r="BP16" i="12" s="1"/>
  <c r="BR35" i="12"/>
  <c r="BS35" i="12" s="1"/>
  <c r="BT35" i="12" s="1"/>
  <c r="BU35" i="12" s="1"/>
  <c r="BR68" i="12"/>
  <c r="BS68" i="12" s="1"/>
  <c r="BT68" i="12" s="1"/>
  <c r="BU68" i="12" s="1"/>
  <c r="BR27" i="12"/>
  <c r="BS27" i="12" s="1"/>
  <c r="BT27" i="12" s="1"/>
  <c r="BU27" i="12" s="1"/>
  <c r="BV100" i="12"/>
  <c r="BW100" i="12" s="1"/>
  <c r="BX100" i="12" s="1"/>
  <c r="BY100" i="12" s="1"/>
  <c r="BZ100" i="12" s="1"/>
  <c r="CA100" i="12" s="1"/>
  <c r="CB100" i="12" s="1"/>
  <c r="CC100" i="12" s="1"/>
  <c r="CD100" i="12" s="1"/>
  <c r="CE100" i="12" s="1"/>
  <c r="CF100" i="12" s="1"/>
  <c r="CG100" i="12" s="1"/>
  <c r="CH100" i="12" s="1"/>
  <c r="CI100" i="12" s="1"/>
  <c r="CJ100" i="12" s="1"/>
  <c r="CK100" i="12" s="1"/>
  <c r="CL100" i="12" s="1"/>
  <c r="CM100" i="12" s="1"/>
  <c r="CN100" i="12" s="1"/>
  <c r="CO100" i="12" s="1"/>
  <c r="CP100" i="12" s="1"/>
  <c r="CQ100" i="12" s="1"/>
  <c r="CR100" i="12" s="1"/>
  <c r="CS100" i="12" s="1"/>
  <c r="CT100" i="12" s="1"/>
  <c r="CU100" i="12" s="1"/>
  <c r="CV100" i="12" s="1"/>
  <c r="CW100" i="12" s="1"/>
  <c r="CX100" i="12" s="1"/>
  <c r="CY100" i="12" s="1"/>
  <c r="CZ100" i="12" s="1"/>
  <c r="BC100" i="12"/>
  <c r="BD100" i="12" s="1"/>
  <c r="BE100" i="12" s="1"/>
  <c r="BF100" i="12" s="1"/>
  <c r="BG100" i="12" s="1"/>
  <c r="BH100" i="12" s="1"/>
  <c r="BI100" i="12" s="1"/>
  <c r="BJ100" i="12" s="1"/>
  <c r="BK100" i="12" s="1"/>
  <c r="BL100" i="12" s="1"/>
  <c r="BM100" i="12" s="1"/>
  <c r="BN100" i="12" s="1"/>
  <c r="BO100" i="12" s="1"/>
  <c r="BP100" i="12" s="1"/>
  <c r="BC26" i="12"/>
  <c r="BD26" i="12" s="1"/>
  <c r="BE26" i="12" s="1"/>
  <c r="BF26" i="12" s="1"/>
  <c r="BG26" i="12" s="1"/>
  <c r="BH26" i="12" s="1"/>
  <c r="BI26" i="12" s="1"/>
  <c r="BJ26" i="12" s="1"/>
  <c r="BK26" i="12" s="1"/>
  <c r="BL26" i="12" s="1"/>
  <c r="BM26" i="12" s="1"/>
  <c r="BN26" i="12" s="1"/>
  <c r="BO26" i="12" s="1"/>
  <c r="BP26" i="12" s="1"/>
  <c r="BV26" i="12"/>
  <c r="BW26" i="12" s="1"/>
  <c r="BX26" i="12" s="1"/>
  <c r="BY26" i="12" s="1"/>
  <c r="BZ26" i="12" s="1"/>
  <c r="CA26" i="12" s="1"/>
  <c r="CB26" i="12" s="1"/>
  <c r="CC26" i="12" s="1"/>
  <c r="CD26" i="12" s="1"/>
  <c r="CE26" i="12" s="1"/>
  <c r="CF26" i="12" s="1"/>
  <c r="CG26" i="12" s="1"/>
  <c r="CH26" i="12" s="1"/>
  <c r="CI26" i="12" s="1"/>
  <c r="CJ26" i="12" s="1"/>
  <c r="CK26" i="12" s="1"/>
  <c r="CL26" i="12" s="1"/>
  <c r="CM26" i="12" s="1"/>
  <c r="CN26" i="12" s="1"/>
  <c r="CO26" i="12" s="1"/>
  <c r="CP26" i="12" s="1"/>
  <c r="CQ26" i="12" s="1"/>
  <c r="CR26" i="12" s="1"/>
  <c r="CS26" i="12" s="1"/>
  <c r="CT26" i="12" s="1"/>
  <c r="CU26" i="12" s="1"/>
  <c r="CV26" i="12" s="1"/>
  <c r="CW26" i="12" s="1"/>
  <c r="CX26" i="12" s="1"/>
  <c r="CY26" i="12" s="1"/>
  <c r="CZ26" i="12" s="1"/>
  <c r="BC15" i="12"/>
  <c r="BD15" i="12" s="1"/>
  <c r="BE15" i="12" s="1"/>
  <c r="BF15" i="12" s="1"/>
  <c r="BG15" i="12" s="1"/>
  <c r="BH15" i="12" s="1"/>
  <c r="BI15" i="12" s="1"/>
  <c r="BJ15" i="12" s="1"/>
  <c r="BK15" i="12" s="1"/>
  <c r="BL15" i="12" s="1"/>
  <c r="BM15" i="12" s="1"/>
  <c r="BN15" i="12" s="1"/>
  <c r="BO15" i="12" s="1"/>
  <c r="BP15" i="12" s="1"/>
  <c r="BV15" i="12"/>
  <c r="BW15" i="12" s="1"/>
  <c r="BX15" i="12" s="1"/>
  <c r="BY15" i="12" s="1"/>
  <c r="BZ15" i="12" s="1"/>
  <c r="CA15" i="12" s="1"/>
  <c r="CB15" i="12" s="1"/>
  <c r="CC15" i="12" s="1"/>
  <c r="CD15" i="12" s="1"/>
  <c r="CE15" i="12" s="1"/>
  <c r="CF15" i="12" s="1"/>
  <c r="CG15" i="12" s="1"/>
  <c r="CH15" i="12" s="1"/>
  <c r="CI15" i="12" s="1"/>
  <c r="CJ15" i="12" s="1"/>
  <c r="CK15" i="12" s="1"/>
  <c r="CL15" i="12" s="1"/>
  <c r="CM15" i="12" s="1"/>
  <c r="CN15" i="12" s="1"/>
  <c r="CO15" i="12" s="1"/>
  <c r="CP15" i="12" s="1"/>
  <c r="CQ15" i="12" s="1"/>
  <c r="CR15" i="12" s="1"/>
  <c r="CS15" i="12" s="1"/>
  <c r="CT15" i="12" s="1"/>
  <c r="CU15" i="12" s="1"/>
  <c r="CV15" i="12" s="1"/>
  <c r="CW15" i="12" s="1"/>
  <c r="CX15" i="12" s="1"/>
  <c r="CY15" i="12" s="1"/>
  <c r="CZ15" i="12" s="1"/>
  <c r="B24" i="17"/>
  <c r="C23" i="17"/>
  <c r="BR25" i="12"/>
  <c r="BS25" i="12" s="1"/>
  <c r="BT25" i="12" s="1"/>
  <c r="BU25" i="12" s="1"/>
  <c r="BR98" i="12"/>
  <c r="BS98" i="12" s="1"/>
  <c r="BT98" i="12" s="1"/>
  <c r="BU98" i="12" s="1"/>
  <c r="BV34" i="12"/>
  <c r="BW34" i="12" s="1"/>
  <c r="BX34" i="12" s="1"/>
  <c r="BY34" i="12" s="1"/>
  <c r="BZ34" i="12" s="1"/>
  <c r="CA34" i="12" s="1"/>
  <c r="CB34" i="12" s="1"/>
  <c r="CC34" i="12" s="1"/>
  <c r="CD34" i="12" s="1"/>
  <c r="CE34" i="12" s="1"/>
  <c r="CF34" i="12" s="1"/>
  <c r="CG34" i="12" s="1"/>
  <c r="CH34" i="12" s="1"/>
  <c r="CI34" i="12" s="1"/>
  <c r="CJ34" i="12" s="1"/>
  <c r="CK34" i="12" s="1"/>
  <c r="CL34" i="12" s="1"/>
  <c r="CM34" i="12" s="1"/>
  <c r="CN34" i="12" s="1"/>
  <c r="CO34" i="12" s="1"/>
  <c r="CP34" i="12" s="1"/>
  <c r="CQ34" i="12" s="1"/>
  <c r="CR34" i="12" s="1"/>
  <c r="CS34" i="12" s="1"/>
  <c r="CT34" i="12" s="1"/>
  <c r="CU34" i="12" s="1"/>
  <c r="CV34" i="12" s="1"/>
  <c r="CW34" i="12" s="1"/>
  <c r="CX34" i="12" s="1"/>
  <c r="CY34" i="12" s="1"/>
  <c r="CZ34" i="12" s="1"/>
  <c r="BC34" i="12"/>
  <c r="BD34" i="12" s="1"/>
  <c r="BE34" i="12" s="1"/>
  <c r="BF34" i="12" s="1"/>
  <c r="BG34" i="12" s="1"/>
  <c r="BH34" i="12" s="1"/>
  <c r="BI34" i="12" s="1"/>
  <c r="BJ34" i="12" s="1"/>
  <c r="BK34" i="12" s="1"/>
  <c r="BL34" i="12" s="1"/>
  <c r="BM34" i="12" s="1"/>
  <c r="BN34" i="12" s="1"/>
  <c r="BO34" i="12" s="1"/>
  <c r="BP34" i="12" s="1"/>
  <c r="BR66" i="12"/>
  <c r="BS66" i="12" s="1"/>
  <c r="BT66" i="12" s="1"/>
  <c r="BU66" i="12" s="1"/>
  <c r="BV91" i="12"/>
  <c r="BW91" i="12" s="1"/>
  <c r="BX91" i="12" s="1"/>
  <c r="BY91" i="12" s="1"/>
  <c r="BZ91" i="12" s="1"/>
  <c r="CA91" i="12" s="1"/>
  <c r="CB91" i="12" s="1"/>
  <c r="CC91" i="12" s="1"/>
  <c r="CD91" i="12" s="1"/>
  <c r="CE91" i="12" s="1"/>
  <c r="CF91" i="12" s="1"/>
  <c r="CG91" i="12" s="1"/>
  <c r="CH91" i="12" s="1"/>
  <c r="CI91" i="12" s="1"/>
  <c r="CJ91" i="12" s="1"/>
  <c r="CK91" i="12" s="1"/>
  <c r="CL91" i="12" s="1"/>
  <c r="CM91" i="12" s="1"/>
  <c r="CN91" i="12" s="1"/>
  <c r="CO91" i="12" s="1"/>
  <c r="CP91" i="12" s="1"/>
  <c r="CQ91" i="12" s="1"/>
  <c r="CR91" i="12" s="1"/>
  <c r="CS91" i="12" s="1"/>
  <c r="CT91" i="12" s="1"/>
  <c r="CU91" i="12" s="1"/>
  <c r="CV91" i="12" s="1"/>
  <c r="CW91" i="12" s="1"/>
  <c r="CX91" i="12" s="1"/>
  <c r="CY91" i="12" s="1"/>
  <c r="CZ91" i="12" s="1"/>
  <c r="BC91" i="12"/>
  <c r="BD91" i="12" s="1"/>
  <c r="BE91" i="12" s="1"/>
  <c r="BF91" i="12" s="1"/>
  <c r="BG91" i="12" s="1"/>
  <c r="BH91" i="12" s="1"/>
  <c r="BI91" i="12" s="1"/>
  <c r="BJ91" i="12" s="1"/>
  <c r="BK91" i="12" s="1"/>
  <c r="BL91" i="12" s="1"/>
  <c r="BM91" i="12" s="1"/>
  <c r="BN91" i="12" s="1"/>
  <c r="BO91" i="12" s="1"/>
  <c r="BP91" i="12" s="1"/>
  <c r="M140" i="15"/>
  <c r="Q140" i="15"/>
  <c r="U140" i="15"/>
  <c r="T140" i="15"/>
  <c r="P140" i="15"/>
  <c r="V140" i="15"/>
  <c r="N140" i="15"/>
  <c r="R140" i="15"/>
  <c r="H140" i="15"/>
  <c r="L140" i="15"/>
  <c r="I140" i="15"/>
  <c r="A141" i="15"/>
  <c r="A188" i="15" s="1"/>
  <c r="A20" i="17"/>
  <c r="A68" i="15"/>
  <c r="E67" i="15"/>
  <c r="H66" i="119"/>
  <c r="H70" i="119"/>
  <c r="H67" i="119"/>
  <c r="H68" i="119"/>
  <c r="F69" i="119"/>
  <c r="F68" i="119"/>
  <c r="F67" i="119"/>
  <c r="F66" i="119"/>
  <c r="F70" i="119"/>
  <c r="I102" i="119"/>
  <c r="C68" i="119"/>
  <c r="C70" i="119"/>
  <c r="C69" i="119"/>
  <c r="C67" i="119"/>
  <c r="C66" i="119"/>
  <c r="I68" i="119"/>
  <c r="I66" i="119"/>
  <c r="I67" i="119"/>
  <c r="I70" i="119"/>
  <c r="I69" i="119"/>
  <c r="G70" i="119"/>
  <c r="G69" i="119"/>
  <c r="G67" i="119"/>
  <c r="G66" i="119"/>
  <c r="G68" i="119"/>
  <c r="I106" i="119"/>
  <c r="H107" i="119"/>
  <c r="I101" i="119"/>
  <c r="H101" i="119"/>
  <c r="I105" i="119"/>
  <c r="H105" i="119"/>
  <c r="H103" i="119"/>
  <c r="I103" i="119"/>
  <c r="I104" i="119"/>
  <c r="C140" i="15"/>
  <c r="E140" i="15"/>
  <c r="D140" i="15"/>
  <c r="D282" i="15"/>
  <c r="BR61" i="12" l="1"/>
  <c r="BS61" i="12" s="1"/>
  <c r="BT61" i="12" s="1"/>
  <c r="BU61" i="12" s="1"/>
  <c r="BW61" i="12"/>
  <c r="BX61" i="12" s="1"/>
  <c r="BY61" i="12" s="1"/>
  <c r="BZ61" i="12" s="1"/>
  <c r="CA61" i="12" s="1"/>
  <c r="CB61" i="12" s="1"/>
  <c r="CC61" i="12" s="1"/>
  <c r="CD61" i="12" s="1"/>
  <c r="CE61" i="12" s="1"/>
  <c r="CF61" i="12" s="1"/>
  <c r="CG61" i="12" s="1"/>
  <c r="CH61" i="12" s="1"/>
  <c r="CI61" i="12" s="1"/>
  <c r="CJ61" i="12" s="1"/>
  <c r="CK61" i="12" s="1"/>
  <c r="CL61" i="12" s="1"/>
  <c r="CM61" i="12" s="1"/>
  <c r="CN61" i="12" s="1"/>
  <c r="CO61" i="12" s="1"/>
  <c r="CP61" i="12" s="1"/>
  <c r="CQ61" i="12" s="1"/>
  <c r="CR61" i="12" s="1"/>
  <c r="CS61" i="12" s="1"/>
  <c r="CT61" i="12" s="1"/>
  <c r="CU61" i="12" s="1"/>
  <c r="CV61" i="12" s="1"/>
  <c r="CW61" i="12" s="1"/>
  <c r="CX61" i="12" s="1"/>
  <c r="CY61" i="12" s="1"/>
  <c r="CZ61" i="12" s="1"/>
  <c r="BR97" i="12"/>
  <c r="BS97" i="12" s="1"/>
  <c r="BT97" i="12" s="1"/>
  <c r="BU97" i="12" s="1"/>
  <c r="BW97" i="12"/>
  <c r="BX97" i="12" s="1"/>
  <c r="BY97" i="12" s="1"/>
  <c r="BZ97" i="12" s="1"/>
  <c r="CA97" i="12" s="1"/>
  <c r="CB97" i="12" s="1"/>
  <c r="CC97" i="12" s="1"/>
  <c r="CD97" i="12" s="1"/>
  <c r="CE97" i="12" s="1"/>
  <c r="CF97" i="12" s="1"/>
  <c r="CG97" i="12" s="1"/>
  <c r="CH97" i="12" s="1"/>
  <c r="CI97" i="12" s="1"/>
  <c r="CJ97" i="12" s="1"/>
  <c r="CK97" i="12" s="1"/>
  <c r="CL97" i="12" s="1"/>
  <c r="CM97" i="12" s="1"/>
  <c r="CN97" i="12" s="1"/>
  <c r="CO97" i="12" s="1"/>
  <c r="CP97" i="12" s="1"/>
  <c r="CQ97" i="12" s="1"/>
  <c r="CR97" i="12" s="1"/>
  <c r="CS97" i="12" s="1"/>
  <c r="CT97" i="12" s="1"/>
  <c r="CU97" i="12" s="1"/>
  <c r="CV97" i="12" s="1"/>
  <c r="CW97" i="12" s="1"/>
  <c r="CX97" i="12" s="1"/>
  <c r="CY97" i="12" s="1"/>
  <c r="CZ97" i="12" s="1"/>
  <c r="BR89" i="12"/>
  <c r="BS89" i="12" s="1"/>
  <c r="BT89" i="12" s="1"/>
  <c r="BU89" i="12" s="1"/>
  <c r="BW89" i="12"/>
  <c r="BX89" i="12" s="1"/>
  <c r="BY89" i="12" s="1"/>
  <c r="BZ89" i="12" s="1"/>
  <c r="CA89" i="12" s="1"/>
  <c r="CB89" i="12" s="1"/>
  <c r="CC89" i="12" s="1"/>
  <c r="CD89" i="12" s="1"/>
  <c r="CE89" i="12" s="1"/>
  <c r="CF89" i="12" s="1"/>
  <c r="CG89" i="12" s="1"/>
  <c r="CH89" i="12" s="1"/>
  <c r="CI89" i="12" s="1"/>
  <c r="CJ89" i="12" s="1"/>
  <c r="CK89" i="12" s="1"/>
  <c r="CL89" i="12" s="1"/>
  <c r="CM89" i="12" s="1"/>
  <c r="CN89" i="12" s="1"/>
  <c r="CO89" i="12" s="1"/>
  <c r="CP89" i="12" s="1"/>
  <c r="CQ89" i="12" s="1"/>
  <c r="CR89" i="12" s="1"/>
  <c r="CS89" i="12" s="1"/>
  <c r="CT89" i="12" s="1"/>
  <c r="CU89" i="12" s="1"/>
  <c r="CV89" i="12" s="1"/>
  <c r="CW89" i="12" s="1"/>
  <c r="CX89" i="12" s="1"/>
  <c r="CY89" i="12" s="1"/>
  <c r="CZ89" i="12" s="1"/>
  <c r="E282" i="15"/>
  <c r="AY472" i="11"/>
  <c r="AZ472" i="11" s="1"/>
  <c r="BA472" i="11" s="1"/>
  <c r="BB472" i="11" s="1"/>
  <c r="BC472" i="11" s="1"/>
  <c r="BD472" i="11" s="1"/>
  <c r="BE472" i="11" s="1"/>
  <c r="BF472" i="11" s="1"/>
  <c r="BG472" i="11" s="1"/>
  <c r="BH472" i="11" s="1"/>
  <c r="BI472" i="11" s="1"/>
  <c r="BJ472" i="11" s="1"/>
  <c r="BK472" i="11" s="1"/>
  <c r="BL472" i="11" s="1"/>
  <c r="BR253" i="11"/>
  <c r="BN253" i="11" s="1"/>
  <c r="BO253" i="11" s="1"/>
  <c r="BP253" i="11" s="1"/>
  <c r="BQ253" i="11" s="1"/>
  <c r="AY471" i="11"/>
  <c r="AZ471" i="11" s="1"/>
  <c r="BA471" i="11" s="1"/>
  <c r="BB471" i="11" s="1"/>
  <c r="BC471" i="11" s="1"/>
  <c r="BD471" i="11" s="1"/>
  <c r="BE471" i="11" s="1"/>
  <c r="BF471" i="11" s="1"/>
  <c r="BG471" i="11" s="1"/>
  <c r="BH471" i="11" s="1"/>
  <c r="BI471" i="11" s="1"/>
  <c r="BJ471" i="11" s="1"/>
  <c r="BK471" i="11" s="1"/>
  <c r="BL471" i="11" s="1"/>
  <c r="BR369" i="11"/>
  <c r="BN369" i="11" s="1"/>
  <c r="BO369" i="11" s="1"/>
  <c r="BP369" i="11" s="1"/>
  <c r="BQ369" i="11" s="1"/>
  <c r="BR263" i="11"/>
  <c r="BN263" i="11" s="1"/>
  <c r="BO263" i="11" s="1"/>
  <c r="BP263" i="11" s="1"/>
  <c r="BQ263" i="11" s="1"/>
  <c r="AY483" i="11"/>
  <c r="AZ483" i="11" s="1"/>
  <c r="BA483" i="11" s="1"/>
  <c r="BB483" i="11" s="1"/>
  <c r="BC483" i="11" s="1"/>
  <c r="BD483" i="11" s="1"/>
  <c r="BE483" i="11" s="1"/>
  <c r="BF483" i="11" s="1"/>
  <c r="BG483" i="11" s="1"/>
  <c r="BH483" i="11" s="1"/>
  <c r="BI483" i="11" s="1"/>
  <c r="BJ483" i="11" s="1"/>
  <c r="BK483" i="11" s="1"/>
  <c r="BL483" i="11" s="1"/>
  <c r="BR483" i="11"/>
  <c r="BN483" i="11" s="1"/>
  <c r="BO483" i="11" s="1"/>
  <c r="BP483" i="11" s="1"/>
  <c r="BQ483" i="11" s="1"/>
  <c r="BV62" i="12"/>
  <c r="BV59" i="12"/>
  <c r="BC90" i="12"/>
  <c r="BD90" i="12" s="1"/>
  <c r="BE90" i="12" s="1"/>
  <c r="BF90" i="12" s="1"/>
  <c r="BG90" i="12" s="1"/>
  <c r="BH90" i="12" s="1"/>
  <c r="BI90" i="12" s="1"/>
  <c r="BJ90" i="12" s="1"/>
  <c r="BK90" i="12" s="1"/>
  <c r="BL90" i="12" s="1"/>
  <c r="BM90" i="12" s="1"/>
  <c r="BN90" i="12" s="1"/>
  <c r="BO90" i="12" s="1"/>
  <c r="BP90" i="12" s="1"/>
  <c r="BV90" i="12"/>
  <c r="BR376" i="11"/>
  <c r="BN376" i="11" s="1"/>
  <c r="BO376" i="11" s="1"/>
  <c r="BP376" i="11" s="1"/>
  <c r="BQ376" i="11" s="1"/>
  <c r="BC60" i="12"/>
  <c r="BD60" i="12" s="1"/>
  <c r="BE60" i="12" s="1"/>
  <c r="BF60" i="12" s="1"/>
  <c r="BG60" i="12" s="1"/>
  <c r="BH60" i="12" s="1"/>
  <c r="BI60" i="12" s="1"/>
  <c r="BJ60" i="12" s="1"/>
  <c r="BK60" i="12" s="1"/>
  <c r="BL60" i="12" s="1"/>
  <c r="BM60" i="12" s="1"/>
  <c r="BN60" i="12" s="1"/>
  <c r="BO60" i="12" s="1"/>
  <c r="BP60" i="12" s="1"/>
  <c r="BV60" i="12"/>
  <c r="BC10" i="12"/>
  <c r="BD10" i="12" s="1"/>
  <c r="BE10" i="12" s="1"/>
  <c r="BF10" i="12" s="1"/>
  <c r="BG10" i="12" s="1"/>
  <c r="BH10" i="12" s="1"/>
  <c r="BI10" i="12" s="1"/>
  <c r="BJ10" i="12" s="1"/>
  <c r="BK10" i="12" s="1"/>
  <c r="BL10" i="12" s="1"/>
  <c r="BM10" i="12" s="1"/>
  <c r="BN10" i="12" s="1"/>
  <c r="BO10" i="12" s="1"/>
  <c r="BP10" i="12" s="1"/>
  <c r="BV10" i="12"/>
  <c r="BR366" i="11"/>
  <c r="BN366" i="11" s="1"/>
  <c r="BO366" i="11" s="1"/>
  <c r="BP366" i="11" s="1"/>
  <c r="BQ366" i="11" s="1"/>
  <c r="BR506" i="11"/>
  <c r="BN506" i="11" s="1"/>
  <c r="BO506" i="11" s="1"/>
  <c r="BP506" i="11" s="1"/>
  <c r="BQ506" i="11" s="1"/>
  <c r="BR269" i="11"/>
  <c r="BN269" i="11" s="1"/>
  <c r="BO269" i="11" s="1"/>
  <c r="BP269" i="11" s="1"/>
  <c r="BQ269" i="11" s="1"/>
  <c r="BR374" i="11"/>
  <c r="BN374" i="11" s="1"/>
  <c r="BO374" i="11" s="1"/>
  <c r="BP374" i="11" s="1"/>
  <c r="BQ374" i="11" s="1"/>
  <c r="BR357" i="11"/>
  <c r="BN357" i="11" s="1"/>
  <c r="BO357" i="11" s="1"/>
  <c r="BP357" i="11" s="1"/>
  <c r="BQ357" i="11" s="1"/>
  <c r="BC9" i="12"/>
  <c r="BD9" i="12" s="1"/>
  <c r="BE9" i="12" s="1"/>
  <c r="BF9" i="12" s="1"/>
  <c r="BG9" i="12" s="1"/>
  <c r="BH9" i="12" s="1"/>
  <c r="BI9" i="12" s="1"/>
  <c r="BJ9" i="12" s="1"/>
  <c r="BK9" i="12" s="1"/>
  <c r="BL9" i="12" s="1"/>
  <c r="BM9" i="12" s="1"/>
  <c r="BN9" i="12" s="1"/>
  <c r="BO9" i="12" s="1"/>
  <c r="BP9" i="12" s="1"/>
  <c r="BV9" i="12"/>
  <c r="BW9" i="12" s="1"/>
  <c r="BX9" i="12" s="1"/>
  <c r="BY9" i="12" s="1"/>
  <c r="BZ9" i="12" s="1"/>
  <c r="CA9" i="12" s="1"/>
  <c r="CB9" i="12" s="1"/>
  <c r="CC9" i="12" s="1"/>
  <c r="CD9" i="12" s="1"/>
  <c r="CE9" i="12" s="1"/>
  <c r="CF9" i="12" s="1"/>
  <c r="CG9" i="12" s="1"/>
  <c r="CH9" i="12" s="1"/>
  <c r="CI9" i="12" s="1"/>
  <c r="CJ9" i="12" s="1"/>
  <c r="CK9" i="12" s="1"/>
  <c r="CL9" i="12" s="1"/>
  <c r="CM9" i="12" s="1"/>
  <c r="CN9" i="12" s="1"/>
  <c r="CO9" i="12" s="1"/>
  <c r="CP9" i="12" s="1"/>
  <c r="CQ9" i="12" s="1"/>
  <c r="CR9" i="12" s="1"/>
  <c r="CS9" i="12" s="1"/>
  <c r="CT9" i="12" s="1"/>
  <c r="CU9" i="12" s="1"/>
  <c r="CV9" i="12" s="1"/>
  <c r="CW9" i="12" s="1"/>
  <c r="CX9" i="12" s="1"/>
  <c r="CY9" i="12" s="1"/>
  <c r="CZ9" i="12" s="1"/>
  <c r="AY357" i="11"/>
  <c r="AZ357" i="11" s="1"/>
  <c r="BA357" i="11" s="1"/>
  <c r="BB357" i="11" s="1"/>
  <c r="BC357" i="11" s="1"/>
  <c r="BD357" i="11" s="1"/>
  <c r="BE357" i="11" s="1"/>
  <c r="BF357" i="11" s="1"/>
  <c r="BG357" i="11" s="1"/>
  <c r="BH357" i="11" s="1"/>
  <c r="BI357" i="11" s="1"/>
  <c r="BJ357" i="11" s="1"/>
  <c r="BK357" i="11" s="1"/>
  <c r="BL357" i="11" s="1"/>
  <c r="BR267" i="11"/>
  <c r="BN267" i="11" s="1"/>
  <c r="BO267" i="11" s="1"/>
  <c r="BP267" i="11" s="1"/>
  <c r="BQ267" i="11" s="1"/>
  <c r="AY376" i="11"/>
  <c r="AZ376" i="11" s="1"/>
  <c r="BA376" i="11" s="1"/>
  <c r="BB376" i="11" s="1"/>
  <c r="BC376" i="11" s="1"/>
  <c r="BD376" i="11" s="1"/>
  <c r="BE376" i="11" s="1"/>
  <c r="BF376" i="11" s="1"/>
  <c r="BG376" i="11" s="1"/>
  <c r="BH376" i="11" s="1"/>
  <c r="BI376" i="11" s="1"/>
  <c r="BJ376" i="11" s="1"/>
  <c r="BK376" i="11" s="1"/>
  <c r="BL376" i="11" s="1"/>
  <c r="BR490" i="11"/>
  <c r="BN490" i="11" s="1"/>
  <c r="BO490" i="11" s="1"/>
  <c r="BP490" i="11" s="1"/>
  <c r="BQ490" i="11" s="1"/>
  <c r="BR259" i="11"/>
  <c r="BN259" i="11" s="1"/>
  <c r="BO259" i="11" s="1"/>
  <c r="BP259" i="11" s="1"/>
  <c r="BQ259" i="11" s="1"/>
  <c r="AY267" i="11"/>
  <c r="AZ267" i="11" s="1"/>
  <c r="BA267" i="11" s="1"/>
  <c r="BB267" i="11" s="1"/>
  <c r="BC267" i="11" s="1"/>
  <c r="BD267" i="11" s="1"/>
  <c r="BE267" i="11" s="1"/>
  <c r="BF267" i="11" s="1"/>
  <c r="BG267" i="11" s="1"/>
  <c r="BH267" i="11" s="1"/>
  <c r="BI267" i="11" s="1"/>
  <c r="BJ267" i="11" s="1"/>
  <c r="BK267" i="11" s="1"/>
  <c r="BL267" i="11" s="1"/>
  <c r="F112" i="34"/>
  <c r="F113" i="34"/>
  <c r="BR8" i="12"/>
  <c r="BS8" i="12" s="1"/>
  <c r="BT8" i="12" s="1"/>
  <c r="BU8" i="12" s="1"/>
  <c r="F111" i="34"/>
  <c r="BR15" i="12"/>
  <c r="BS15" i="12" s="1"/>
  <c r="BT15" i="12" s="1"/>
  <c r="BU15" i="12" s="1"/>
  <c r="BR16" i="12"/>
  <c r="BS16" i="12" s="1"/>
  <c r="BT16" i="12" s="1"/>
  <c r="BU16" i="12" s="1"/>
  <c r="BR7" i="12"/>
  <c r="BS7" i="12" s="1"/>
  <c r="BT7" i="12" s="1"/>
  <c r="BU7" i="12" s="1"/>
  <c r="BR91" i="12"/>
  <c r="BS91" i="12" s="1"/>
  <c r="BT91" i="12" s="1"/>
  <c r="BU91" i="12" s="1"/>
  <c r="BR96" i="12"/>
  <c r="BS96" i="12" s="1"/>
  <c r="BT96" i="12" s="1"/>
  <c r="BU96" i="12" s="1"/>
  <c r="BR100" i="12"/>
  <c r="BS100" i="12" s="1"/>
  <c r="BT100" i="12" s="1"/>
  <c r="BU100" i="12" s="1"/>
  <c r="B25" i="17"/>
  <c r="C24" i="17"/>
  <c r="BR34" i="12"/>
  <c r="BS34" i="12" s="1"/>
  <c r="BT34" i="12" s="1"/>
  <c r="BU34" i="12" s="1"/>
  <c r="BR26" i="12"/>
  <c r="BS26" i="12" s="1"/>
  <c r="BT26" i="12" s="1"/>
  <c r="BU26" i="12" s="1"/>
  <c r="C69" i="15"/>
  <c r="B70" i="15"/>
  <c r="A18" i="13"/>
  <c r="B18" i="13" s="1"/>
  <c r="BR28" i="12"/>
  <c r="BS28" i="12" s="1"/>
  <c r="BT28" i="12" s="1"/>
  <c r="BU28" i="12" s="1"/>
  <c r="BR65" i="12"/>
  <c r="BS65" i="12" s="1"/>
  <c r="BT65" i="12" s="1"/>
  <c r="BU65" i="12" s="1"/>
  <c r="K68" i="15"/>
  <c r="W68" i="15"/>
  <c r="A100" i="14"/>
  <c r="C100" i="14" s="1"/>
  <c r="A52" i="14"/>
  <c r="AF68" i="15"/>
  <c r="D68" i="15"/>
  <c r="M68" i="15" s="1"/>
  <c r="L68" i="15"/>
  <c r="H68" i="15"/>
  <c r="BR99" i="12"/>
  <c r="BS99" i="12" s="1"/>
  <c r="BT99" i="12" s="1"/>
  <c r="BU99" i="12" s="1"/>
  <c r="A142" i="15"/>
  <c r="A189" i="15" s="1"/>
  <c r="A21" i="17"/>
  <c r="A69" i="15"/>
  <c r="E68" i="15"/>
  <c r="I141" i="15"/>
  <c r="M141" i="15"/>
  <c r="Q141" i="15"/>
  <c r="R141" i="15"/>
  <c r="P141" i="15"/>
  <c r="T141" i="15"/>
  <c r="N141" i="15"/>
  <c r="U141" i="15"/>
  <c r="V141" i="15"/>
  <c r="L141" i="15"/>
  <c r="H141" i="15"/>
  <c r="D141" i="15"/>
  <c r="C141" i="15"/>
  <c r="E141" i="15"/>
  <c r="BR60" i="12" l="1"/>
  <c r="BS60" i="12" s="1"/>
  <c r="BT60" i="12" s="1"/>
  <c r="BU60" i="12" s="1"/>
  <c r="BW60" i="12"/>
  <c r="BX60" i="12" s="1"/>
  <c r="BY60" i="12" s="1"/>
  <c r="BZ60" i="12" s="1"/>
  <c r="CA60" i="12" s="1"/>
  <c r="CB60" i="12" s="1"/>
  <c r="CC60" i="12" s="1"/>
  <c r="CD60" i="12" s="1"/>
  <c r="CE60" i="12" s="1"/>
  <c r="CF60" i="12" s="1"/>
  <c r="CG60" i="12" s="1"/>
  <c r="CH60" i="12" s="1"/>
  <c r="CI60" i="12" s="1"/>
  <c r="CJ60" i="12" s="1"/>
  <c r="CK60" i="12" s="1"/>
  <c r="CL60" i="12" s="1"/>
  <c r="CM60" i="12" s="1"/>
  <c r="CN60" i="12" s="1"/>
  <c r="CO60" i="12" s="1"/>
  <c r="CP60" i="12" s="1"/>
  <c r="CQ60" i="12" s="1"/>
  <c r="CR60" i="12" s="1"/>
  <c r="CS60" i="12" s="1"/>
  <c r="CT60" i="12" s="1"/>
  <c r="CU60" i="12" s="1"/>
  <c r="CV60" i="12" s="1"/>
  <c r="CW60" i="12" s="1"/>
  <c r="CX60" i="12" s="1"/>
  <c r="CY60" i="12" s="1"/>
  <c r="CZ60" i="12" s="1"/>
  <c r="BR90" i="12"/>
  <c r="BS90" i="12" s="1"/>
  <c r="BT90" i="12" s="1"/>
  <c r="BU90" i="12" s="1"/>
  <c r="BW90" i="12"/>
  <c r="BX90" i="12" s="1"/>
  <c r="BY90" i="12" s="1"/>
  <c r="BZ90" i="12" s="1"/>
  <c r="CA90" i="12" s="1"/>
  <c r="CB90" i="12" s="1"/>
  <c r="CC90" i="12" s="1"/>
  <c r="CD90" i="12" s="1"/>
  <c r="CE90" i="12" s="1"/>
  <c r="CF90" i="12" s="1"/>
  <c r="CG90" i="12" s="1"/>
  <c r="CH90" i="12" s="1"/>
  <c r="CI90" i="12" s="1"/>
  <c r="CJ90" i="12" s="1"/>
  <c r="CK90" i="12" s="1"/>
  <c r="CL90" i="12" s="1"/>
  <c r="CM90" i="12" s="1"/>
  <c r="CN90" i="12" s="1"/>
  <c r="CO90" i="12" s="1"/>
  <c r="CP90" i="12" s="1"/>
  <c r="CQ90" i="12" s="1"/>
  <c r="CR90" i="12" s="1"/>
  <c r="CS90" i="12" s="1"/>
  <c r="CT90" i="12" s="1"/>
  <c r="CU90" i="12" s="1"/>
  <c r="CV90" i="12" s="1"/>
  <c r="CW90" i="12" s="1"/>
  <c r="CX90" i="12" s="1"/>
  <c r="CY90" i="12" s="1"/>
  <c r="CZ90" i="12" s="1"/>
  <c r="BR10" i="12"/>
  <c r="BS10" i="12" s="1"/>
  <c r="BT10" i="12" s="1"/>
  <c r="BU10" i="12" s="1"/>
  <c r="BW10" i="12"/>
  <c r="BX10" i="12" s="1"/>
  <c r="BY10" i="12" s="1"/>
  <c r="BZ10" i="12" s="1"/>
  <c r="CA10" i="12" s="1"/>
  <c r="CB10" i="12" s="1"/>
  <c r="CC10" i="12" s="1"/>
  <c r="CD10" i="12" s="1"/>
  <c r="CE10" i="12" s="1"/>
  <c r="CF10" i="12" s="1"/>
  <c r="CG10" i="12" s="1"/>
  <c r="CH10" i="12" s="1"/>
  <c r="CI10" i="12" s="1"/>
  <c r="CJ10" i="12" s="1"/>
  <c r="CK10" i="12" s="1"/>
  <c r="CL10" i="12" s="1"/>
  <c r="CM10" i="12" s="1"/>
  <c r="CN10" i="12" s="1"/>
  <c r="CO10" i="12" s="1"/>
  <c r="CP10" i="12" s="1"/>
  <c r="CQ10" i="12" s="1"/>
  <c r="CR10" i="12" s="1"/>
  <c r="CS10" i="12" s="1"/>
  <c r="CT10" i="12" s="1"/>
  <c r="CU10" i="12" s="1"/>
  <c r="CV10" i="12" s="1"/>
  <c r="CW10" i="12" s="1"/>
  <c r="CX10" i="12" s="1"/>
  <c r="CY10" i="12" s="1"/>
  <c r="CZ10" i="12" s="1"/>
  <c r="BR59" i="12"/>
  <c r="BS59" i="12" s="1"/>
  <c r="BT59" i="12" s="1"/>
  <c r="BU59" i="12" s="1"/>
  <c r="BW59" i="12"/>
  <c r="BX59" i="12" s="1"/>
  <c r="BY59" i="12" s="1"/>
  <c r="BZ59" i="12" s="1"/>
  <c r="CA59" i="12" s="1"/>
  <c r="CB59" i="12" s="1"/>
  <c r="CC59" i="12" s="1"/>
  <c r="CD59" i="12" s="1"/>
  <c r="CE59" i="12" s="1"/>
  <c r="CF59" i="12" s="1"/>
  <c r="CG59" i="12" s="1"/>
  <c r="CH59" i="12" s="1"/>
  <c r="CI59" i="12" s="1"/>
  <c r="CJ59" i="12" s="1"/>
  <c r="CK59" i="12" s="1"/>
  <c r="CL59" i="12" s="1"/>
  <c r="CM59" i="12" s="1"/>
  <c r="CN59" i="12" s="1"/>
  <c r="CO59" i="12" s="1"/>
  <c r="CP59" i="12" s="1"/>
  <c r="CQ59" i="12" s="1"/>
  <c r="CR59" i="12" s="1"/>
  <c r="CS59" i="12" s="1"/>
  <c r="CT59" i="12" s="1"/>
  <c r="CU59" i="12" s="1"/>
  <c r="CV59" i="12" s="1"/>
  <c r="CW59" i="12" s="1"/>
  <c r="CX59" i="12" s="1"/>
  <c r="CY59" i="12" s="1"/>
  <c r="CZ59" i="12" s="1"/>
  <c r="BR62" i="12"/>
  <c r="BS62" i="12" s="1"/>
  <c r="BT62" i="12" s="1"/>
  <c r="BU62" i="12" s="1"/>
  <c r="BW62" i="12"/>
  <c r="BX62" i="12" s="1"/>
  <c r="BY62" i="12" s="1"/>
  <c r="BZ62" i="12" s="1"/>
  <c r="CA62" i="12" s="1"/>
  <c r="CB62" i="12" s="1"/>
  <c r="CC62" i="12" s="1"/>
  <c r="CD62" i="12" s="1"/>
  <c r="CE62" i="12" s="1"/>
  <c r="CF62" i="12" s="1"/>
  <c r="CG62" i="12" s="1"/>
  <c r="CH62" i="12" s="1"/>
  <c r="CI62" i="12" s="1"/>
  <c r="CJ62" i="12" s="1"/>
  <c r="CK62" i="12" s="1"/>
  <c r="CL62" i="12" s="1"/>
  <c r="CM62" i="12" s="1"/>
  <c r="CN62" i="12" s="1"/>
  <c r="CO62" i="12" s="1"/>
  <c r="CP62" i="12" s="1"/>
  <c r="CQ62" i="12" s="1"/>
  <c r="CR62" i="12" s="1"/>
  <c r="CS62" i="12" s="1"/>
  <c r="CT62" i="12" s="1"/>
  <c r="CU62" i="12" s="1"/>
  <c r="CV62" i="12" s="1"/>
  <c r="CW62" i="12" s="1"/>
  <c r="CX62" i="12" s="1"/>
  <c r="CY62" i="12" s="1"/>
  <c r="CZ62" i="12" s="1"/>
  <c r="BR9" i="12"/>
  <c r="BS9" i="12" s="1"/>
  <c r="BT9" i="12" s="1"/>
  <c r="BU9" i="12" s="1"/>
  <c r="C70" i="15"/>
  <c r="B71" i="15"/>
  <c r="A19" i="13"/>
  <c r="B19" i="13" s="1"/>
  <c r="C25" i="17"/>
  <c r="B26" i="17"/>
  <c r="W69" i="15"/>
  <c r="L69" i="15"/>
  <c r="H69" i="15"/>
  <c r="D69" i="15"/>
  <c r="M69" i="15" s="1"/>
  <c r="A101" i="14"/>
  <c r="C101" i="14" s="1"/>
  <c r="AF69" i="15"/>
  <c r="A53" i="14"/>
  <c r="K69" i="15"/>
  <c r="A22" i="17"/>
  <c r="A143" i="15"/>
  <c r="A190" i="15" s="1"/>
  <c r="A70" i="15"/>
  <c r="E69" i="15"/>
  <c r="P142" i="15"/>
  <c r="Q142" i="15"/>
  <c r="H142" i="15"/>
  <c r="N142" i="15"/>
  <c r="L142" i="15"/>
  <c r="T142" i="15"/>
  <c r="V142" i="15"/>
  <c r="U142" i="15"/>
  <c r="R142" i="15"/>
  <c r="M142" i="15"/>
  <c r="I142" i="15"/>
  <c r="E142" i="15"/>
  <c r="D142" i="15"/>
  <c r="C142" i="15"/>
  <c r="C26" i="17" l="1"/>
  <c r="B27" i="17"/>
  <c r="B72" i="15"/>
  <c r="A20" i="13"/>
  <c r="B20" i="13" s="1"/>
  <c r="C71" i="15"/>
  <c r="H70" i="15"/>
  <c r="A102" i="14"/>
  <c r="C102" i="14" s="1"/>
  <c r="L70" i="15"/>
  <c r="A54" i="14"/>
  <c r="AF70" i="15"/>
  <c r="D70" i="15"/>
  <c r="M70" i="15" s="1"/>
  <c r="W70" i="15"/>
  <c r="K70" i="15"/>
  <c r="Q143" i="15"/>
  <c r="R143" i="15"/>
  <c r="N143" i="15"/>
  <c r="M143" i="15"/>
  <c r="V143" i="15"/>
  <c r="U143" i="15"/>
  <c r="H143" i="15"/>
  <c r="T143" i="15"/>
  <c r="P143" i="15"/>
  <c r="L143" i="15"/>
  <c r="I143" i="15"/>
  <c r="A23" i="17"/>
  <c r="A144" i="15"/>
  <c r="A191" i="15" s="1"/>
  <c r="E70" i="15"/>
  <c r="A71" i="15"/>
  <c r="D143" i="15"/>
  <c r="E143" i="15"/>
  <c r="C143" i="15"/>
  <c r="E105" i="6" l="1"/>
  <c r="A21" i="13"/>
  <c r="B73" i="15"/>
  <c r="B74" i="15" s="1"/>
  <c r="B28" i="17"/>
  <c r="C27" i="17"/>
  <c r="C72" i="15"/>
  <c r="D71" i="15"/>
  <c r="M71" i="15" s="1"/>
  <c r="AF71" i="15"/>
  <c r="W71" i="15"/>
  <c r="K71" i="15"/>
  <c r="L71" i="15"/>
  <c r="A103" i="14"/>
  <c r="C103" i="14" s="1"/>
  <c r="H71" i="15"/>
  <c r="A55" i="14"/>
  <c r="P144" i="15"/>
  <c r="N144" i="15"/>
  <c r="L144" i="15"/>
  <c r="T144" i="15"/>
  <c r="R144" i="15"/>
  <c r="I144" i="15"/>
  <c r="U144" i="15"/>
  <c r="H144" i="15"/>
  <c r="M144" i="15"/>
  <c r="V144" i="15"/>
  <c r="Q144" i="15"/>
  <c r="B21" i="13"/>
  <c r="A24" i="17"/>
  <c r="A145" i="15"/>
  <c r="A192" i="15" s="1"/>
  <c r="A72" i="15"/>
  <c r="E71" i="15"/>
  <c r="D144" i="15"/>
  <c r="C144" i="15"/>
  <c r="E144" i="15"/>
  <c r="B75" i="15" l="1"/>
  <c r="A23" i="13"/>
  <c r="B29" i="17"/>
  <c r="C28" i="17"/>
  <c r="A22" i="13"/>
  <c r="C73" i="15"/>
  <c r="C74" i="15" s="1"/>
  <c r="D72" i="15"/>
  <c r="M72" i="15" s="1"/>
  <c r="L72" i="15"/>
  <c r="W72" i="15"/>
  <c r="H72" i="15"/>
  <c r="AF72" i="15"/>
  <c r="A56" i="14"/>
  <c r="K72" i="15"/>
  <c r="A104" i="14"/>
  <c r="C104" i="14" s="1"/>
  <c r="B22" i="13"/>
  <c r="P145" i="15"/>
  <c r="I145" i="15"/>
  <c r="Q145" i="15"/>
  <c r="L145" i="15"/>
  <c r="H145" i="15"/>
  <c r="M145" i="15"/>
  <c r="R145" i="15"/>
  <c r="N145" i="15"/>
  <c r="T145" i="15"/>
  <c r="U145" i="15"/>
  <c r="V145" i="15"/>
  <c r="A146" i="15"/>
  <c r="A193" i="15" s="1"/>
  <c r="A25" i="17"/>
  <c r="E72" i="15"/>
  <c r="A73" i="15"/>
  <c r="D145" i="15"/>
  <c r="C145" i="15"/>
  <c r="E145" i="15"/>
  <c r="A24" i="13" l="1"/>
  <c r="B76" i="15"/>
  <c r="B77" i="15" s="1"/>
  <c r="AF74" i="15"/>
  <c r="L74" i="15"/>
  <c r="A58" i="14"/>
  <c r="A106" i="14"/>
  <c r="C106" i="14" s="1"/>
  <c r="D74" i="15"/>
  <c r="M74" i="15" s="1"/>
  <c r="H74" i="15"/>
  <c r="K74" i="15"/>
  <c r="W74" i="15"/>
  <c r="C75" i="15"/>
  <c r="C29" i="17"/>
  <c r="B30" i="17"/>
  <c r="AF73" i="15"/>
  <c r="A57" i="14"/>
  <c r="W73" i="15"/>
  <c r="D73" i="15"/>
  <c r="M73" i="15" s="1"/>
  <c r="K73" i="15"/>
  <c r="L73" i="15"/>
  <c r="H73" i="15"/>
  <c r="A105" i="14"/>
  <c r="C105" i="14" s="1"/>
  <c r="P146" i="15"/>
  <c r="R146" i="15"/>
  <c r="H146" i="15"/>
  <c r="V146" i="15"/>
  <c r="U146" i="15"/>
  <c r="L146" i="15"/>
  <c r="I146" i="15"/>
  <c r="M146" i="15"/>
  <c r="T146" i="15"/>
  <c r="N146" i="15"/>
  <c r="Q146" i="15"/>
  <c r="A26" i="17"/>
  <c r="A147" i="15"/>
  <c r="A194" i="15" s="1"/>
  <c r="A74" i="15"/>
  <c r="E73" i="15"/>
  <c r="B23" i="13"/>
  <c r="E146" i="15"/>
  <c r="D146" i="15"/>
  <c r="C146" i="15"/>
  <c r="A25" i="13" l="1"/>
  <c r="C76" i="15"/>
  <c r="A26" i="13"/>
  <c r="B78" i="15"/>
  <c r="K75" i="15"/>
  <c r="L75" i="15"/>
  <c r="A107" i="14"/>
  <c r="C107" i="14" s="1"/>
  <c r="H75" i="15"/>
  <c r="AF75" i="15"/>
  <c r="W75" i="15"/>
  <c r="A59" i="14"/>
  <c r="D75" i="15"/>
  <c r="M75" i="15" s="1"/>
  <c r="C30" i="17"/>
  <c r="B31" i="17"/>
  <c r="B24" i="13"/>
  <c r="A148" i="15"/>
  <c r="A195" i="15" s="1"/>
  <c r="A27" i="17"/>
  <c r="A75" i="15"/>
  <c r="E74" i="15"/>
  <c r="Q147" i="15"/>
  <c r="R147" i="15"/>
  <c r="V147" i="15"/>
  <c r="L147" i="15"/>
  <c r="T147" i="15"/>
  <c r="P147" i="15"/>
  <c r="M147" i="15"/>
  <c r="U147" i="15"/>
  <c r="I147" i="15"/>
  <c r="H147" i="15"/>
  <c r="N147" i="15"/>
  <c r="C147" i="15"/>
  <c r="E147" i="15"/>
  <c r="D147" i="15"/>
  <c r="A60" i="14" l="1"/>
  <c r="L76" i="15"/>
  <c r="H76" i="15"/>
  <c r="W76" i="15"/>
  <c r="C77" i="15"/>
  <c r="C78" i="15" s="1"/>
  <c r="A110" i="14" s="1"/>
  <c r="C110" i="14" s="1"/>
  <c r="AF76" i="15"/>
  <c r="A108" i="14"/>
  <c r="C108" i="14" s="1"/>
  <c r="D76" i="15"/>
  <c r="M76" i="15" s="1"/>
  <c r="K76" i="15"/>
  <c r="A27" i="13"/>
  <c r="B79" i="15"/>
  <c r="C31" i="17"/>
  <c r="B32" i="17"/>
  <c r="P148" i="15"/>
  <c r="U148" i="15"/>
  <c r="L148" i="15"/>
  <c r="Q148" i="15"/>
  <c r="R148" i="15"/>
  <c r="M148" i="15"/>
  <c r="H148" i="15"/>
  <c r="N148" i="15"/>
  <c r="V148" i="15"/>
  <c r="T148" i="15"/>
  <c r="I148" i="15"/>
  <c r="A149" i="15"/>
  <c r="A196" i="15" s="1"/>
  <c r="A28" i="17"/>
  <c r="A76" i="15"/>
  <c r="E75" i="15"/>
  <c r="B25" i="13"/>
  <c r="E148" i="15"/>
  <c r="D148" i="15"/>
  <c r="C148" i="15"/>
  <c r="C79" i="15" l="1"/>
  <c r="A63" i="14" s="1"/>
  <c r="A62" i="14"/>
  <c r="D78" i="15"/>
  <c r="M78" i="15" s="1"/>
  <c r="W78" i="15"/>
  <c r="K78" i="15"/>
  <c r="D77" i="15"/>
  <c r="M77" i="15" s="1"/>
  <c r="H77" i="15"/>
  <c r="A109" i="14"/>
  <c r="C109" i="14" s="1"/>
  <c r="K77" i="15"/>
  <c r="L77" i="15"/>
  <c r="W77" i="15"/>
  <c r="A61" i="14"/>
  <c r="AF77" i="15"/>
  <c r="L78" i="15"/>
  <c r="AF78" i="15"/>
  <c r="H78" i="15"/>
  <c r="B80" i="15"/>
  <c r="A28" i="13"/>
  <c r="B33" i="17"/>
  <c r="C32" i="17"/>
  <c r="P149" i="15"/>
  <c r="Q149" i="15"/>
  <c r="H149" i="15"/>
  <c r="I149" i="15"/>
  <c r="N149" i="15"/>
  <c r="R149" i="15"/>
  <c r="V149" i="15"/>
  <c r="M149" i="15"/>
  <c r="L149" i="15"/>
  <c r="T149" i="15"/>
  <c r="U149" i="15"/>
  <c r="B26" i="13"/>
  <c r="A29" i="17"/>
  <c r="A150" i="15"/>
  <c r="A197" i="15" s="1"/>
  <c r="A77" i="15"/>
  <c r="E76" i="15"/>
  <c r="D149" i="15"/>
  <c r="C149" i="15"/>
  <c r="E149" i="15"/>
  <c r="K79" i="15" l="1"/>
  <c r="H79" i="15"/>
  <c r="W79" i="15"/>
  <c r="C80" i="15"/>
  <c r="A64" i="14" s="1"/>
  <c r="A111" i="14"/>
  <c r="C111" i="14" s="1"/>
  <c r="L79" i="15"/>
  <c r="D79" i="15"/>
  <c r="M79" i="15" s="1"/>
  <c r="AF79" i="15"/>
  <c r="B81" i="15"/>
  <c r="C33" i="17"/>
  <c r="B34" i="17"/>
  <c r="A29" i="13"/>
  <c r="B27" i="13"/>
  <c r="A30" i="17"/>
  <c r="A151" i="15"/>
  <c r="A198" i="15" s="1"/>
  <c r="A78" i="15"/>
  <c r="E77" i="15"/>
  <c r="P150" i="15"/>
  <c r="U150" i="15"/>
  <c r="I150" i="15"/>
  <c r="R150" i="15"/>
  <c r="Q150" i="15"/>
  <c r="V150" i="15"/>
  <c r="L150" i="15"/>
  <c r="N150" i="15"/>
  <c r="T150" i="15"/>
  <c r="M150" i="15"/>
  <c r="H150" i="15"/>
  <c r="E150" i="15"/>
  <c r="D150" i="15"/>
  <c r="C150" i="15"/>
  <c r="AF80" i="15" l="1"/>
  <c r="W80" i="15"/>
  <c r="H80" i="15"/>
  <c r="A112" i="14"/>
  <c r="C112" i="14" s="1"/>
  <c r="D80" i="15"/>
  <c r="M80" i="15" s="1"/>
  <c r="K80" i="15"/>
  <c r="L80" i="15"/>
  <c r="C81" i="15"/>
  <c r="W81" i="15" s="1"/>
  <c r="B82" i="15"/>
  <c r="B83" i="15" s="1"/>
  <c r="A30" i="13"/>
  <c r="B35" i="17"/>
  <c r="C34" i="17"/>
  <c r="A31" i="17"/>
  <c r="A152" i="15"/>
  <c r="A199" i="15" s="1"/>
  <c r="A79" i="15"/>
  <c r="E78" i="15"/>
  <c r="Q151" i="15"/>
  <c r="P151" i="15"/>
  <c r="T151" i="15"/>
  <c r="U151" i="15"/>
  <c r="I151" i="15"/>
  <c r="V151" i="15"/>
  <c r="L151" i="15"/>
  <c r="R151" i="15"/>
  <c r="N151" i="15"/>
  <c r="H151" i="15"/>
  <c r="M151" i="15"/>
  <c r="B28" i="13"/>
  <c r="C151" i="15"/>
  <c r="E151" i="15"/>
  <c r="D151" i="15"/>
  <c r="A113" i="14" l="1"/>
  <c r="C113" i="14" s="1"/>
  <c r="A31" i="13"/>
  <c r="H81" i="15"/>
  <c r="D81" i="15"/>
  <c r="M81" i="15" s="1"/>
  <c r="AF81" i="15"/>
  <c r="L81" i="15"/>
  <c r="C82" i="15"/>
  <c r="K82" i="15" s="1"/>
  <c r="K81" i="15"/>
  <c r="A65" i="14"/>
  <c r="A32" i="13"/>
  <c r="B84" i="15"/>
  <c r="B36" i="17"/>
  <c r="C35" i="17"/>
  <c r="A32" i="17"/>
  <c r="A153" i="15"/>
  <c r="A200" i="15" s="1"/>
  <c r="A80" i="15"/>
  <c r="E79" i="15"/>
  <c r="P152" i="15"/>
  <c r="Q152" i="15"/>
  <c r="R152" i="15"/>
  <c r="H152" i="15"/>
  <c r="N152" i="15"/>
  <c r="I152" i="15"/>
  <c r="U152" i="15"/>
  <c r="T152" i="15"/>
  <c r="M152" i="15"/>
  <c r="L152" i="15"/>
  <c r="V152" i="15"/>
  <c r="B29" i="13"/>
  <c r="C152" i="15"/>
  <c r="E152" i="15"/>
  <c r="D152" i="15"/>
  <c r="D82" i="15" l="1"/>
  <c r="M82" i="15" s="1"/>
  <c r="A114" i="14"/>
  <c r="C114" i="14" s="1"/>
  <c r="C83" i="15"/>
  <c r="D83" i="15" s="1"/>
  <c r="M83" i="15" s="1"/>
  <c r="W82" i="15"/>
  <c r="A66" i="14"/>
  <c r="H82" i="15"/>
  <c r="AF82" i="15"/>
  <c r="L82" i="15"/>
  <c r="B37" i="17"/>
  <c r="C36" i="17"/>
  <c r="A33" i="13"/>
  <c r="B85" i="15"/>
  <c r="A33" i="17"/>
  <c r="A154" i="15"/>
  <c r="A201" i="15" s="1"/>
  <c r="A81" i="15"/>
  <c r="E80" i="15"/>
  <c r="B30" i="13"/>
  <c r="M153" i="15"/>
  <c r="V153" i="15"/>
  <c r="P153" i="15"/>
  <c r="R153" i="15"/>
  <c r="L153" i="15"/>
  <c r="H153" i="15"/>
  <c r="Q153" i="15"/>
  <c r="N153" i="15"/>
  <c r="T153" i="15"/>
  <c r="I153" i="15"/>
  <c r="U153" i="15"/>
  <c r="C153" i="15"/>
  <c r="D153" i="15"/>
  <c r="E153" i="15"/>
  <c r="A67" i="14" l="1"/>
  <c r="H83" i="15"/>
  <c r="A115" i="14"/>
  <c r="C115" i="14" s="1"/>
  <c r="W83" i="15"/>
  <c r="L83" i="15"/>
  <c r="C84" i="15"/>
  <c r="L84" i="15" s="1"/>
  <c r="AF83" i="15"/>
  <c r="K83" i="15"/>
  <c r="A34" i="13"/>
  <c r="B38" i="17"/>
  <c r="C37" i="17"/>
  <c r="B86" i="15"/>
  <c r="P154" i="15"/>
  <c r="I154" i="15"/>
  <c r="R154" i="15"/>
  <c r="M154" i="15"/>
  <c r="H154" i="15"/>
  <c r="L154" i="15"/>
  <c r="N154" i="15"/>
  <c r="Q154" i="15"/>
  <c r="U154" i="15"/>
  <c r="V154" i="15"/>
  <c r="T154" i="15"/>
  <c r="A34" i="17"/>
  <c r="A155" i="15"/>
  <c r="A202" i="15" s="1"/>
  <c r="A82" i="15"/>
  <c r="E81" i="15"/>
  <c r="B31" i="13"/>
  <c r="D154" i="15"/>
  <c r="C154" i="15"/>
  <c r="E154" i="15"/>
  <c r="A68" i="14" l="1"/>
  <c r="AF84" i="15"/>
  <c r="W84" i="15"/>
  <c r="A116" i="14"/>
  <c r="C116" i="14" s="1"/>
  <c r="H84" i="15"/>
  <c r="K84" i="15"/>
  <c r="C85" i="15"/>
  <c r="K85" i="15" s="1"/>
  <c r="D84" i="15"/>
  <c r="M84" i="15" s="1"/>
  <c r="C38" i="17"/>
  <c r="B39" i="17"/>
  <c r="A35" i="13"/>
  <c r="B87" i="15"/>
  <c r="B88" i="15" s="1"/>
  <c r="A156" i="15"/>
  <c r="A203" i="15" s="1"/>
  <c r="A35" i="17"/>
  <c r="A83" i="15"/>
  <c r="E82" i="15"/>
  <c r="B32" i="13"/>
  <c r="Q155" i="15"/>
  <c r="P155" i="15"/>
  <c r="T155" i="15"/>
  <c r="M155" i="15"/>
  <c r="I155" i="15"/>
  <c r="V155" i="15"/>
  <c r="N155" i="15"/>
  <c r="L155" i="15"/>
  <c r="H155" i="15"/>
  <c r="U155" i="15"/>
  <c r="R155" i="15"/>
  <c r="E155" i="15"/>
  <c r="D155" i="15"/>
  <c r="C155" i="15"/>
  <c r="W85" i="15" l="1"/>
  <c r="A69" i="14"/>
  <c r="AF85" i="15"/>
  <c r="C86" i="15"/>
  <c r="A118" i="14" s="1"/>
  <c r="C118" i="14" s="1"/>
  <c r="D85" i="15"/>
  <c r="M85" i="15" s="1"/>
  <c r="H85" i="15"/>
  <c r="L85" i="15"/>
  <c r="A117" i="14"/>
  <c r="C117" i="14" s="1"/>
  <c r="A37" i="13"/>
  <c r="B40" i="17"/>
  <c r="C39" i="17"/>
  <c r="A36" i="13"/>
  <c r="B89" i="15"/>
  <c r="B90" i="15" s="1"/>
  <c r="B33" i="13"/>
  <c r="P156" i="15"/>
  <c r="V156" i="15"/>
  <c r="R156" i="15"/>
  <c r="Q156" i="15"/>
  <c r="H156" i="15"/>
  <c r="L156" i="15"/>
  <c r="N156" i="15"/>
  <c r="M156" i="15"/>
  <c r="U156" i="15"/>
  <c r="T156" i="15"/>
  <c r="I156" i="15"/>
  <c r="A36" i="17"/>
  <c r="A157" i="15"/>
  <c r="A204" i="15" s="1"/>
  <c r="A84" i="15"/>
  <c r="E83" i="15"/>
  <c r="C156" i="15"/>
  <c r="D156" i="15"/>
  <c r="E156" i="15"/>
  <c r="H86" i="15" l="1"/>
  <c r="A70" i="14"/>
  <c r="K86" i="15"/>
  <c r="C87" i="15"/>
  <c r="C88" i="15" s="1"/>
  <c r="W86" i="15"/>
  <c r="AF86" i="15"/>
  <c r="L86" i="15"/>
  <c r="D86" i="15"/>
  <c r="M86" i="15" s="1"/>
  <c r="A39" i="13"/>
  <c r="B91" i="15"/>
  <c r="C40" i="17"/>
  <c r="B41" i="17"/>
  <c r="A38" i="13"/>
  <c r="A37" i="17"/>
  <c r="A158" i="15"/>
  <c r="A205" i="15" s="1"/>
  <c r="A85" i="15"/>
  <c r="E84" i="15"/>
  <c r="B34" i="13"/>
  <c r="Q157" i="15"/>
  <c r="P157" i="15"/>
  <c r="U157" i="15"/>
  <c r="L157" i="15"/>
  <c r="V157" i="15"/>
  <c r="N157" i="15"/>
  <c r="R157" i="15"/>
  <c r="H157" i="15"/>
  <c r="T157" i="15"/>
  <c r="I157" i="15"/>
  <c r="M157" i="15"/>
  <c r="E157" i="15"/>
  <c r="D157" i="15"/>
  <c r="C157" i="15"/>
  <c r="W87" i="15" l="1"/>
  <c r="D87" i="15"/>
  <c r="K87" i="15"/>
  <c r="A71" i="14"/>
  <c r="H87" i="15"/>
  <c r="A119" i="14"/>
  <c r="C119" i="14" s="1"/>
  <c r="AF87" i="15"/>
  <c r="B42" i="17"/>
  <c r="C41" i="17"/>
  <c r="A40" i="13"/>
  <c r="B92" i="15"/>
  <c r="B93" i="15" s="1"/>
  <c r="A159" i="15"/>
  <c r="A206" i="15" s="1"/>
  <c r="A38" i="17"/>
  <c r="A86" i="15"/>
  <c r="E85" i="15"/>
  <c r="B35" i="13"/>
  <c r="P158" i="15"/>
  <c r="Q158" i="15"/>
  <c r="I158" i="15"/>
  <c r="V158" i="15"/>
  <c r="L158" i="15"/>
  <c r="H158" i="15"/>
  <c r="U158" i="15"/>
  <c r="M158" i="15"/>
  <c r="T158" i="15"/>
  <c r="N158" i="15"/>
  <c r="R158" i="15"/>
  <c r="H88" i="15"/>
  <c r="L88" i="15"/>
  <c r="W88" i="15"/>
  <c r="A120" i="14"/>
  <c r="D88" i="15"/>
  <c r="M88" i="15" s="1"/>
  <c r="K88" i="15"/>
  <c r="AF88" i="15"/>
  <c r="A72" i="14"/>
  <c r="C89" i="15"/>
  <c r="E158" i="15"/>
  <c r="D158" i="15"/>
  <c r="C158" i="15"/>
  <c r="A42" i="13" l="1"/>
  <c r="B94" i="15"/>
  <c r="A43" i="13" s="1"/>
  <c r="A41" i="13"/>
  <c r="C42" i="17"/>
  <c r="B43" i="17"/>
  <c r="AF89" i="15"/>
  <c r="A73" i="14"/>
  <c r="A121" i="14"/>
  <c r="K89" i="15"/>
  <c r="L89" i="15"/>
  <c r="W89" i="15"/>
  <c r="D89" i="15"/>
  <c r="M89" i="15" s="1"/>
  <c r="H89" i="15"/>
  <c r="C90" i="15"/>
  <c r="A160" i="15"/>
  <c r="A207" i="15" s="1"/>
  <c r="A39" i="17"/>
  <c r="A87" i="15"/>
  <c r="E86" i="15"/>
  <c r="B36" i="13"/>
  <c r="Q159" i="15"/>
  <c r="P159" i="15"/>
  <c r="U159" i="15"/>
  <c r="I159" i="15"/>
  <c r="N159" i="15"/>
  <c r="H159" i="15"/>
  <c r="T159" i="15"/>
  <c r="R159" i="15"/>
  <c r="V159" i="15"/>
  <c r="L159" i="15"/>
  <c r="M159" i="15"/>
  <c r="E159" i="15"/>
  <c r="D159" i="15"/>
  <c r="C159" i="15"/>
  <c r="B95" i="15" l="1"/>
  <c r="C43" i="17"/>
  <c r="B44" i="17"/>
  <c r="B37" i="13"/>
  <c r="A122" i="14"/>
  <c r="K90" i="15"/>
  <c r="AF90" i="15"/>
  <c r="W90" i="15"/>
  <c r="L90" i="15"/>
  <c r="D90" i="15"/>
  <c r="M90" i="15" s="1"/>
  <c r="H90" i="15"/>
  <c r="A74" i="14"/>
  <c r="C91" i="15"/>
  <c r="A40" i="17"/>
  <c r="A161" i="15"/>
  <c r="A208" i="15" s="1"/>
  <c r="A88" i="15"/>
  <c r="E87" i="15"/>
  <c r="P160" i="15"/>
  <c r="L160" i="15"/>
  <c r="M160" i="15"/>
  <c r="N160" i="15"/>
  <c r="U160" i="15"/>
  <c r="V160" i="15"/>
  <c r="Q160" i="15"/>
  <c r="T160" i="15"/>
  <c r="I160" i="15"/>
  <c r="R160" i="15"/>
  <c r="H160" i="15"/>
  <c r="D160" i="15"/>
  <c r="E160" i="15"/>
  <c r="C160" i="15"/>
  <c r="B96" i="15" l="1"/>
  <c r="A45" i="13" s="1"/>
  <c r="A44" i="13"/>
  <c r="C44" i="17"/>
  <c r="B45" i="17"/>
  <c r="K91" i="15"/>
  <c r="A123" i="14"/>
  <c r="AF91" i="15"/>
  <c r="L91" i="15"/>
  <c r="W91" i="15"/>
  <c r="A75" i="14"/>
  <c r="D91" i="15"/>
  <c r="M91" i="15" s="1"/>
  <c r="H91" i="15"/>
  <c r="C92" i="15"/>
  <c r="A162" i="15"/>
  <c r="A209" i="15" s="1"/>
  <c r="A41" i="17"/>
  <c r="A89" i="15"/>
  <c r="E88" i="15"/>
  <c r="B38" i="13"/>
  <c r="Q161" i="15"/>
  <c r="L161" i="15"/>
  <c r="H161" i="15"/>
  <c r="R161" i="15"/>
  <c r="N161" i="15"/>
  <c r="I161" i="15"/>
  <c r="U161" i="15"/>
  <c r="T161" i="15"/>
  <c r="M161" i="15"/>
  <c r="P161" i="15"/>
  <c r="V161" i="15"/>
  <c r="D161" i="15"/>
  <c r="E161" i="15"/>
  <c r="C161" i="15"/>
  <c r="B97" i="15" l="1"/>
  <c r="B98" i="15" s="1"/>
  <c r="C45" i="17"/>
  <c r="B46" i="17"/>
  <c r="B39" i="13"/>
  <c r="A163" i="15"/>
  <c r="A210" i="15" s="1"/>
  <c r="A42" i="17"/>
  <c r="A90" i="15"/>
  <c r="E89" i="15"/>
  <c r="AF92" i="15"/>
  <c r="A76" i="14"/>
  <c r="H92" i="15"/>
  <c r="A124" i="14"/>
  <c r="W92" i="15"/>
  <c r="D92" i="15"/>
  <c r="M92" i="15" s="1"/>
  <c r="L92" i="15"/>
  <c r="K92" i="15"/>
  <c r="C93" i="15"/>
  <c r="P162" i="15"/>
  <c r="Q162" i="15"/>
  <c r="T162" i="15"/>
  <c r="M162" i="15"/>
  <c r="H162" i="15"/>
  <c r="R162" i="15"/>
  <c r="N162" i="15"/>
  <c r="I162" i="15"/>
  <c r="U162" i="15"/>
  <c r="V162" i="15"/>
  <c r="L162" i="15"/>
  <c r="E162" i="15"/>
  <c r="D162" i="15"/>
  <c r="C162" i="15"/>
  <c r="A46" i="13" l="1"/>
  <c r="C46" i="17"/>
  <c r="B47" i="17"/>
  <c r="B40" i="13"/>
  <c r="A47" i="13"/>
  <c r="B99" i="15"/>
  <c r="A164" i="15"/>
  <c r="A211" i="15" s="1"/>
  <c r="A43" i="17"/>
  <c r="A91" i="15"/>
  <c r="E90" i="15"/>
  <c r="Q163" i="15"/>
  <c r="T163" i="15"/>
  <c r="R163" i="15"/>
  <c r="V163" i="15"/>
  <c r="N163" i="15"/>
  <c r="P163" i="15"/>
  <c r="U163" i="15"/>
  <c r="H163" i="15"/>
  <c r="I163" i="15"/>
  <c r="M163" i="15"/>
  <c r="L163" i="15"/>
  <c r="D93" i="15"/>
  <c r="M93" i="15" s="1"/>
  <c r="H93" i="15"/>
  <c r="A125" i="14"/>
  <c r="A77" i="14"/>
  <c r="W93" i="15"/>
  <c r="K93" i="15"/>
  <c r="L93" i="15"/>
  <c r="AF93" i="15"/>
  <c r="C94" i="15"/>
  <c r="E163" i="15"/>
  <c r="D163" i="15"/>
  <c r="C163" i="15"/>
  <c r="C47" i="17" l="1"/>
  <c r="B48" i="17"/>
  <c r="A126" i="14"/>
  <c r="A78" i="14"/>
  <c r="D94" i="15"/>
  <c r="M94" i="15" s="1"/>
  <c r="K94" i="15"/>
  <c r="AF94" i="15"/>
  <c r="W94" i="15"/>
  <c r="L94" i="15"/>
  <c r="H94" i="15"/>
  <c r="C95" i="15"/>
  <c r="B41" i="13"/>
  <c r="P164" i="15"/>
  <c r="Q164" i="15"/>
  <c r="R164" i="15"/>
  <c r="N164" i="15"/>
  <c r="L164" i="15"/>
  <c r="T164" i="15"/>
  <c r="H164" i="15"/>
  <c r="U164" i="15"/>
  <c r="V164" i="15"/>
  <c r="M164" i="15"/>
  <c r="I164" i="15"/>
  <c r="A48" i="13"/>
  <c r="B100" i="15"/>
  <c r="A44" i="17"/>
  <c r="A165" i="15"/>
  <c r="A212" i="15" s="1"/>
  <c r="A92" i="15"/>
  <c r="E91" i="15"/>
  <c r="E164" i="15"/>
  <c r="C164" i="15"/>
  <c r="D164" i="15"/>
  <c r="C48" i="17" l="1"/>
  <c r="B49" i="17"/>
  <c r="B42" i="13"/>
  <c r="A45" i="17"/>
  <c r="A166" i="15"/>
  <c r="A213" i="15" s="1"/>
  <c r="A93" i="15"/>
  <c r="E92" i="15"/>
  <c r="P165" i="15"/>
  <c r="Q165" i="15"/>
  <c r="I165" i="15"/>
  <c r="M165" i="15"/>
  <c r="H165" i="15"/>
  <c r="L165" i="15"/>
  <c r="N165" i="15"/>
  <c r="R165" i="15"/>
  <c r="U165" i="15"/>
  <c r="V165" i="15"/>
  <c r="T165" i="15"/>
  <c r="A49" i="13"/>
  <c r="B101" i="15"/>
  <c r="H95" i="15"/>
  <c r="AF95" i="15"/>
  <c r="W95" i="15"/>
  <c r="A127" i="14"/>
  <c r="K95" i="15"/>
  <c r="L95" i="15"/>
  <c r="D95" i="15"/>
  <c r="M95" i="15" s="1"/>
  <c r="A79" i="14"/>
  <c r="C96" i="15"/>
  <c r="E165" i="15"/>
  <c r="D165" i="15"/>
  <c r="C165" i="15"/>
  <c r="C121" i="14" l="1"/>
  <c r="C49" i="17"/>
  <c r="B50" i="17"/>
  <c r="B43" i="13"/>
  <c r="A46" i="17"/>
  <c r="A167" i="15"/>
  <c r="A214" i="15" s="1"/>
  <c r="A94" i="15"/>
  <c r="E93" i="15"/>
  <c r="A50" i="13"/>
  <c r="B102" i="15"/>
  <c r="D96" i="15"/>
  <c r="M96" i="15" s="1"/>
  <c r="AF96" i="15"/>
  <c r="H96" i="15"/>
  <c r="A128" i="14"/>
  <c r="W96" i="15"/>
  <c r="L96" i="15"/>
  <c r="K96" i="15"/>
  <c r="A80" i="14"/>
  <c r="C97" i="15"/>
  <c r="P166" i="15"/>
  <c r="R166" i="15"/>
  <c r="V166" i="15"/>
  <c r="Q166" i="15"/>
  <c r="I166" i="15"/>
  <c r="L166" i="15"/>
  <c r="T166" i="15"/>
  <c r="H166" i="15"/>
  <c r="M166" i="15"/>
  <c r="U166" i="15"/>
  <c r="N166" i="15"/>
  <c r="D166" i="15"/>
  <c r="C166" i="15"/>
  <c r="E166" i="15"/>
  <c r="C122" i="14" l="1"/>
  <c r="B51" i="17"/>
  <c r="C50" i="17"/>
  <c r="A51" i="13"/>
  <c r="B103" i="15"/>
  <c r="A168" i="15"/>
  <c r="A215" i="15" s="1"/>
  <c r="A47" i="17"/>
  <c r="A95" i="15"/>
  <c r="E94" i="15"/>
  <c r="B44" i="13"/>
  <c r="Q167" i="15"/>
  <c r="P167" i="15"/>
  <c r="M167" i="15"/>
  <c r="U167" i="15"/>
  <c r="I167" i="15"/>
  <c r="V167" i="15"/>
  <c r="T167" i="15"/>
  <c r="R167" i="15"/>
  <c r="L167" i="15"/>
  <c r="N167" i="15"/>
  <c r="H167" i="15"/>
  <c r="W97" i="15"/>
  <c r="D97" i="15"/>
  <c r="M97" i="15" s="1"/>
  <c r="A81" i="14"/>
  <c r="K97" i="15"/>
  <c r="AF97" i="15"/>
  <c r="H97" i="15"/>
  <c r="A129" i="14"/>
  <c r="L97" i="15"/>
  <c r="C98" i="15"/>
  <c r="D167" i="15"/>
  <c r="E167" i="15"/>
  <c r="C167" i="15"/>
  <c r="C123" i="14" l="1"/>
  <c r="B52" i="17"/>
  <c r="C51" i="17"/>
  <c r="A52" i="13"/>
  <c r="B104" i="15"/>
  <c r="L98" i="15"/>
  <c r="D98" i="15"/>
  <c r="M98" i="15" s="1"/>
  <c r="A130" i="14"/>
  <c r="AF98" i="15"/>
  <c r="K98" i="15"/>
  <c r="H98" i="15"/>
  <c r="A82" i="14"/>
  <c r="W98" i="15"/>
  <c r="C99" i="15"/>
  <c r="B45" i="13"/>
  <c r="A169" i="15"/>
  <c r="A216" i="15" s="1"/>
  <c r="A48" i="17"/>
  <c r="A96" i="15"/>
  <c r="E95" i="15"/>
  <c r="P168" i="15"/>
  <c r="Q168" i="15"/>
  <c r="I168" i="15"/>
  <c r="V168" i="15"/>
  <c r="N168" i="15"/>
  <c r="M168" i="15"/>
  <c r="T168" i="15"/>
  <c r="L168" i="15"/>
  <c r="H168" i="15"/>
  <c r="U168" i="15"/>
  <c r="R168" i="15"/>
  <c r="E168" i="15"/>
  <c r="D168" i="15"/>
  <c r="C168" i="15"/>
  <c r="C124" i="14" l="1"/>
  <c r="B53" i="17"/>
  <c r="C52" i="17"/>
  <c r="B46" i="13"/>
  <c r="A49" i="17"/>
  <c r="A170" i="15"/>
  <c r="A217" i="15" s="1"/>
  <c r="A97" i="15"/>
  <c r="E96" i="15"/>
  <c r="W99" i="15"/>
  <c r="L99" i="15"/>
  <c r="D99" i="15"/>
  <c r="M99" i="15" s="1"/>
  <c r="AF99" i="15"/>
  <c r="K99" i="15"/>
  <c r="A83" i="14"/>
  <c r="A131" i="14"/>
  <c r="H99" i="15"/>
  <c r="C100" i="15"/>
  <c r="A53" i="13"/>
  <c r="B105" i="15"/>
  <c r="P169" i="15"/>
  <c r="M169" i="15"/>
  <c r="L169" i="15"/>
  <c r="Q169" i="15"/>
  <c r="N169" i="15"/>
  <c r="I169" i="15"/>
  <c r="V169" i="15"/>
  <c r="H169" i="15"/>
  <c r="R169" i="15"/>
  <c r="T169" i="15"/>
  <c r="U169" i="15"/>
  <c r="E169" i="15"/>
  <c r="D169" i="15"/>
  <c r="C169" i="15"/>
  <c r="C53" i="17" l="1"/>
  <c r="B54" i="17"/>
  <c r="A171" i="15"/>
  <c r="A218" i="15" s="1"/>
  <c r="A50" i="17"/>
  <c r="A98" i="15"/>
  <c r="E97" i="15"/>
  <c r="AF100" i="15"/>
  <c r="L100" i="15"/>
  <c r="A132" i="14"/>
  <c r="H100" i="15"/>
  <c r="W100" i="15"/>
  <c r="K100" i="15"/>
  <c r="D100" i="15"/>
  <c r="M100" i="15" s="1"/>
  <c r="A84" i="14"/>
  <c r="C101" i="15"/>
  <c r="A54" i="13"/>
  <c r="B106" i="15"/>
  <c r="P170" i="15"/>
  <c r="Q170" i="15"/>
  <c r="L170" i="15"/>
  <c r="N170" i="15"/>
  <c r="R170" i="15"/>
  <c r="I170" i="15"/>
  <c r="T170" i="15"/>
  <c r="V170" i="15"/>
  <c r="U170" i="15"/>
  <c r="M170" i="15"/>
  <c r="H170" i="15"/>
  <c r="B47" i="13"/>
  <c r="E170" i="15"/>
  <c r="D170" i="15"/>
  <c r="C170" i="15"/>
  <c r="C125" i="14" l="1"/>
  <c r="C54" i="17"/>
  <c r="B55" i="17"/>
  <c r="A51" i="17"/>
  <c r="A172" i="15"/>
  <c r="A219" i="15" s="1"/>
  <c r="A99" i="15"/>
  <c r="E98" i="15"/>
  <c r="L101" i="15"/>
  <c r="H101" i="15"/>
  <c r="W101" i="15"/>
  <c r="K101" i="15"/>
  <c r="D101" i="15"/>
  <c r="M101" i="15" s="1"/>
  <c r="AF101" i="15"/>
  <c r="A133" i="14"/>
  <c r="A85" i="14"/>
  <c r="C102" i="15"/>
  <c r="B48" i="13"/>
  <c r="Q171" i="15"/>
  <c r="P171" i="15"/>
  <c r="L171" i="15"/>
  <c r="H171" i="15"/>
  <c r="V171" i="15"/>
  <c r="T171" i="15"/>
  <c r="M171" i="15"/>
  <c r="U171" i="15"/>
  <c r="I171" i="15"/>
  <c r="N171" i="15"/>
  <c r="R171" i="15"/>
  <c r="A55" i="13"/>
  <c r="B107" i="15"/>
  <c r="E171" i="15"/>
  <c r="D171" i="15"/>
  <c r="C171" i="15"/>
  <c r="C126" i="14" l="1"/>
  <c r="C127" i="14"/>
  <c r="B56" i="17"/>
  <c r="C55" i="17"/>
  <c r="A52" i="17"/>
  <c r="A173" i="15"/>
  <c r="A220" i="15" s="1"/>
  <c r="A100" i="15"/>
  <c r="E99" i="15"/>
  <c r="A56" i="13"/>
  <c r="B108" i="15"/>
  <c r="B49" i="13"/>
  <c r="K102" i="15"/>
  <c r="AF102" i="15"/>
  <c r="W102" i="15"/>
  <c r="A86" i="14"/>
  <c r="H102" i="15"/>
  <c r="D102" i="15"/>
  <c r="A134" i="14"/>
  <c r="C103" i="15"/>
  <c r="P172" i="15"/>
  <c r="L172" i="15"/>
  <c r="V172" i="15"/>
  <c r="U172" i="15"/>
  <c r="M172" i="15"/>
  <c r="N172" i="15"/>
  <c r="Q172" i="15"/>
  <c r="I172" i="15"/>
  <c r="H172" i="15"/>
  <c r="T172" i="15"/>
  <c r="R172" i="15"/>
  <c r="D172" i="15"/>
  <c r="C172" i="15"/>
  <c r="E172" i="15"/>
  <c r="C128" i="14" l="1"/>
  <c r="C56" i="17"/>
  <c r="B57" i="17"/>
  <c r="W103" i="15"/>
  <c r="L103" i="15"/>
  <c r="K103" i="15"/>
  <c r="A135" i="14"/>
  <c r="A87" i="14"/>
  <c r="AF103" i="15"/>
  <c r="H103" i="15"/>
  <c r="D103" i="15"/>
  <c r="M103" i="15" s="1"/>
  <c r="C104" i="15"/>
  <c r="B50" i="13"/>
  <c r="A53" i="17"/>
  <c r="A174" i="15"/>
  <c r="A221" i="15" s="1"/>
  <c r="A101" i="15"/>
  <c r="E100" i="15"/>
  <c r="S108" i="15"/>
  <c r="A57" i="13"/>
  <c r="B109" i="15"/>
  <c r="P173" i="15"/>
  <c r="Q173" i="15"/>
  <c r="V173" i="15"/>
  <c r="U173" i="15"/>
  <c r="M173" i="15"/>
  <c r="I173" i="15"/>
  <c r="L173" i="15"/>
  <c r="N173" i="15"/>
  <c r="H173" i="15"/>
  <c r="R173" i="15"/>
  <c r="T173" i="15"/>
  <c r="E173" i="15"/>
  <c r="D173" i="15"/>
  <c r="C173" i="15"/>
  <c r="C57" i="17" l="1"/>
  <c r="S109" i="15"/>
  <c r="B110" i="15"/>
  <c r="A175" i="15"/>
  <c r="A222" i="15" s="1"/>
  <c r="A54" i="17"/>
  <c r="A102" i="15"/>
  <c r="E101" i="15"/>
  <c r="P174" i="15"/>
  <c r="Q174" i="15"/>
  <c r="N174" i="15"/>
  <c r="T174" i="15"/>
  <c r="U174" i="15"/>
  <c r="I174" i="15"/>
  <c r="L174" i="15"/>
  <c r="H174" i="15"/>
  <c r="R174" i="15"/>
  <c r="V174" i="15"/>
  <c r="M174" i="15"/>
  <c r="D104" i="15"/>
  <c r="M104" i="15" s="1"/>
  <c r="A88" i="14"/>
  <c r="W104" i="15"/>
  <c r="H104" i="15"/>
  <c r="A136" i="14"/>
  <c r="L104" i="15"/>
  <c r="K104" i="15"/>
  <c r="AF104" i="15"/>
  <c r="C105" i="15"/>
  <c r="B51" i="13"/>
  <c r="E174" i="15"/>
  <c r="D174" i="15"/>
  <c r="C174" i="15"/>
  <c r="C129" i="14" l="1"/>
  <c r="D105" i="15"/>
  <c r="A137" i="14"/>
  <c r="A89" i="14"/>
  <c r="K105" i="15"/>
  <c r="W105" i="15"/>
  <c r="H105" i="15"/>
  <c r="AF105" i="15"/>
  <c r="C106" i="15"/>
  <c r="S110" i="15"/>
  <c r="B111" i="15"/>
  <c r="B52" i="13"/>
  <c r="A176" i="15"/>
  <c r="A223" i="15" s="1"/>
  <c r="A55" i="17"/>
  <c r="A103" i="15"/>
  <c r="E102" i="15"/>
  <c r="Q175" i="15"/>
  <c r="N175" i="15"/>
  <c r="H175" i="15"/>
  <c r="L175" i="15"/>
  <c r="P175" i="15"/>
  <c r="R175" i="15"/>
  <c r="I175" i="15"/>
  <c r="U175" i="15"/>
  <c r="V175" i="15"/>
  <c r="T175" i="15"/>
  <c r="M175" i="15"/>
  <c r="C175" i="15"/>
  <c r="E175" i="15"/>
  <c r="D175" i="15"/>
  <c r="C130" i="14" l="1"/>
  <c r="L102" i="15"/>
  <c r="M102" i="15"/>
  <c r="P176" i="15"/>
  <c r="Q176" i="15"/>
  <c r="T176" i="15"/>
  <c r="H176" i="15"/>
  <c r="L176" i="15"/>
  <c r="I176" i="15"/>
  <c r="V176" i="15"/>
  <c r="N176" i="15"/>
  <c r="R176" i="15"/>
  <c r="U176" i="15"/>
  <c r="M176" i="15"/>
  <c r="A138" i="14"/>
  <c r="D106" i="15"/>
  <c r="M106" i="15" s="1"/>
  <c r="W106" i="15"/>
  <c r="AF106" i="15"/>
  <c r="A90" i="14"/>
  <c r="K106" i="15"/>
  <c r="L106" i="15"/>
  <c r="H106" i="15"/>
  <c r="C107" i="15"/>
  <c r="C108" i="15" s="1"/>
  <c r="Q108" i="15" s="1"/>
  <c r="S111" i="15"/>
  <c r="B112" i="15"/>
  <c r="A56" i="17"/>
  <c r="A177" i="15"/>
  <c r="A224" i="15" s="1"/>
  <c r="A104" i="15"/>
  <c r="E103" i="15"/>
  <c r="B53" i="13"/>
  <c r="D176" i="15"/>
  <c r="C176" i="15"/>
  <c r="E176" i="15"/>
  <c r="A140" i="14" l="1"/>
  <c r="A92" i="14"/>
  <c r="K108" i="15"/>
  <c r="W108" i="15"/>
  <c r="Z108" i="15"/>
  <c r="C109" i="15"/>
  <c r="Q109" i="15" s="1"/>
  <c r="L108" i="15"/>
  <c r="AE108" i="15"/>
  <c r="H108" i="15"/>
  <c r="AF108" i="15"/>
  <c r="C131" i="14"/>
  <c r="P177" i="15"/>
  <c r="Q177" i="15"/>
  <c r="V177" i="15"/>
  <c r="L177" i="15"/>
  <c r="U177" i="15"/>
  <c r="N177" i="15"/>
  <c r="R177" i="15"/>
  <c r="T177" i="15"/>
  <c r="M177" i="15"/>
  <c r="I177" i="15"/>
  <c r="H177" i="15"/>
  <c r="D107" i="15"/>
  <c r="D108" i="15" s="1"/>
  <c r="M108" i="15" s="1"/>
  <c r="H107" i="15"/>
  <c r="AF107" i="15"/>
  <c r="K107" i="15"/>
  <c r="W107" i="15"/>
  <c r="A139" i="14"/>
  <c r="A91" i="14"/>
  <c r="S112" i="15"/>
  <c r="B113" i="15"/>
  <c r="A178" i="15"/>
  <c r="A225" i="15" s="1"/>
  <c r="A57" i="17"/>
  <c r="A105" i="15"/>
  <c r="E104" i="15"/>
  <c r="B54" i="13"/>
  <c r="E177" i="15"/>
  <c r="D177" i="15"/>
  <c r="C177" i="15"/>
  <c r="Z109" i="15" l="1"/>
  <c r="W109" i="15"/>
  <c r="K109" i="15"/>
  <c r="A143" i="14"/>
  <c r="L109" i="15"/>
  <c r="AF109" i="15"/>
  <c r="C110" i="15"/>
  <c r="Q110" i="15" s="1"/>
  <c r="AE109" i="15"/>
  <c r="H109" i="15"/>
  <c r="D109" i="15"/>
  <c r="M109" i="15" s="1"/>
  <c r="C132" i="14"/>
  <c r="S113" i="15"/>
  <c r="P178" i="15"/>
  <c r="Q178" i="15"/>
  <c r="N178" i="15"/>
  <c r="R178" i="15"/>
  <c r="U178" i="15"/>
  <c r="I178" i="15"/>
  <c r="M178" i="15"/>
  <c r="V178" i="15"/>
  <c r="L178" i="15"/>
  <c r="H178" i="15"/>
  <c r="T178" i="15"/>
  <c r="B55" i="13"/>
  <c r="A179" i="15"/>
  <c r="A226" i="15" s="1"/>
  <c r="A106" i="15"/>
  <c r="E105" i="15"/>
  <c r="D178" i="15"/>
  <c r="C178" i="15"/>
  <c r="E178" i="15"/>
  <c r="AF110" i="15" l="1"/>
  <c r="K110" i="15"/>
  <c r="D110" i="15"/>
  <c r="M110" i="15" s="1"/>
  <c r="H110" i="15"/>
  <c r="W110" i="15"/>
  <c r="C111" i="15"/>
  <c r="Q111" i="15" s="1"/>
  <c r="Z110" i="15"/>
  <c r="AE110" i="15"/>
  <c r="L110" i="15"/>
  <c r="C133" i="14"/>
  <c r="B56" i="13"/>
  <c r="A180" i="15"/>
  <c r="A227" i="15" s="1"/>
  <c r="A107" i="15"/>
  <c r="A108" i="15" s="1"/>
  <c r="E106" i="15"/>
  <c r="Q179" i="15"/>
  <c r="P179" i="15"/>
  <c r="I179" i="15"/>
  <c r="N179" i="15"/>
  <c r="R179" i="15"/>
  <c r="H179" i="15"/>
  <c r="M179" i="15"/>
  <c r="L179" i="15"/>
  <c r="U179" i="15"/>
  <c r="T179" i="15"/>
  <c r="V179" i="15"/>
  <c r="C179" i="15"/>
  <c r="D179" i="15"/>
  <c r="E179" i="15"/>
  <c r="W111" i="15" l="1"/>
  <c r="D111" i="15"/>
  <c r="M111" i="15" s="1"/>
  <c r="K111" i="15"/>
  <c r="C112" i="15"/>
  <c r="Q112" i="15" s="1"/>
  <c r="L111" i="15"/>
  <c r="Z111" i="15"/>
  <c r="AE111" i="15"/>
  <c r="H111" i="15"/>
  <c r="AF111" i="15"/>
  <c r="A182" i="15"/>
  <c r="A109" i="15"/>
  <c r="E108" i="15"/>
  <c r="C135" i="14"/>
  <c r="P180" i="15"/>
  <c r="I180" i="15"/>
  <c r="Q180" i="15"/>
  <c r="R180" i="15"/>
  <c r="H180" i="15"/>
  <c r="M180" i="15"/>
  <c r="L180" i="15"/>
  <c r="V180" i="15"/>
  <c r="N180" i="15"/>
  <c r="T180" i="15"/>
  <c r="U180" i="15"/>
  <c r="B57" i="13"/>
  <c r="F57" i="13" s="1"/>
  <c r="A181" i="15"/>
  <c r="A228" i="15" s="1"/>
  <c r="E107" i="15"/>
  <c r="D180" i="15"/>
  <c r="E180" i="15"/>
  <c r="C180" i="15"/>
  <c r="C57" i="13" l="1"/>
  <c r="I108" i="15"/>
  <c r="P108" i="15"/>
  <c r="N108" i="15"/>
  <c r="A110" i="15"/>
  <c r="E109" i="15"/>
  <c r="A229" i="15"/>
  <c r="T182" i="15"/>
  <c r="C182" i="15"/>
  <c r="C229" i="15" s="1"/>
  <c r="K182" i="15"/>
  <c r="D182" i="15"/>
  <c r="D229" i="15" s="1"/>
  <c r="H182" i="15"/>
  <c r="H229" i="15" s="1"/>
  <c r="E182" i="15"/>
  <c r="E229" i="15" s="1"/>
  <c r="L182" i="15"/>
  <c r="L229" i="15" s="1"/>
  <c r="P182" i="15"/>
  <c r="I182" i="15"/>
  <c r="I229" i="15" s="1"/>
  <c r="R182" i="15"/>
  <c r="Q182" i="15"/>
  <c r="N182" i="15"/>
  <c r="N229" i="15" s="1"/>
  <c r="U182" i="15"/>
  <c r="V182" i="15"/>
  <c r="M182" i="15"/>
  <c r="M229" i="15" s="1"/>
  <c r="G182" i="15"/>
  <c r="G229" i="15" s="1"/>
  <c r="C113" i="15"/>
  <c r="Q113" i="15" s="1"/>
  <c r="H112" i="15"/>
  <c r="AE112" i="15"/>
  <c r="K112" i="15"/>
  <c r="D112" i="15"/>
  <c r="M112" i="15" s="1"/>
  <c r="L112" i="15"/>
  <c r="AF112" i="15"/>
  <c r="Z112" i="15"/>
  <c r="W112" i="15"/>
  <c r="P181" i="15"/>
  <c r="T181" i="15"/>
  <c r="V181" i="15"/>
  <c r="R181" i="15"/>
  <c r="M181" i="15"/>
  <c r="Q181" i="15"/>
  <c r="L181" i="15"/>
  <c r="I181" i="15"/>
  <c r="U181" i="15"/>
  <c r="N181" i="15"/>
  <c r="H181" i="15"/>
  <c r="E57" i="13"/>
  <c r="D57" i="13" s="1"/>
  <c r="G57" i="13"/>
  <c r="E181" i="15"/>
  <c r="D181" i="15"/>
  <c r="C181" i="15"/>
  <c r="B182" i="15"/>
  <c r="J182" i="15"/>
  <c r="F182" i="15"/>
  <c r="F229" i="15" l="1"/>
  <c r="R108" i="15"/>
  <c r="J229" i="15"/>
  <c r="O108" i="15"/>
  <c r="B229" i="15"/>
  <c r="I109" i="15"/>
  <c r="N109" i="15"/>
  <c r="R109" i="15"/>
  <c r="P109" i="15"/>
  <c r="O109" i="15"/>
  <c r="A111" i="15"/>
  <c r="E110" i="15"/>
  <c r="Z113" i="15"/>
  <c r="L113" i="15"/>
  <c r="W113" i="15"/>
  <c r="W114" i="15" s="1"/>
  <c r="K113" i="15"/>
  <c r="AF113" i="15"/>
  <c r="AE113" i="15"/>
  <c r="H113" i="15"/>
  <c r="D113" i="15"/>
  <c r="M113" i="15" s="1"/>
  <c r="K229" i="15"/>
  <c r="AA108" i="15"/>
  <c r="B92" i="14"/>
  <c r="AC108" i="15"/>
  <c r="C120" i="14"/>
  <c r="C136" i="14"/>
  <c r="J108" i="15" l="1"/>
  <c r="O110" i="15"/>
  <c r="I110" i="15"/>
  <c r="N110" i="15"/>
  <c r="P110" i="15"/>
  <c r="R110" i="15"/>
  <c r="J109" i="15"/>
  <c r="A112" i="15"/>
  <c r="E111" i="15"/>
  <c r="AC109" i="15"/>
  <c r="AA109" i="15"/>
  <c r="E92" i="14"/>
  <c r="V92" i="14"/>
  <c r="C92" i="14"/>
  <c r="W92" i="14"/>
  <c r="B165" i="14" s="1"/>
  <c r="G92" i="14"/>
  <c r="K92" i="14"/>
  <c r="P92" i="14"/>
  <c r="U92" i="14"/>
  <c r="F92" i="14"/>
  <c r="M92" i="14"/>
  <c r="N92" i="14"/>
  <c r="S92" i="14"/>
  <c r="H92" i="14"/>
  <c r="L92" i="14"/>
  <c r="Q92" i="14"/>
  <c r="R92" i="14"/>
  <c r="T92" i="14"/>
  <c r="O92" i="14"/>
  <c r="J92" i="14"/>
  <c r="I92" i="14"/>
  <c r="D92" i="14"/>
  <c r="C137" i="14"/>
  <c r="X92" i="14" l="1"/>
  <c r="A113" i="15"/>
  <c r="E113" i="15" s="1"/>
  <c r="E112" i="15"/>
  <c r="J110" i="15"/>
  <c r="AA110" i="15"/>
  <c r="AC110" i="15"/>
  <c r="U108" i="15"/>
  <c r="U109" i="15"/>
  <c r="U110" i="15"/>
  <c r="U111" i="15"/>
  <c r="U112" i="15"/>
  <c r="U113" i="15"/>
  <c r="R111" i="15"/>
  <c r="I111" i="15"/>
  <c r="P111" i="15"/>
  <c r="O111" i="15"/>
  <c r="N111" i="15"/>
  <c r="AC111" i="15" l="1"/>
  <c r="AA111" i="15"/>
  <c r="P112" i="15"/>
  <c r="I112" i="15"/>
  <c r="N112" i="15"/>
  <c r="R112" i="15"/>
  <c r="O112" i="15"/>
  <c r="P113" i="15"/>
  <c r="R113" i="15"/>
  <c r="N113" i="15"/>
  <c r="O113" i="15"/>
  <c r="I113" i="15"/>
  <c r="J111" i="15"/>
  <c r="AA113" i="15" l="1"/>
  <c r="AC113" i="15"/>
  <c r="J112" i="15"/>
  <c r="J113" i="15"/>
  <c r="AC112" i="15"/>
  <c r="AA112" i="15"/>
  <c r="F108" i="15" l="1"/>
  <c r="T108" i="15" s="1"/>
  <c r="F109" i="15"/>
  <c r="T109" i="15" s="1"/>
  <c r="F110" i="15"/>
  <c r="T110" i="15" s="1"/>
  <c r="F111" i="15"/>
  <c r="T111" i="15" s="1"/>
  <c r="F112" i="15"/>
  <c r="T112" i="15" s="1"/>
  <c r="F113" i="15"/>
  <c r="T113" i="15" s="1"/>
  <c r="V113" i="15" l="1"/>
  <c r="X113" i="15" s="1"/>
  <c r="Y113" i="15"/>
  <c r="Y112" i="15"/>
  <c r="V112" i="15"/>
  <c r="X112" i="15" s="1"/>
  <c r="Y111" i="15"/>
  <c r="V111" i="15"/>
  <c r="X111" i="15" s="1"/>
  <c r="V110" i="15"/>
  <c r="X110" i="15" s="1"/>
  <c r="Y110" i="15"/>
  <c r="Y109" i="15"/>
  <c r="V109" i="15"/>
  <c r="X109" i="15" s="1"/>
  <c r="V108" i="15"/>
  <c r="X108" i="15" s="1"/>
  <c r="Y108" i="15"/>
  <c r="AB108" i="15" l="1"/>
  <c r="AB109" i="15"/>
  <c r="AB110" i="15"/>
  <c r="AB111" i="15"/>
  <c r="AB112" i="15"/>
  <c r="AB113" i="15"/>
  <c r="C134" i="14"/>
  <c r="E233" i="15"/>
  <c r="I35" i="34" s="1"/>
  <c r="C233" i="15"/>
  <c r="I33" i="34" s="1"/>
  <c r="D233" i="15"/>
  <c r="I34" i="34" s="1"/>
  <c r="L87" i="15"/>
  <c r="M87" i="15"/>
  <c r="I48" i="119"/>
  <c r="H48" i="119"/>
  <c r="G48" i="119"/>
  <c r="E78" i="6" s="1"/>
  <c r="F133" i="15" s="1"/>
  <c r="E48" i="119"/>
  <c r="D48" i="119"/>
  <c r="C26" i="6" s="1"/>
  <c r="C48" i="119"/>
  <c r="C25" i="6" s="1"/>
  <c r="B22" i="15" s="1"/>
  <c r="F48" i="119"/>
  <c r="E75" i="6" s="1"/>
  <c r="B133" i="15" s="1"/>
  <c r="C52" i="6" l="1"/>
  <c r="X59" i="15" s="1"/>
  <c r="C134" i="6"/>
  <c r="C69" i="6"/>
  <c r="B20" i="15"/>
  <c r="B21" i="15" s="1"/>
  <c r="C4" i="119"/>
  <c r="D199" i="119" s="1"/>
  <c r="C27" i="6"/>
  <c r="C28" i="6" s="1"/>
  <c r="C4" i="24"/>
  <c r="C3" i="119"/>
  <c r="C199" i="119" s="1"/>
  <c r="G152" i="15"/>
  <c r="G174" i="15"/>
  <c r="G168" i="15"/>
  <c r="G158" i="15"/>
  <c r="G139" i="15"/>
  <c r="G179" i="15"/>
  <c r="G156" i="15"/>
  <c r="G144" i="15"/>
  <c r="G161" i="15"/>
  <c r="G167" i="15"/>
  <c r="G148" i="15"/>
  <c r="G170" i="15"/>
  <c r="G153" i="15"/>
  <c r="G147" i="15"/>
  <c r="G143" i="15"/>
  <c r="G160" i="15"/>
  <c r="G172" i="15"/>
  <c r="G171" i="15"/>
  <c r="G151" i="15"/>
  <c r="G155" i="15"/>
  <c r="G157" i="15"/>
  <c r="G159" i="15"/>
  <c r="G141" i="15"/>
  <c r="G188" i="15" s="1"/>
  <c r="G163" i="15"/>
  <c r="G166" i="15"/>
  <c r="G165" i="15"/>
  <c r="G181" i="15"/>
  <c r="G146" i="15"/>
  <c r="G142" i="15"/>
  <c r="G177" i="15"/>
  <c r="G175" i="15"/>
  <c r="G180" i="15"/>
  <c r="G176" i="15"/>
  <c r="G149" i="15"/>
  <c r="G150" i="15"/>
  <c r="G169" i="15"/>
  <c r="G173" i="15"/>
  <c r="G140" i="15"/>
  <c r="G187" i="15" s="1"/>
  <c r="G178" i="15"/>
  <c r="G162" i="15"/>
  <c r="G154" i="15"/>
  <c r="G164" i="15"/>
  <c r="G145" i="15"/>
  <c r="E36" i="14" l="1"/>
  <c r="C36" i="14"/>
  <c r="B26" i="15"/>
  <c r="B27" i="15" s="1"/>
  <c r="W115" i="15" s="1"/>
  <c r="H36" i="14"/>
  <c r="C47" i="33" s="1"/>
  <c r="C5" i="119"/>
  <c r="E199" i="119" s="1"/>
  <c r="E22" i="15"/>
  <c r="F36" i="14"/>
  <c r="D36" i="14"/>
  <c r="G36" i="14"/>
  <c r="AF116" i="15"/>
  <c r="AB55" i="15" s="1"/>
  <c r="AB57" i="15" s="1"/>
  <c r="W116" i="15"/>
  <c r="C46" i="33"/>
  <c r="F78" i="6"/>
  <c r="F83" i="6" s="1"/>
  <c r="C147" i="6" s="1"/>
  <c r="F75" i="6"/>
  <c r="F32" i="34"/>
  <c r="C32" i="34" s="1"/>
  <c r="O66" i="15"/>
  <c r="B187" i="15"/>
  <c r="B188" i="15"/>
  <c r="O67" i="15"/>
  <c r="F187" i="15"/>
  <c r="F188" i="15"/>
  <c r="AE66" i="15"/>
  <c r="AE67" i="15"/>
  <c r="H187" i="15"/>
  <c r="E187" i="15"/>
  <c r="M187" i="15"/>
  <c r="N187" i="15"/>
  <c r="C187" i="15"/>
  <c r="I187" i="15"/>
  <c r="D187" i="15"/>
  <c r="L187" i="15"/>
  <c r="M188" i="15"/>
  <c r="I188" i="15"/>
  <c r="C188" i="15"/>
  <c r="L188" i="15"/>
  <c r="N188" i="15"/>
  <c r="E188" i="15"/>
  <c r="D188" i="15"/>
  <c r="H188" i="15"/>
  <c r="F38" i="34"/>
  <c r="G136" i="15"/>
  <c r="F37" i="34"/>
  <c r="B136" i="15"/>
  <c r="C197" i="119"/>
  <c r="C202" i="119" s="1"/>
  <c r="D202" i="119" s="1"/>
  <c r="D156" i="6"/>
  <c r="D155" i="6"/>
  <c r="D157" i="6"/>
  <c r="E22" i="24"/>
  <c r="G22" i="24" s="1"/>
  <c r="E14" i="24"/>
  <c r="G14" i="24" s="1"/>
  <c r="D152" i="6"/>
  <c r="E152" i="6" s="1"/>
  <c r="D122" i="6"/>
  <c r="E122" i="6" s="1"/>
  <c r="E25" i="24"/>
  <c r="G25" i="24" s="1"/>
  <c r="E23" i="24"/>
  <c r="G23" i="24" s="1"/>
  <c r="E19" i="24"/>
  <c r="G19" i="24" s="1"/>
  <c r="E18" i="24"/>
  <c r="G18" i="24" s="1"/>
  <c r="E20" i="24"/>
  <c r="G20" i="24" s="1"/>
  <c r="E21" i="24"/>
  <c r="G21" i="24" s="1"/>
  <c r="E26" i="24"/>
  <c r="G26" i="24" s="1"/>
  <c r="E16" i="24"/>
  <c r="G16" i="24" s="1"/>
  <c r="E24" i="24"/>
  <c r="G24" i="24" s="1"/>
  <c r="E17" i="24"/>
  <c r="G17" i="24" s="1"/>
  <c r="D150" i="6"/>
  <c r="E150" i="6" s="1"/>
  <c r="E15" i="24"/>
  <c r="G15" i="24" s="1"/>
  <c r="D153" i="6"/>
  <c r="E153" i="6" s="1"/>
  <c r="D151" i="6"/>
  <c r="E151" i="6" s="1"/>
  <c r="D111" i="6"/>
  <c r="E111" i="6" s="1"/>
  <c r="E113" i="6" s="1"/>
  <c r="E13" i="24"/>
  <c r="H206" i="15"/>
  <c r="L199" i="15"/>
  <c r="AE106" i="15"/>
  <c r="E205" i="15"/>
  <c r="G204" i="15"/>
  <c r="L219" i="15"/>
  <c r="M189" i="15"/>
  <c r="G190" i="15"/>
  <c r="C216" i="15"/>
  <c r="N209" i="15"/>
  <c r="H196" i="15"/>
  <c r="C227" i="15"/>
  <c r="L202" i="15"/>
  <c r="G222" i="15"/>
  <c r="C193" i="15"/>
  <c r="H222" i="15"/>
  <c r="I227" i="15"/>
  <c r="AE80" i="15"/>
  <c r="E213" i="15"/>
  <c r="C223" i="15"/>
  <c r="N191" i="15"/>
  <c r="D194" i="15"/>
  <c r="E222" i="15"/>
  <c r="I191" i="15"/>
  <c r="N225" i="15"/>
  <c r="I223" i="15"/>
  <c r="C203" i="15"/>
  <c r="N204" i="15"/>
  <c r="AE79" i="15"/>
  <c r="E189" i="15"/>
  <c r="G216" i="15"/>
  <c r="D217" i="15"/>
  <c r="D204" i="15"/>
  <c r="C224" i="15"/>
  <c r="E223" i="15"/>
  <c r="D200" i="15"/>
  <c r="E217" i="15"/>
  <c r="M223" i="15"/>
  <c r="H226" i="15"/>
  <c r="G226" i="15"/>
  <c r="C217" i="15"/>
  <c r="I192" i="15"/>
  <c r="G227" i="15"/>
  <c r="D215" i="15"/>
  <c r="I214" i="15"/>
  <c r="L224" i="15"/>
  <c r="G225" i="15"/>
  <c r="AE69" i="15"/>
  <c r="AE94" i="15"/>
  <c r="N205" i="15"/>
  <c r="H225" i="15"/>
  <c r="D224" i="15"/>
  <c r="D209" i="15"/>
  <c r="AE88" i="15"/>
  <c r="E208" i="15"/>
  <c r="C225" i="15"/>
  <c r="M212" i="15"/>
  <c r="L217" i="15"/>
  <c r="D216" i="15"/>
  <c r="L227" i="15"/>
  <c r="N210" i="15"/>
  <c r="D212" i="15"/>
  <c r="G220" i="15"/>
  <c r="N222" i="15"/>
  <c r="M209" i="15"/>
  <c r="M217" i="15"/>
  <c r="L204" i="15"/>
  <c r="C190" i="15"/>
  <c r="G197" i="15"/>
  <c r="G200" i="15"/>
  <c r="AE105" i="15"/>
  <c r="H195" i="15"/>
  <c r="M219" i="15"/>
  <c r="M210" i="15"/>
  <c r="AE96" i="15"/>
  <c r="M197" i="15"/>
  <c r="M222" i="15"/>
  <c r="N203" i="15"/>
  <c r="E191" i="15"/>
  <c r="I208" i="15"/>
  <c r="D202" i="15"/>
  <c r="L226" i="15"/>
  <c r="C201" i="15"/>
  <c r="I220" i="15"/>
  <c r="C211" i="15"/>
  <c r="D205" i="15"/>
  <c r="M193" i="15"/>
  <c r="G214" i="15"/>
  <c r="I199" i="15"/>
  <c r="M215" i="15"/>
  <c r="L208" i="15"/>
  <c r="AE90" i="15"/>
  <c r="N223" i="15"/>
  <c r="D213" i="15"/>
  <c r="M221" i="15"/>
  <c r="L193" i="15"/>
  <c r="N226" i="15"/>
  <c r="M195" i="15"/>
  <c r="N211" i="15"/>
  <c r="H221" i="15"/>
  <c r="N216" i="15"/>
  <c r="I211" i="15"/>
  <c r="C202" i="15"/>
  <c r="H190" i="15"/>
  <c r="L201" i="15"/>
  <c r="I198" i="15"/>
  <c r="G210" i="15"/>
  <c r="C205" i="15"/>
  <c r="E196" i="15"/>
  <c r="L222" i="15"/>
  <c r="H220" i="15"/>
  <c r="C194" i="15"/>
  <c r="AE85" i="15"/>
  <c r="E193" i="15"/>
  <c r="I205" i="15"/>
  <c r="E219" i="15"/>
  <c r="H213" i="15"/>
  <c r="E203" i="15"/>
  <c r="AE81" i="15"/>
  <c r="C208" i="15"/>
  <c r="I212" i="15"/>
  <c r="I201" i="15"/>
  <c r="H200" i="15"/>
  <c r="I222" i="15"/>
  <c r="G198" i="15"/>
  <c r="I221" i="15"/>
  <c r="L216" i="15"/>
  <c r="N198" i="15"/>
  <c r="C189" i="15"/>
  <c r="H216" i="15"/>
  <c r="AE75" i="15"/>
  <c r="AE95" i="15"/>
  <c r="I200" i="15"/>
  <c r="I217" i="15"/>
  <c r="C212" i="15"/>
  <c r="N220" i="15"/>
  <c r="C209" i="15"/>
  <c r="I218" i="15"/>
  <c r="N200" i="15"/>
  <c r="L194" i="15"/>
  <c r="N196" i="15"/>
  <c r="M214" i="15"/>
  <c r="I207" i="15"/>
  <c r="I228" i="15"/>
  <c r="D218" i="15"/>
  <c r="N221" i="15"/>
  <c r="E212" i="15"/>
  <c r="L214" i="15"/>
  <c r="D196" i="15"/>
  <c r="M216" i="15"/>
  <c r="G189" i="15"/>
  <c r="G223" i="15"/>
  <c r="AE74" i="15"/>
  <c r="D223" i="15"/>
  <c r="L211" i="15"/>
  <c r="L198" i="15"/>
  <c r="E218" i="15"/>
  <c r="E214" i="15"/>
  <c r="E192" i="15"/>
  <c r="L203" i="15"/>
  <c r="I213" i="15"/>
  <c r="E200" i="15"/>
  <c r="D220" i="15"/>
  <c r="H207" i="15"/>
  <c r="D225" i="15"/>
  <c r="AE83" i="15"/>
  <c r="D197" i="15"/>
  <c r="G192" i="15"/>
  <c r="N197" i="15"/>
  <c r="AE84" i="15"/>
  <c r="N215" i="15"/>
  <c r="D201" i="15"/>
  <c r="E227" i="15"/>
  <c r="AE102" i="15"/>
  <c r="D208" i="15"/>
  <c r="L191" i="15"/>
  <c r="AE73" i="15"/>
  <c r="C222" i="15"/>
  <c r="I193" i="15"/>
  <c r="AE70" i="15"/>
  <c r="G209" i="15"/>
  <c r="C197" i="15"/>
  <c r="D199" i="15"/>
  <c r="G205" i="15"/>
  <c r="L195" i="15"/>
  <c r="M227" i="15"/>
  <c r="G195" i="15"/>
  <c r="G228" i="15"/>
  <c r="C219" i="15"/>
  <c r="H203" i="15"/>
  <c r="H208" i="15"/>
  <c r="C192" i="15"/>
  <c r="G224" i="15"/>
  <c r="G208" i="15"/>
  <c r="C221" i="15"/>
  <c r="N207" i="15"/>
  <c r="G193" i="15"/>
  <c r="L197" i="15"/>
  <c r="H191" i="15"/>
  <c r="AE89" i="15"/>
  <c r="H210" i="15"/>
  <c r="L196" i="15"/>
  <c r="H197" i="15"/>
  <c r="E228" i="15"/>
  <c r="D207" i="15"/>
  <c r="H198" i="15"/>
  <c r="D206" i="15"/>
  <c r="L209" i="15"/>
  <c r="M199" i="15"/>
  <c r="E224" i="15"/>
  <c r="M207" i="15"/>
  <c r="E202" i="15"/>
  <c r="M228" i="15"/>
  <c r="H194" i="15"/>
  <c r="E204" i="15"/>
  <c r="G211" i="15"/>
  <c r="H212" i="15"/>
  <c r="E211" i="15"/>
  <c r="AE93" i="15"/>
  <c r="I226" i="15"/>
  <c r="C218" i="15"/>
  <c r="D192" i="15"/>
  <c r="D211" i="15"/>
  <c r="AE78" i="15"/>
  <c r="C213" i="15"/>
  <c r="AE71" i="15"/>
  <c r="AE92" i="15"/>
  <c r="M224" i="15"/>
  <c r="N212" i="15"/>
  <c r="N213" i="15"/>
  <c r="N214" i="15"/>
  <c r="D219" i="15"/>
  <c r="M196" i="15"/>
  <c r="D203" i="15"/>
  <c r="N192" i="15"/>
  <c r="H211" i="15"/>
  <c r="M191" i="15"/>
  <c r="H217" i="15"/>
  <c r="E201" i="15"/>
  <c r="L228" i="15"/>
  <c r="C207" i="15"/>
  <c r="G221" i="15"/>
  <c r="L210" i="15"/>
  <c r="M201" i="15"/>
  <c r="E199" i="15"/>
  <c r="N224" i="15"/>
  <c r="D195" i="15"/>
  <c r="AE76" i="15"/>
  <c r="L221" i="15"/>
  <c r="I203" i="15"/>
  <c r="I189" i="15"/>
  <c r="H228" i="15"/>
  <c r="M220" i="15"/>
  <c r="H224" i="15"/>
  <c r="L189" i="15"/>
  <c r="G213" i="15"/>
  <c r="I190" i="15"/>
  <c r="E209" i="15"/>
  <c r="G207" i="15"/>
  <c r="L190" i="15"/>
  <c r="E216" i="15"/>
  <c r="G203" i="15"/>
  <c r="D227" i="15"/>
  <c r="D226" i="15"/>
  <c r="AE86" i="15"/>
  <c r="I219" i="15"/>
  <c r="AE107" i="15"/>
  <c r="N189" i="15"/>
  <c r="E225" i="15"/>
  <c r="C228" i="15"/>
  <c r="I206" i="15"/>
  <c r="D228" i="15"/>
  <c r="G202" i="15"/>
  <c r="M194" i="15"/>
  <c r="E198" i="15"/>
  <c r="H214" i="15"/>
  <c r="H189" i="15"/>
  <c r="G201" i="15"/>
  <c r="C220" i="15"/>
  <c r="AE99" i="15"/>
  <c r="AE97" i="15"/>
  <c r="G217" i="15"/>
  <c r="L218" i="15"/>
  <c r="N194" i="15"/>
  <c r="I195" i="15"/>
  <c r="L223" i="15"/>
  <c r="D191" i="15"/>
  <c r="E210" i="15"/>
  <c r="I197" i="15"/>
  <c r="H192" i="15"/>
  <c r="N190" i="15"/>
  <c r="M208" i="15"/>
  <c r="D190" i="15"/>
  <c r="H219" i="15"/>
  <c r="G206" i="15"/>
  <c r="M204" i="15"/>
  <c r="M200" i="15"/>
  <c r="AE104" i="15"/>
  <c r="L205" i="15"/>
  <c r="N201" i="15"/>
  <c r="M226" i="15"/>
  <c r="E207" i="15"/>
  <c r="M192" i="15"/>
  <c r="N228" i="15"/>
  <c r="M202" i="15"/>
  <c r="D193" i="15"/>
  <c r="H205" i="15"/>
  <c r="C204" i="15"/>
  <c r="C191" i="15"/>
  <c r="H209" i="15"/>
  <c r="E206" i="15"/>
  <c r="C196" i="15"/>
  <c r="G212" i="15"/>
  <c r="N227" i="15"/>
  <c r="I210" i="15"/>
  <c r="M203" i="15"/>
  <c r="L206" i="15"/>
  <c r="I196" i="15"/>
  <c r="D221" i="15"/>
  <c r="N202" i="15"/>
  <c r="AE77" i="15"/>
  <c r="L212" i="15"/>
  <c r="AE72" i="15"/>
  <c r="C226" i="15"/>
  <c r="G196" i="15"/>
  <c r="E195" i="15"/>
  <c r="C214" i="15"/>
  <c r="E190" i="15"/>
  <c r="D198" i="15"/>
  <c r="D189" i="15"/>
  <c r="M205" i="15"/>
  <c r="E194" i="15"/>
  <c r="AE91" i="15"/>
  <c r="M213" i="15"/>
  <c r="H193" i="15"/>
  <c r="N195" i="15"/>
  <c r="H215" i="15"/>
  <c r="I215" i="15"/>
  <c r="C215" i="15"/>
  <c r="C200" i="15"/>
  <c r="L207" i="15"/>
  <c r="AE100" i="15"/>
  <c r="E226" i="15"/>
  <c r="L213" i="15"/>
  <c r="H202" i="15"/>
  <c r="L225" i="15"/>
  <c r="N208" i="15"/>
  <c r="E215" i="15"/>
  <c r="C210" i="15"/>
  <c r="D214" i="15"/>
  <c r="I216" i="15"/>
  <c r="C198" i="15"/>
  <c r="G218" i="15"/>
  <c r="D222" i="15"/>
  <c r="I204" i="15"/>
  <c r="D210" i="15"/>
  <c r="H199" i="15"/>
  <c r="AE68" i="15"/>
  <c r="I202" i="15"/>
  <c r="C206" i="15"/>
  <c r="I209" i="15"/>
  <c r="H204" i="15"/>
  <c r="M206" i="15"/>
  <c r="N219" i="15"/>
  <c r="E220" i="15"/>
  <c r="L200" i="15"/>
  <c r="AE103" i="15"/>
  <c r="C195" i="15"/>
  <c r="N217" i="15"/>
  <c r="H227" i="15"/>
  <c r="I224" i="15"/>
  <c r="N206" i="15"/>
  <c r="M225" i="15"/>
  <c r="AE101" i="15"/>
  <c r="G191" i="15"/>
  <c r="H201" i="15"/>
  <c r="L220" i="15"/>
  <c r="N193" i="15"/>
  <c r="M218" i="15"/>
  <c r="I225" i="15"/>
  <c r="L192" i="15"/>
  <c r="AE82" i="15"/>
  <c r="M190" i="15"/>
  <c r="C199" i="15"/>
  <c r="E197" i="15"/>
  <c r="G215" i="15"/>
  <c r="M211" i="15"/>
  <c r="H223" i="15"/>
  <c r="I194" i="15"/>
  <c r="H218" i="15"/>
  <c r="AE98" i="15"/>
  <c r="N199" i="15"/>
  <c r="G219" i="15"/>
  <c r="M198" i="15"/>
  <c r="AE87" i="15"/>
  <c r="G194" i="15"/>
  <c r="L215" i="15"/>
  <c r="E221" i="15"/>
  <c r="N218" i="15"/>
  <c r="G199" i="15"/>
  <c r="B17" i="15"/>
  <c r="C81" i="119"/>
  <c r="D81" i="119" s="1"/>
  <c r="I4" i="119"/>
  <c r="C82" i="119" s="1"/>
  <c r="D82" i="119" s="1"/>
  <c r="H4" i="119"/>
  <c r="C78" i="119"/>
  <c r="D78" i="119" s="1"/>
  <c r="H3" i="119"/>
  <c r="I3" i="119"/>
  <c r="C79" i="119" s="1"/>
  <c r="D79" i="119" s="1"/>
  <c r="B176" i="15"/>
  <c r="F166" i="15"/>
  <c r="B162" i="15"/>
  <c r="F153" i="15"/>
  <c r="F164" i="15"/>
  <c r="F171" i="15"/>
  <c r="F160" i="15"/>
  <c r="F145" i="15"/>
  <c r="B154" i="15"/>
  <c r="F167" i="15"/>
  <c r="F161" i="15"/>
  <c r="F180" i="15"/>
  <c r="B170" i="15"/>
  <c r="B167" i="15"/>
  <c r="B153" i="15"/>
  <c r="F169" i="15"/>
  <c r="B140" i="15"/>
  <c r="F148" i="15"/>
  <c r="B145" i="15"/>
  <c r="B141" i="15"/>
  <c r="B144" i="15"/>
  <c r="F144" i="15"/>
  <c r="F159" i="15"/>
  <c r="F141" i="15"/>
  <c r="B161" i="15"/>
  <c r="F155" i="15"/>
  <c r="F162" i="15"/>
  <c r="F140" i="15"/>
  <c r="B180" i="15"/>
  <c r="F181" i="15"/>
  <c r="B169" i="15"/>
  <c r="B139" i="15"/>
  <c r="B163" i="15"/>
  <c r="B149" i="15"/>
  <c r="B150" i="15"/>
  <c r="B142" i="15"/>
  <c r="F146" i="15"/>
  <c r="F178" i="15"/>
  <c r="B177" i="15"/>
  <c r="F142" i="15"/>
  <c r="F170" i="15"/>
  <c r="F156" i="15"/>
  <c r="B173" i="15"/>
  <c r="B160" i="15"/>
  <c r="B143" i="15"/>
  <c r="F150" i="15"/>
  <c r="B157" i="15"/>
  <c r="F139" i="15"/>
  <c r="B166" i="15"/>
  <c r="B156" i="15"/>
  <c r="B164" i="15"/>
  <c r="F143" i="15"/>
  <c r="B172" i="15"/>
  <c r="B151" i="15"/>
  <c r="B165" i="15"/>
  <c r="F158" i="15"/>
  <c r="B168" i="15"/>
  <c r="F157" i="15"/>
  <c r="F154" i="15"/>
  <c r="B152" i="15"/>
  <c r="F176" i="15"/>
  <c r="B181" i="15"/>
  <c r="F165" i="15"/>
  <c r="F177" i="15"/>
  <c r="F152" i="15"/>
  <c r="F173" i="15"/>
  <c r="B159" i="15"/>
  <c r="F147" i="15"/>
  <c r="B178" i="15"/>
  <c r="F179" i="15"/>
  <c r="F175" i="15"/>
  <c r="F174" i="15"/>
  <c r="F168" i="15"/>
  <c r="F149" i="15"/>
  <c r="B155" i="15"/>
  <c r="B147" i="15"/>
  <c r="B179" i="15"/>
  <c r="B158" i="15"/>
  <c r="F151" i="15"/>
  <c r="F163" i="15"/>
  <c r="F172" i="15"/>
  <c r="B174" i="15"/>
  <c r="B146" i="15"/>
  <c r="B171" i="15"/>
  <c r="B148" i="15"/>
  <c r="B175" i="15"/>
  <c r="H37" i="14" l="1"/>
  <c r="E23" i="15"/>
  <c r="G37" i="14"/>
  <c r="E37" i="14"/>
  <c r="F37" i="14"/>
  <c r="D37" i="14"/>
  <c r="C37" i="14"/>
  <c r="C48" i="33"/>
  <c r="I5" i="119"/>
  <c r="C85" i="119" s="1"/>
  <c r="D85" i="119" s="1"/>
  <c r="C84" i="119"/>
  <c r="D84" i="119" s="1"/>
  <c r="H5" i="119"/>
  <c r="E24" i="15"/>
  <c r="F223" i="15"/>
  <c r="F221" i="15"/>
  <c r="F211" i="15"/>
  <c r="F203" i="15"/>
  <c r="F192" i="15"/>
  <c r="F207" i="15"/>
  <c r="F194" i="15"/>
  <c r="F193" i="15"/>
  <c r="F209" i="15"/>
  <c r="F204" i="15"/>
  <c r="F189" i="15"/>
  <c r="F195" i="15"/>
  <c r="F210" i="15"/>
  <c r="F136" i="15"/>
  <c r="O95" i="15"/>
  <c r="B216" i="15"/>
  <c r="O86" i="15"/>
  <c r="B207" i="15"/>
  <c r="O72" i="15"/>
  <c r="B193" i="15"/>
  <c r="O78" i="15"/>
  <c r="B199" i="15"/>
  <c r="O82" i="15"/>
  <c r="B203" i="15"/>
  <c r="B225" i="15"/>
  <c r="O104" i="15"/>
  <c r="O96" i="15"/>
  <c r="B217" i="15"/>
  <c r="O85" i="15"/>
  <c r="B206" i="15"/>
  <c r="O68" i="15"/>
  <c r="B189" i="15"/>
  <c r="O79" i="15"/>
  <c r="B200" i="15"/>
  <c r="O97" i="15"/>
  <c r="B218" i="15"/>
  <c r="B227" i="15"/>
  <c r="O106" i="15"/>
  <c r="B191" i="15"/>
  <c r="O70" i="15"/>
  <c r="O105" i="15"/>
  <c r="B226" i="15"/>
  <c r="O74" i="15"/>
  <c r="B195" i="15"/>
  <c r="B201" i="15"/>
  <c r="O80" i="15"/>
  <c r="O101" i="15"/>
  <c r="B222" i="15"/>
  <c r="O69" i="15"/>
  <c r="B190" i="15"/>
  <c r="B210" i="15"/>
  <c r="O89" i="15"/>
  <c r="O90" i="15"/>
  <c r="B211" i="15"/>
  <c r="O81" i="15"/>
  <c r="B202" i="15"/>
  <c r="O100" i="15"/>
  <c r="B221" i="15"/>
  <c r="B219" i="15"/>
  <c r="O98" i="15"/>
  <c r="B205" i="15"/>
  <c r="O84" i="15"/>
  <c r="O73" i="15"/>
  <c r="B194" i="15"/>
  <c r="O71" i="15"/>
  <c r="B192" i="15"/>
  <c r="O99" i="15"/>
  <c r="B220" i="15"/>
  <c r="O77" i="15"/>
  <c r="B198" i="15"/>
  <c r="O87" i="15"/>
  <c r="B208" i="15"/>
  <c r="B209" i="15"/>
  <c r="O88" i="15"/>
  <c r="B223" i="15"/>
  <c r="O102" i="15"/>
  <c r="O107" i="15"/>
  <c r="B228" i="15"/>
  <c r="O75" i="15"/>
  <c r="B196" i="15"/>
  <c r="B204" i="15"/>
  <c r="O83" i="15"/>
  <c r="B212" i="15"/>
  <c r="O91" i="15"/>
  <c r="B224" i="15"/>
  <c r="O103" i="15"/>
  <c r="B197" i="15"/>
  <c r="O76" i="15"/>
  <c r="B214" i="15"/>
  <c r="O93" i="15"/>
  <c r="B215" i="15"/>
  <c r="O94" i="15"/>
  <c r="B213" i="15"/>
  <c r="O92" i="15"/>
  <c r="F201" i="15"/>
  <c r="F196" i="15"/>
  <c r="F205" i="15"/>
  <c r="F224" i="15"/>
  <c r="F228" i="15"/>
  <c r="F227" i="15"/>
  <c r="F216" i="15"/>
  <c r="F206" i="15"/>
  <c r="F212" i="15"/>
  <c r="F217" i="15"/>
  <c r="F226" i="15"/>
  <c r="F190" i="15"/>
  <c r="F208" i="15"/>
  <c r="F197" i="15"/>
  <c r="F213" i="15"/>
  <c r="F215" i="15"/>
  <c r="F199" i="15"/>
  <c r="F198" i="15"/>
  <c r="F218" i="15"/>
  <c r="F225" i="15"/>
  <c r="F219" i="15"/>
  <c r="F202" i="15"/>
  <c r="F214" i="15"/>
  <c r="F200" i="15"/>
  <c r="F222" i="15"/>
  <c r="F220" i="15"/>
  <c r="F191" i="15"/>
  <c r="E100" i="34"/>
  <c r="C100" i="34"/>
  <c r="C37" i="34"/>
  <c r="D100" i="34"/>
  <c r="C38" i="34"/>
  <c r="E101" i="34"/>
  <c r="D101" i="34"/>
  <c r="C101" i="34"/>
  <c r="C95" i="34"/>
  <c r="D85" i="34" s="1"/>
  <c r="E95" i="34"/>
  <c r="F85" i="34" s="1"/>
  <c r="F86" i="34" s="1"/>
  <c r="D95" i="34"/>
  <c r="B203" i="119"/>
  <c r="H231" i="15"/>
  <c r="E231" i="15"/>
  <c r="E27" i="24"/>
  <c r="G13" i="24"/>
  <c r="G27" i="24" s="1"/>
  <c r="AE116" i="15"/>
  <c r="L231" i="15"/>
  <c r="E115" i="6"/>
  <c r="L101" i="119"/>
  <c r="C77" i="119"/>
  <c r="D77" i="119" s="1"/>
  <c r="N231" i="15"/>
  <c r="C231" i="15"/>
  <c r="B57" i="15"/>
  <c r="D61" i="34"/>
  <c r="C61" i="34"/>
  <c r="D32" i="34"/>
  <c r="E61" i="34"/>
  <c r="C53" i="34"/>
  <c r="E110" i="34"/>
  <c r="D110" i="34"/>
  <c r="C110" i="34"/>
  <c r="D231" i="15"/>
  <c r="G231" i="15"/>
  <c r="M231" i="15"/>
  <c r="B18" i="15"/>
  <c r="B19" i="15"/>
  <c r="L102" i="119"/>
  <c r="C80" i="119"/>
  <c r="D80" i="119" s="1"/>
  <c r="I231" i="15"/>
  <c r="E25" i="15" l="1"/>
  <c r="L103" i="119"/>
  <c r="C83" i="119"/>
  <c r="D83" i="119" s="1"/>
  <c r="F82" i="6"/>
  <c r="C146" i="6" s="1"/>
  <c r="O115" i="15"/>
  <c r="B122" i="15" s="1"/>
  <c r="B231" i="15"/>
  <c r="B232" i="15" s="1"/>
  <c r="B233" i="15" s="1"/>
  <c r="I32" i="34" s="1"/>
  <c r="O116" i="15"/>
  <c r="O117" i="15" s="1"/>
  <c r="T48" i="119" s="1"/>
  <c r="E165" i="119" s="1"/>
  <c r="O114" i="15"/>
  <c r="F231" i="15"/>
  <c r="F232" i="15" s="1"/>
  <c r="F233" i="15" s="1"/>
  <c r="I37" i="34" s="1"/>
  <c r="P66" i="15"/>
  <c r="P67" i="15"/>
  <c r="F100" i="34"/>
  <c r="F101" i="34"/>
  <c r="D38" i="34"/>
  <c r="D116" i="34"/>
  <c r="D67" i="34"/>
  <c r="C116" i="34"/>
  <c r="C67" i="34"/>
  <c r="E67" i="34"/>
  <c r="E116" i="34"/>
  <c r="E66" i="34"/>
  <c r="D66" i="34"/>
  <c r="E115" i="34"/>
  <c r="C115" i="34"/>
  <c r="D37" i="34"/>
  <c r="D115" i="34"/>
  <c r="C66" i="34"/>
  <c r="C54" i="34"/>
  <c r="F95" i="34"/>
  <c r="G85" i="34" s="1"/>
  <c r="G86" i="34" s="1"/>
  <c r="E85" i="34"/>
  <c r="E86" i="34" s="1"/>
  <c r="C203" i="119"/>
  <c r="D203" i="119" s="1"/>
  <c r="I232" i="15"/>
  <c r="M232" i="15"/>
  <c r="G232" i="15"/>
  <c r="G233" i="15" s="1"/>
  <c r="I38" i="34" s="1"/>
  <c r="D232" i="15"/>
  <c r="E232" i="15"/>
  <c r="H232" i="15"/>
  <c r="L232" i="15"/>
  <c r="C232" i="15"/>
  <c r="N232" i="15"/>
  <c r="F110" i="34"/>
  <c r="P106" i="15"/>
  <c r="P84" i="15"/>
  <c r="P107" i="15"/>
  <c r="P93" i="15"/>
  <c r="P101" i="15"/>
  <c r="P72" i="15"/>
  <c r="P104" i="15"/>
  <c r="P92" i="15"/>
  <c r="P75" i="15"/>
  <c r="P94" i="15"/>
  <c r="P98" i="15"/>
  <c r="P82" i="15"/>
  <c r="P81" i="15"/>
  <c r="P95" i="15"/>
  <c r="P80" i="15"/>
  <c r="P70" i="15"/>
  <c r="P105" i="15"/>
  <c r="P103" i="15"/>
  <c r="P91" i="15"/>
  <c r="P85" i="15"/>
  <c r="P99" i="15"/>
  <c r="P88" i="15"/>
  <c r="P86" i="15"/>
  <c r="P79" i="15"/>
  <c r="P89" i="15"/>
  <c r="P73" i="15"/>
  <c r="P76" i="15"/>
  <c r="P100" i="15"/>
  <c r="P83" i="15"/>
  <c r="P78" i="15"/>
  <c r="P96" i="15"/>
  <c r="P90" i="15"/>
  <c r="P69" i="15"/>
  <c r="P87" i="15"/>
  <c r="P97" i="15"/>
  <c r="P77" i="15"/>
  <c r="P71" i="15"/>
  <c r="P102" i="15"/>
  <c r="P74" i="15"/>
  <c r="P68" i="15"/>
  <c r="C22" i="33"/>
  <c r="D86" i="34"/>
  <c r="AC55" i="15"/>
  <c r="AC57" i="15" s="1"/>
  <c r="C5" i="24"/>
  <c r="C88" i="6"/>
  <c r="F116" i="34" l="1"/>
  <c r="F115" i="34"/>
  <c r="B204" i="119"/>
  <c r="C204" i="119" s="1"/>
  <c r="B205" i="119" s="1"/>
  <c r="J36" i="33"/>
  <c r="C21" i="33"/>
  <c r="C23" i="33"/>
  <c r="D119" i="6"/>
  <c r="E119" i="6" s="1"/>
  <c r="D120" i="6"/>
  <c r="D121" i="6"/>
  <c r="E121" i="6" s="1"/>
  <c r="D123" i="6"/>
  <c r="E123" i="6" s="1"/>
  <c r="D116" i="6"/>
  <c r="E116" i="6" s="1"/>
  <c r="D103" i="6"/>
  <c r="E103" i="6" s="1"/>
  <c r="E104" i="6" s="1"/>
  <c r="E106" i="6" s="1"/>
  <c r="B52" i="15" s="1"/>
  <c r="K65" i="15" s="1"/>
  <c r="P114" i="15"/>
  <c r="P116" i="15"/>
  <c r="P117" i="15" s="1"/>
  <c r="U48" i="119" s="1"/>
  <c r="E166" i="119" s="1"/>
  <c r="P115" i="15"/>
  <c r="B123" i="15" s="1"/>
  <c r="C38" i="33"/>
  <c r="D204" i="119" l="1"/>
  <c r="C205" i="119"/>
  <c r="D205" i="119" s="1"/>
  <c r="C53" i="33"/>
  <c r="C55" i="33" s="1"/>
  <c r="E120" i="6"/>
  <c r="C68" i="33"/>
  <c r="C26" i="33" s="1"/>
  <c r="C24" i="33"/>
  <c r="K114" i="15"/>
  <c r="K116" i="15"/>
  <c r="K117" i="15" s="1"/>
  <c r="Q48" i="119" s="1"/>
  <c r="E162" i="119" s="1"/>
  <c r="K115" i="15"/>
  <c r="J133" i="15" l="1"/>
  <c r="F42" i="34" s="1"/>
  <c r="B206" i="119"/>
  <c r="C54" i="33"/>
  <c r="C107" i="33"/>
  <c r="C99" i="33"/>
  <c r="C95" i="33"/>
  <c r="C83" i="33"/>
  <c r="C106" i="33"/>
  <c r="C82" i="33"/>
  <c r="C94" i="33"/>
  <c r="C98" i="33"/>
  <c r="C56" i="33"/>
  <c r="C57" i="33"/>
  <c r="C75" i="33"/>
  <c r="C70" i="33"/>
  <c r="C71" i="33" s="1"/>
  <c r="C74" i="33"/>
  <c r="J31" i="33" s="1"/>
  <c r="J34" i="33" s="1"/>
  <c r="J131" i="15" l="1"/>
  <c r="J185" i="15" s="1"/>
  <c r="D87" i="34"/>
  <c r="D88" i="34" s="1"/>
  <c r="F47" i="34"/>
  <c r="C47" i="34" s="1"/>
  <c r="K139" i="15"/>
  <c r="K140" i="15"/>
  <c r="K141" i="15"/>
  <c r="K142" i="15"/>
  <c r="Q68" i="15" s="1"/>
  <c r="K143" i="15"/>
  <c r="Q69" i="15" s="1"/>
  <c r="K144" i="15"/>
  <c r="Q70" i="15" s="1"/>
  <c r="K145" i="15"/>
  <c r="Q71" i="15" s="1"/>
  <c r="K146" i="15"/>
  <c r="Q72" i="15" s="1"/>
  <c r="K147" i="15"/>
  <c r="Q73" i="15" s="1"/>
  <c r="K148" i="15"/>
  <c r="Q74" i="15" s="1"/>
  <c r="K149" i="15"/>
  <c r="Q75" i="15" s="1"/>
  <c r="K150" i="15"/>
  <c r="Q76" i="15" s="1"/>
  <c r="K151" i="15"/>
  <c r="Q77" i="15" s="1"/>
  <c r="K152" i="15"/>
  <c r="Q78" i="15" s="1"/>
  <c r="K153" i="15"/>
  <c r="Q79" i="15" s="1"/>
  <c r="K154" i="15"/>
  <c r="Q80" i="15" s="1"/>
  <c r="K155" i="15"/>
  <c r="Q81" i="15" s="1"/>
  <c r="K156" i="15"/>
  <c r="Q82" i="15" s="1"/>
  <c r="K157" i="15"/>
  <c r="Q83" i="15" s="1"/>
  <c r="K158" i="15"/>
  <c r="Q84" i="15" s="1"/>
  <c r="K159" i="15"/>
  <c r="Q85" i="15" s="1"/>
  <c r="K160" i="15"/>
  <c r="Q86" i="15" s="1"/>
  <c r="K161" i="15"/>
  <c r="Q87" i="15" s="1"/>
  <c r="K162" i="15"/>
  <c r="Q88" i="15" s="1"/>
  <c r="K163" i="15"/>
  <c r="Q89" i="15" s="1"/>
  <c r="K164" i="15"/>
  <c r="Q90" i="15" s="1"/>
  <c r="K165" i="15"/>
  <c r="Q91" i="15" s="1"/>
  <c r="K166" i="15"/>
  <c r="Q92" i="15" s="1"/>
  <c r="K167" i="15"/>
  <c r="Q93" i="15" s="1"/>
  <c r="K168" i="15"/>
  <c r="Q94" i="15" s="1"/>
  <c r="K169" i="15"/>
  <c r="Q95" i="15" s="1"/>
  <c r="K170" i="15"/>
  <c r="Q96" i="15" s="1"/>
  <c r="K171" i="15"/>
  <c r="Q97" i="15" s="1"/>
  <c r="K172" i="15"/>
  <c r="Q98" i="15" s="1"/>
  <c r="K173" i="15"/>
  <c r="Q99" i="15" s="1"/>
  <c r="K174" i="15"/>
  <c r="Q100" i="15" s="1"/>
  <c r="K175" i="15"/>
  <c r="Q101" i="15" s="1"/>
  <c r="K176" i="15"/>
  <c r="Q102" i="15" s="1"/>
  <c r="K177" i="15"/>
  <c r="Q103" i="15" s="1"/>
  <c r="K178" i="15"/>
  <c r="Q104" i="15" s="1"/>
  <c r="K179" i="15"/>
  <c r="Q105" i="15" s="1"/>
  <c r="K180" i="15"/>
  <c r="Q106" i="15" s="1"/>
  <c r="K181" i="15"/>
  <c r="Q107" i="15" s="1"/>
  <c r="C206" i="119"/>
  <c r="D206" i="119" s="1"/>
  <c r="C100" i="33"/>
  <c r="C58" i="33"/>
  <c r="J40" i="33"/>
  <c r="J22" i="33"/>
  <c r="G21" i="34"/>
  <c r="K45" i="33"/>
  <c r="J25" i="33"/>
  <c r="C78" i="33"/>
  <c r="J38" i="33" s="1"/>
  <c r="J23" i="33"/>
  <c r="C86" i="33"/>
  <c r="J39" i="33" s="1"/>
  <c r="J24" i="33"/>
  <c r="E19" i="17" l="1"/>
  <c r="F19" i="17" s="1"/>
  <c r="E21" i="17"/>
  <c r="F21" i="17" s="1"/>
  <c r="E23" i="17"/>
  <c r="F23" i="17" s="1"/>
  <c r="E25" i="17"/>
  <c r="F25" i="17" s="1"/>
  <c r="E27" i="17"/>
  <c r="F27" i="17" s="1"/>
  <c r="E29" i="17"/>
  <c r="F29" i="17" s="1"/>
  <c r="E31" i="17"/>
  <c r="F31" i="17" s="1"/>
  <c r="E33" i="17"/>
  <c r="F33" i="17" s="1"/>
  <c r="E35" i="17"/>
  <c r="F35" i="17" s="1"/>
  <c r="E37" i="17"/>
  <c r="F37" i="17" s="1"/>
  <c r="E39" i="17"/>
  <c r="F39" i="17" s="1"/>
  <c r="E41" i="17"/>
  <c r="F41" i="17" s="1"/>
  <c r="E43" i="17"/>
  <c r="F43" i="17" s="1"/>
  <c r="E45" i="17"/>
  <c r="F45" i="17" s="1"/>
  <c r="E47" i="17"/>
  <c r="F47" i="17" s="1"/>
  <c r="E49" i="17"/>
  <c r="F49" i="17" s="1"/>
  <c r="E51" i="17"/>
  <c r="F51" i="17" s="1"/>
  <c r="E53" i="17"/>
  <c r="F53" i="17" s="1"/>
  <c r="E55" i="17"/>
  <c r="F55" i="17" s="1"/>
  <c r="E57" i="17"/>
  <c r="F57" i="17" s="1"/>
  <c r="E22" i="17"/>
  <c r="F22" i="17" s="1"/>
  <c r="E34" i="17"/>
  <c r="F34" i="17" s="1"/>
  <c r="E42" i="17"/>
  <c r="F42" i="17" s="1"/>
  <c r="E50" i="17"/>
  <c r="F50" i="17" s="1"/>
  <c r="E56" i="17"/>
  <c r="F56" i="17" s="1"/>
  <c r="E24" i="17"/>
  <c r="F24" i="17" s="1"/>
  <c r="E30" i="17"/>
  <c r="F30" i="17" s="1"/>
  <c r="E32" i="17"/>
  <c r="F32" i="17" s="1"/>
  <c r="E40" i="17"/>
  <c r="F40" i="17" s="1"/>
  <c r="E46" i="17"/>
  <c r="F46" i="17" s="1"/>
  <c r="E54" i="17"/>
  <c r="F54" i="17" s="1"/>
  <c r="E26" i="17"/>
  <c r="F26" i="17" s="1"/>
  <c r="E38" i="17"/>
  <c r="F38" i="17" s="1"/>
  <c r="E48" i="17"/>
  <c r="F48" i="17" s="1"/>
  <c r="E20" i="17"/>
  <c r="F20" i="17" s="1"/>
  <c r="E36" i="17"/>
  <c r="F36" i="17" s="1"/>
  <c r="E44" i="17"/>
  <c r="F44" i="17" s="1"/>
  <c r="E52" i="17"/>
  <c r="F52" i="17" s="1"/>
  <c r="E28" i="17"/>
  <c r="F28" i="17" s="1"/>
  <c r="K188" i="15"/>
  <c r="K187" i="15"/>
  <c r="J27" i="33"/>
  <c r="J41" i="33"/>
  <c r="G20" i="34" s="1"/>
  <c r="J135" i="15"/>
  <c r="J137" i="15"/>
  <c r="J132" i="15"/>
  <c r="J136" i="15" s="1"/>
  <c r="B42" i="34"/>
  <c r="H42" i="34" s="1"/>
  <c r="J134" i="15"/>
  <c r="K224" i="15"/>
  <c r="K216" i="15"/>
  <c r="K208" i="15"/>
  <c r="K200" i="15"/>
  <c r="K192" i="15"/>
  <c r="K223" i="15"/>
  <c r="K215" i="15"/>
  <c r="K207" i="15"/>
  <c r="K199" i="15"/>
  <c r="K191" i="15"/>
  <c r="K222" i="15"/>
  <c r="K214" i="15"/>
  <c r="K206" i="15"/>
  <c r="K198" i="15"/>
  <c r="K190" i="15"/>
  <c r="K221" i="15"/>
  <c r="K213" i="15"/>
  <c r="K205" i="15"/>
  <c r="K197" i="15"/>
  <c r="K189" i="15"/>
  <c r="K228" i="15"/>
  <c r="K220" i="15"/>
  <c r="K212" i="15"/>
  <c r="K204" i="15"/>
  <c r="K196" i="15"/>
  <c r="K227" i="15"/>
  <c r="K219" i="15"/>
  <c r="K211" i="15"/>
  <c r="K203" i="15"/>
  <c r="K195" i="15"/>
  <c r="K226" i="15"/>
  <c r="K218" i="15"/>
  <c r="K210" i="15"/>
  <c r="K202" i="15"/>
  <c r="K194" i="15"/>
  <c r="K225" i="15"/>
  <c r="K217" i="15"/>
  <c r="K209" i="15"/>
  <c r="K201" i="15"/>
  <c r="K193" i="15"/>
  <c r="D47" i="34"/>
  <c r="C57" i="34"/>
  <c r="B207" i="119"/>
  <c r="H21" i="34"/>
  <c r="J26" i="33"/>
  <c r="J188" i="15" l="1"/>
  <c r="J187" i="15"/>
  <c r="E42" i="34"/>
  <c r="C42" i="34" s="1"/>
  <c r="C55" i="34" s="1"/>
  <c r="D52" i="34" s="1"/>
  <c r="B71" i="34"/>
  <c r="B120" i="34"/>
  <c r="B105" i="34"/>
  <c r="G42" i="34"/>
  <c r="Q116" i="15"/>
  <c r="Q118" i="15" s="1"/>
  <c r="L48" i="119" s="1"/>
  <c r="E156" i="119" s="1"/>
  <c r="Q115" i="15"/>
  <c r="B124" i="15" s="1"/>
  <c r="Q114" i="15"/>
  <c r="K231" i="15"/>
  <c r="K232" i="15" s="1"/>
  <c r="K233" i="15" s="1"/>
  <c r="I47" i="34" s="1"/>
  <c r="C207" i="119"/>
  <c r="D207" i="119" s="1"/>
  <c r="E158" i="6"/>
  <c r="B58" i="15" s="1"/>
  <c r="R67" i="15" s="1"/>
  <c r="C89" i="6"/>
  <c r="J43" i="33"/>
  <c r="K46" i="33" s="1"/>
  <c r="G19" i="34"/>
  <c r="G22" i="34" s="1"/>
  <c r="K47" i="33"/>
  <c r="H19" i="34" s="1"/>
  <c r="J163" i="15"/>
  <c r="J146" i="15"/>
  <c r="J149" i="15"/>
  <c r="J158" i="15"/>
  <c r="J156" i="15"/>
  <c r="J176" i="15"/>
  <c r="J174" i="15"/>
  <c r="J152" i="15"/>
  <c r="J180" i="15"/>
  <c r="J154" i="15"/>
  <c r="J169" i="15"/>
  <c r="J151" i="15"/>
  <c r="J145" i="15"/>
  <c r="J171" i="15"/>
  <c r="J181" i="15"/>
  <c r="J172" i="15"/>
  <c r="J139" i="15"/>
  <c r="J141" i="15"/>
  <c r="J175" i="15"/>
  <c r="J165" i="15"/>
  <c r="J153" i="15"/>
  <c r="J144" i="15"/>
  <c r="J140" i="15"/>
  <c r="J147" i="15"/>
  <c r="J178" i="15"/>
  <c r="J170" i="15"/>
  <c r="J164" i="15"/>
  <c r="J179" i="15"/>
  <c r="J177" i="15"/>
  <c r="J148" i="15"/>
  <c r="J155" i="15"/>
  <c r="J160" i="15"/>
  <c r="J143" i="15"/>
  <c r="J150" i="15"/>
  <c r="J173" i="15"/>
  <c r="J159" i="15"/>
  <c r="J161" i="15"/>
  <c r="J157" i="15"/>
  <c r="J166" i="15"/>
  <c r="J167" i="15"/>
  <c r="J142" i="15"/>
  <c r="J162" i="15"/>
  <c r="J168" i="15"/>
  <c r="J204" i="15" l="1"/>
  <c r="J227" i="15"/>
  <c r="J209" i="15"/>
  <c r="J226" i="15"/>
  <c r="J189" i="15"/>
  <c r="J201" i="15"/>
  <c r="J225" i="15"/>
  <c r="J224" i="15"/>
  <c r="J190" i="15"/>
  <c r="J216" i="15"/>
  <c r="J205" i="15"/>
  <c r="J198" i="15"/>
  <c r="J228" i="15"/>
  <c r="J193" i="15"/>
  <c r="J195" i="15"/>
  <c r="J202" i="15"/>
  <c r="J211" i="15"/>
  <c r="J215" i="15"/>
  <c r="J218" i="15"/>
  <c r="J219" i="15"/>
  <c r="J212" i="15"/>
  <c r="J197" i="15"/>
  <c r="J222" i="15"/>
  <c r="J220" i="15"/>
  <c r="J206" i="15"/>
  <c r="J214" i="15"/>
  <c r="J191" i="15"/>
  <c r="J207" i="15"/>
  <c r="J192" i="15"/>
  <c r="J208" i="15"/>
  <c r="J213" i="15"/>
  <c r="J200" i="15"/>
  <c r="J217" i="15"/>
  <c r="J223" i="15"/>
  <c r="J221" i="15"/>
  <c r="R66" i="15"/>
  <c r="C98" i="6"/>
  <c r="E98" i="6" s="1"/>
  <c r="C92" i="6"/>
  <c r="E92" i="6" s="1"/>
  <c r="C95" i="6"/>
  <c r="E95" i="6" s="1"/>
  <c r="J196" i="15"/>
  <c r="J210" i="15"/>
  <c r="J194" i="15"/>
  <c r="J203" i="15"/>
  <c r="J199" i="15"/>
  <c r="E105" i="34"/>
  <c r="F83" i="34" s="1"/>
  <c r="F89" i="34" s="1"/>
  <c r="C105" i="34"/>
  <c r="D83" i="34" s="1"/>
  <c r="D84" i="34" s="1"/>
  <c r="E160" i="6" s="1"/>
  <c r="D105" i="34"/>
  <c r="E83" i="34" s="1"/>
  <c r="E84" i="34" s="1"/>
  <c r="B208" i="119"/>
  <c r="C120" i="34"/>
  <c r="C121" i="34" s="1"/>
  <c r="D77" i="34" s="1"/>
  <c r="D120" i="34"/>
  <c r="D121" i="34" s="1"/>
  <c r="E77" i="34" s="1"/>
  <c r="E120" i="34"/>
  <c r="E121" i="34" s="1"/>
  <c r="F77" i="34" s="1"/>
  <c r="C71" i="34"/>
  <c r="E71" i="34"/>
  <c r="D71" i="34"/>
  <c r="D42" i="34"/>
  <c r="H20" i="34"/>
  <c r="H22" i="34" s="1"/>
  <c r="K48" i="33"/>
  <c r="R104" i="15"/>
  <c r="R88" i="15"/>
  <c r="R77" i="15"/>
  <c r="R74" i="15"/>
  <c r="R68" i="15"/>
  <c r="R100" i="15"/>
  <c r="R96" i="15"/>
  <c r="R92" i="15"/>
  <c r="R71" i="15"/>
  <c r="R79" i="15"/>
  <c r="R103" i="15"/>
  <c r="R91" i="15"/>
  <c r="R87" i="15"/>
  <c r="R69" i="15"/>
  <c r="R107" i="15"/>
  <c r="R99" i="15"/>
  <c r="R95" i="15"/>
  <c r="R70" i="15"/>
  <c r="R81" i="15"/>
  <c r="R78" i="15"/>
  <c r="R98" i="15"/>
  <c r="R94" i="15"/>
  <c r="R86" i="15"/>
  <c r="R85" i="15"/>
  <c r="R75" i="15"/>
  <c r="R106" i="15"/>
  <c r="R102" i="15"/>
  <c r="R90" i="15"/>
  <c r="R83" i="15"/>
  <c r="R80" i="15"/>
  <c r="R76" i="15"/>
  <c r="R105" i="15"/>
  <c r="R101" i="15"/>
  <c r="R97" i="15"/>
  <c r="R93" i="15"/>
  <c r="R89" i="15"/>
  <c r="R72" i="15"/>
  <c r="R84" i="15"/>
  <c r="R82" i="15"/>
  <c r="R73" i="15"/>
  <c r="C93" i="6"/>
  <c r="E93" i="6" s="1"/>
  <c r="J231" i="15" l="1"/>
  <c r="J232" i="15" s="1"/>
  <c r="J233" i="15" s="1"/>
  <c r="D89" i="34"/>
  <c r="D78" i="34" s="1"/>
  <c r="D80" i="34" s="1"/>
  <c r="F84" i="34"/>
  <c r="E89" i="34"/>
  <c r="E90" i="34" s="1"/>
  <c r="F105" i="34"/>
  <c r="G83" i="34" s="1"/>
  <c r="G84" i="34" s="1"/>
  <c r="C208" i="119"/>
  <c r="D208" i="119" s="1"/>
  <c r="F120" i="34"/>
  <c r="F121" i="34" s="1"/>
  <c r="G77" i="34" s="1"/>
  <c r="E162" i="6" s="1"/>
  <c r="E163" i="6" s="1"/>
  <c r="E99" i="6"/>
  <c r="R114" i="15"/>
  <c r="R116" i="15"/>
  <c r="R117" i="15" s="1"/>
  <c r="V48" i="119" s="1"/>
  <c r="E167" i="119" s="1"/>
  <c r="R115" i="15"/>
  <c r="B125" i="15" s="1"/>
  <c r="F78" i="34"/>
  <c r="F80" i="34" s="1"/>
  <c r="F90" i="34"/>
  <c r="G18" i="17" l="1"/>
  <c r="H18" i="17" s="1"/>
  <c r="G26" i="17"/>
  <c r="H26" i="17" s="1"/>
  <c r="G34" i="17"/>
  <c r="H34" i="17" s="1"/>
  <c r="G42" i="17"/>
  <c r="H42" i="17" s="1"/>
  <c r="G50" i="17"/>
  <c r="H50" i="17" s="1"/>
  <c r="G21" i="17"/>
  <c r="H21" i="17" s="1"/>
  <c r="I71" i="15" s="1"/>
  <c r="B55" i="14" s="1"/>
  <c r="G29" i="17"/>
  <c r="H29" i="17" s="1"/>
  <c r="G37" i="17"/>
  <c r="H37" i="17" s="1"/>
  <c r="I87" i="15" s="1"/>
  <c r="B71" i="14" s="1"/>
  <c r="G45" i="17"/>
  <c r="H45" i="17" s="1"/>
  <c r="I95" i="15" s="1"/>
  <c r="B79" i="14" s="1"/>
  <c r="G53" i="17"/>
  <c r="H53" i="17" s="1"/>
  <c r="G33" i="17"/>
  <c r="H33" i="17" s="1"/>
  <c r="I83" i="15" s="1"/>
  <c r="B67" i="14" s="1"/>
  <c r="G57" i="17"/>
  <c r="H57" i="17" s="1"/>
  <c r="I107" i="15" s="1"/>
  <c r="B91" i="14" s="1"/>
  <c r="G24" i="17"/>
  <c r="H24" i="17" s="1"/>
  <c r="I74" i="15" s="1"/>
  <c r="B58" i="14" s="1"/>
  <c r="G32" i="17"/>
  <c r="H32" i="17" s="1"/>
  <c r="I82" i="15" s="1"/>
  <c r="B66" i="14" s="1"/>
  <c r="G40" i="17"/>
  <c r="H40" i="17" s="1"/>
  <c r="G48" i="17"/>
  <c r="H48" i="17" s="1"/>
  <c r="I98" i="15" s="1"/>
  <c r="B82" i="14" s="1"/>
  <c r="G56" i="17"/>
  <c r="H56" i="17" s="1"/>
  <c r="I106" i="15" s="1"/>
  <c r="B90" i="14" s="1"/>
  <c r="G22" i="17"/>
  <c r="H22" i="17" s="1"/>
  <c r="I72" i="15" s="1"/>
  <c r="B56" i="14" s="1"/>
  <c r="G25" i="17"/>
  <c r="H25" i="17" s="1"/>
  <c r="I75" i="15" s="1"/>
  <c r="B59" i="14" s="1"/>
  <c r="G49" i="17"/>
  <c r="H49" i="17" s="1"/>
  <c r="G19" i="17"/>
  <c r="H19" i="17" s="1"/>
  <c r="G27" i="17"/>
  <c r="H27" i="17" s="1"/>
  <c r="G35" i="17"/>
  <c r="H35" i="17" s="1"/>
  <c r="I85" i="15" s="1"/>
  <c r="B69" i="14" s="1"/>
  <c r="G43" i="17"/>
  <c r="H43" i="17" s="1"/>
  <c r="G51" i="17"/>
  <c r="H51" i="17" s="1"/>
  <c r="I101" i="15" s="1"/>
  <c r="B85" i="14" s="1"/>
  <c r="G30" i="17"/>
  <c r="H30" i="17" s="1"/>
  <c r="G38" i="17"/>
  <c r="H38" i="17" s="1"/>
  <c r="I88" i="15" s="1"/>
  <c r="B72" i="14" s="1"/>
  <c r="G46" i="17"/>
  <c r="H46" i="17" s="1"/>
  <c r="G54" i="17"/>
  <c r="H54" i="17" s="1"/>
  <c r="G41" i="17"/>
  <c r="H41" i="17" s="1"/>
  <c r="G20" i="17"/>
  <c r="H20" i="17" s="1"/>
  <c r="G28" i="17"/>
  <c r="H28" i="17" s="1"/>
  <c r="I78" i="15" s="1"/>
  <c r="B62" i="14" s="1"/>
  <c r="G36" i="17"/>
  <c r="H36" i="17" s="1"/>
  <c r="G44" i="17"/>
  <c r="H44" i="17" s="1"/>
  <c r="I94" i="15" s="1"/>
  <c r="B78" i="14" s="1"/>
  <c r="G52" i="17"/>
  <c r="H52" i="17" s="1"/>
  <c r="I102" i="15" s="1"/>
  <c r="B86" i="14" s="1"/>
  <c r="G23" i="17"/>
  <c r="H23" i="17" s="1"/>
  <c r="G31" i="17"/>
  <c r="H31" i="17" s="1"/>
  <c r="G39" i="17"/>
  <c r="H39" i="17" s="1"/>
  <c r="G47" i="17"/>
  <c r="H47" i="17" s="1"/>
  <c r="I97" i="15" s="1"/>
  <c r="B81" i="14" s="1"/>
  <c r="G55" i="17"/>
  <c r="H55" i="17" s="1"/>
  <c r="G89" i="34"/>
  <c r="G90" i="34" s="1"/>
  <c r="D90" i="34"/>
  <c r="E78" i="34"/>
  <c r="E80" i="34" s="1"/>
  <c r="B209" i="119"/>
  <c r="C108" i="6"/>
  <c r="C15" i="34" s="1"/>
  <c r="I79" i="15" l="1"/>
  <c r="B63" i="14" s="1"/>
  <c r="M63" i="14" s="1"/>
  <c r="I91" i="15"/>
  <c r="B75" i="14" s="1"/>
  <c r="V75" i="14" s="1"/>
  <c r="I105" i="15"/>
  <c r="B89" i="14" s="1"/>
  <c r="R89" i="14" s="1"/>
  <c r="I86" i="15"/>
  <c r="B70" i="14" s="1"/>
  <c r="K70" i="14" s="1"/>
  <c r="I92" i="15"/>
  <c r="B76" i="14" s="1"/>
  <c r="V76" i="14" s="1"/>
  <c r="I84" i="15"/>
  <c r="B68" i="14" s="1"/>
  <c r="L68" i="14" s="1"/>
  <c r="I96" i="15"/>
  <c r="B80" i="14" s="1"/>
  <c r="O80" i="14" s="1"/>
  <c r="I70" i="15"/>
  <c r="B54" i="14" s="1"/>
  <c r="R54" i="14" s="1"/>
  <c r="I68" i="15"/>
  <c r="I66" i="15"/>
  <c r="I99" i="15"/>
  <c r="B83" i="14" s="1"/>
  <c r="R83" i="14" s="1"/>
  <c r="I77" i="15"/>
  <c r="B61" i="14" s="1"/>
  <c r="M61" i="14" s="1"/>
  <c r="I90" i="15"/>
  <c r="B74" i="14" s="1"/>
  <c r="N74" i="14" s="1"/>
  <c r="I100" i="15"/>
  <c r="B84" i="14" s="1"/>
  <c r="O84" i="14" s="1"/>
  <c r="I103" i="15"/>
  <c r="B87" i="14" s="1"/>
  <c r="N87" i="14" s="1"/>
  <c r="I104" i="15"/>
  <c r="B88" i="14" s="1"/>
  <c r="N88" i="14" s="1"/>
  <c r="I80" i="15"/>
  <c r="B64" i="14" s="1"/>
  <c r="M64" i="14" s="1"/>
  <c r="I69" i="15"/>
  <c r="B53" i="14" s="1"/>
  <c r="V53" i="14" s="1"/>
  <c r="I67" i="15"/>
  <c r="B51" i="14" s="1"/>
  <c r="I73" i="15"/>
  <c r="B57" i="14" s="1"/>
  <c r="J57" i="14" s="1"/>
  <c r="I89" i="15"/>
  <c r="B73" i="14" s="1"/>
  <c r="I73" i="14" s="1"/>
  <c r="I81" i="15"/>
  <c r="B65" i="14" s="1"/>
  <c r="R65" i="14" s="1"/>
  <c r="I93" i="15"/>
  <c r="B77" i="14" s="1"/>
  <c r="O77" i="14" s="1"/>
  <c r="I76" i="15"/>
  <c r="B60" i="14" s="1"/>
  <c r="T60" i="14" s="1"/>
  <c r="G78" i="34"/>
  <c r="G80" i="34" s="1"/>
  <c r="C209" i="119"/>
  <c r="D209" i="119" s="1"/>
  <c r="B51" i="15"/>
  <c r="H65" i="15" s="1"/>
  <c r="E118" i="6"/>
  <c r="E124" i="6" s="1"/>
  <c r="C9" i="119" s="1"/>
  <c r="I199" i="119" s="1"/>
  <c r="C8" i="119"/>
  <c r="F79" i="14"/>
  <c r="S79" i="14"/>
  <c r="G79" i="14"/>
  <c r="O79" i="14"/>
  <c r="J79" i="14"/>
  <c r="N79" i="14"/>
  <c r="T79" i="14"/>
  <c r="K79" i="14"/>
  <c r="M79" i="14"/>
  <c r="U79" i="14"/>
  <c r="D79" i="14"/>
  <c r="L79" i="14"/>
  <c r="H79" i="14"/>
  <c r="P79" i="14"/>
  <c r="I79" i="14"/>
  <c r="V79" i="14"/>
  <c r="Q79" i="14"/>
  <c r="R79" i="14"/>
  <c r="E79" i="14"/>
  <c r="W79" i="14"/>
  <c r="C79" i="14"/>
  <c r="G56" i="14"/>
  <c r="U56" i="14"/>
  <c r="L56" i="14"/>
  <c r="R56" i="14"/>
  <c r="T56" i="14"/>
  <c r="H56" i="14"/>
  <c r="D56" i="14"/>
  <c r="I56" i="14"/>
  <c r="O56" i="14"/>
  <c r="K56" i="14"/>
  <c r="J56" i="14"/>
  <c r="S56" i="14"/>
  <c r="N56" i="14"/>
  <c r="F56" i="14"/>
  <c r="M56" i="14"/>
  <c r="Q56" i="14"/>
  <c r="E56" i="14"/>
  <c r="P56" i="14"/>
  <c r="V56" i="14"/>
  <c r="C56" i="14"/>
  <c r="W56" i="14"/>
  <c r="O71" i="14"/>
  <c r="Q71" i="14"/>
  <c r="S71" i="14"/>
  <c r="F71" i="14"/>
  <c r="L71" i="14"/>
  <c r="I71" i="14"/>
  <c r="T71" i="14"/>
  <c r="V71" i="14"/>
  <c r="M71" i="14"/>
  <c r="G71" i="14"/>
  <c r="J71" i="14"/>
  <c r="H71" i="14"/>
  <c r="N71" i="14"/>
  <c r="K71" i="14"/>
  <c r="E71" i="14"/>
  <c r="R71" i="14"/>
  <c r="P71" i="14"/>
  <c r="U71" i="14"/>
  <c r="D71" i="14"/>
  <c r="C71" i="14"/>
  <c r="W71" i="14"/>
  <c r="T59" i="14"/>
  <c r="E59" i="14"/>
  <c r="I59" i="14"/>
  <c r="V59" i="14"/>
  <c r="G59" i="14"/>
  <c r="F59" i="14"/>
  <c r="L59" i="14"/>
  <c r="M59" i="14"/>
  <c r="O59" i="14"/>
  <c r="R59" i="14"/>
  <c r="P59" i="14"/>
  <c r="K59" i="14"/>
  <c r="U59" i="14"/>
  <c r="S59" i="14"/>
  <c r="D59" i="14"/>
  <c r="N59" i="14"/>
  <c r="H59" i="14"/>
  <c r="J59" i="14"/>
  <c r="Q59" i="14"/>
  <c r="C59" i="14"/>
  <c r="W59" i="14"/>
  <c r="O85" i="14"/>
  <c r="U85" i="14"/>
  <c r="W85" i="14"/>
  <c r="J85" i="14"/>
  <c r="L85" i="14"/>
  <c r="V85" i="14"/>
  <c r="H85" i="14"/>
  <c r="D85" i="14"/>
  <c r="F85" i="14"/>
  <c r="Q85" i="14"/>
  <c r="K85" i="14"/>
  <c r="T85" i="14"/>
  <c r="S85" i="14"/>
  <c r="R85" i="14"/>
  <c r="G85" i="14"/>
  <c r="I85" i="14"/>
  <c r="N85" i="14"/>
  <c r="M85" i="14"/>
  <c r="P85" i="14"/>
  <c r="E85" i="14"/>
  <c r="C85" i="14"/>
  <c r="H86" i="14"/>
  <c r="I86" i="14"/>
  <c r="L86" i="14"/>
  <c r="J86" i="14"/>
  <c r="R86" i="14"/>
  <c r="T86" i="14"/>
  <c r="N86" i="14"/>
  <c r="D86" i="14"/>
  <c r="O86" i="14"/>
  <c r="F86" i="14"/>
  <c r="E86" i="14"/>
  <c r="K86" i="14"/>
  <c r="W86" i="14"/>
  <c r="U86" i="14"/>
  <c r="S86" i="14"/>
  <c r="Q86" i="14"/>
  <c r="M86" i="14"/>
  <c r="V86" i="14"/>
  <c r="P86" i="14"/>
  <c r="G86" i="14"/>
  <c r="C86" i="14"/>
  <c r="D82" i="14"/>
  <c r="E82" i="14"/>
  <c r="P82" i="14"/>
  <c r="U82" i="14"/>
  <c r="F82" i="14"/>
  <c r="S82" i="14"/>
  <c r="G82" i="14"/>
  <c r="O82" i="14"/>
  <c r="R82" i="14"/>
  <c r="V82" i="14"/>
  <c r="J82" i="14"/>
  <c r="M82" i="14"/>
  <c r="Q82" i="14"/>
  <c r="W82" i="14"/>
  <c r="I82" i="14"/>
  <c r="L82" i="14"/>
  <c r="T82" i="14"/>
  <c r="K82" i="14"/>
  <c r="N82" i="14"/>
  <c r="H82" i="14"/>
  <c r="C82" i="14"/>
  <c r="K69" i="14"/>
  <c r="O69" i="14"/>
  <c r="D69" i="14"/>
  <c r="S69" i="14"/>
  <c r="E69" i="14"/>
  <c r="P69" i="14"/>
  <c r="F69" i="14"/>
  <c r="Q69" i="14"/>
  <c r="U69" i="14"/>
  <c r="I69" i="14"/>
  <c r="G69" i="14"/>
  <c r="M69" i="14"/>
  <c r="R69" i="14"/>
  <c r="L69" i="14"/>
  <c r="T69" i="14"/>
  <c r="V69" i="14"/>
  <c r="J69" i="14"/>
  <c r="H69" i="14"/>
  <c r="N69" i="14"/>
  <c r="C69" i="14"/>
  <c r="W69" i="14"/>
  <c r="M55" i="14"/>
  <c r="H55" i="14"/>
  <c r="R55" i="14"/>
  <c r="N55" i="14"/>
  <c r="E55" i="14"/>
  <c r="G55" i="14"/>
  <c r="I55" i="14"/>
  <c r="F55" i="14"/>
  <c r="O55" i="14"/>
  <c r="V55" i="14"/>
  <c r="K55" i="14"/>
  <c r="T55" i="14"/>
  <c r="L55" i="14"/>
  <c r="D55" i="14"/>
  <c r="Q55" i="14"/>
  <c r="U55" i="14"/>
  <c r="S55" i="14"/>
  <c r="J55" i="14"/>
  <c r="P55" i="14"/>
  <c r="C55" i="14"/>
  <c r="W55" i="14"/>
  <c r="E78" i="14"/>
  <c r="U78" i="14"/>
  <c r="O78" i="14"/>
  <c r="P78" i="14"/>
  <c r="T78" i="14"/>
  <c r="S78" i="14"/>
  <c r="Q78" i="14"/>
  <c r="J78" i="14"/>
  <c r="D78" i="14"/>
  <c r="W78" i="14"/>
  <c r="F78" i="14"/>
  <c r="V78" i="14"/>
  <c r="H78" i="14"/>
  <c r="G78" i="14"/>
  <c r="L78" i="14"/>
  <c r="R78" i="14"/>
  <c r="K78" i="14"/>
  <c r="N78" i="14"/>
  <c r="I78" i="14"/>
  <c r="M78" i="14"/>
  <c r="C78" i="14"/>
  <c r="D62" i="14"/>
  <c r="G62" i="14"/>
  <c r="R62" i="14"/>
  <c r="I62" i="14"/>
  <c r="E62" i="14"/>
  <c r="V62" i="14"/>
  <c r="P62" i="14"/>
  <c r="J62" i="14"/>
  <c r="F62" i="14"/>
  <c r="U62" i="14"/>
  <c r="O62" i="14"/>
  <c r="M62" i="14"/>
  <c r="H62" i="14"/>
  <c r="T62" i="14"/>
  <c r="L62" i="14"/>
  <c r="S62" i="14"/>
  <c r="K62" i="14"/>
  <c r="N62" i="14"/>
  <c r="Q62" i="14"/>
  <c r="C62" i="14"/>
  <c r="W62" i="14"/>
  <c r="Q58" i="14"/>
  <c r="N58" i="14"/>
  <c r="P58" i="14"/>
  <c r="L58" i="14"/>
  <c r="I58" i="14"/>
  <c r="J58" i="14"/>
  <c r="S58" i="14"/>
  <c r="U58" i="14"/>
  <c r="H58" i="14"/>
  <c r="G58" i="14"/>
  <c r="E58" i="14"/>
  <c r="K58" i="14"/>
  <c r="V58" i="14"/>
  <c r="O58" i="14"/>
  <c r="M58" i="14"/>
  <c r="T58" i="14"/>
  <c r="F58" i="14"/>
  <c r="D58" i="14"/>
  <c r="R58" i="14"/>
  <c r="C58" i="14"/>
  <c r="W58" i="14"/>
  <c r="V81" i="14"/>
  <c r="F81" i="14"/>
  <c r="S81" i="14"/>
  <c r="L81" i="14"/>
  <c r="Q81" i="14"/>
  <c r="J81" i="14"/>
  <c r="W81" i="14"/>
  <c r="R81" i="14"/>
  <c r="K81" i="14"/>
  <c r="N81" i="14"/>
  <c r="M81" i="14"/>
  <c r="E81" i="14"/>
  <c r="T81" i="14"/>
  <c r="U81" i="14"/>
  <c r="I81" i="14"/>
  <c r="H81" i="14"/>
  <c r="O81" i="14"/>
  <c r="D81" i="14"/>
  <c r="P81" i="14"/>
  <c r="G81" i="14"/>
  <c r="C81" i="14"/>
  <c r="M72" i="14"/>
  <c r="G72" i="14"/>
  <c r="K72" i="14"/>
  <c r="E72" i="14"/>
  <c r="O72" i="14"/>
  <c r="T72" i="14"/>
  <c r="J72" i="14"/>
  <c r="P72" i="14"/>
  <c r="S72" i="14"/>
  <c r="U72" i="14"/>
  <c r="V72" i="14"/>
  <c r="Q72" i="14"/>
  <c r="D72" i="14"/>
  <c r="N72" i="14"/>
  <c r="L72" i="14"/>
  <c r="H72" i="14"/>
  <c r="R72" i="14"/>
  <c r="F72" i="14"/>
  <c r="I72" i="14"/>
  <c r="C72" i="14"/>
  <c r="W72" i="14"/>
  <c r="H90" i="14"/>
  <c r="K90" i="14"/>
  <c r="U90" i="14"/>
  <c r="T90" i="14"/>
  <c r="G90" i="14"/>
  <c r="I90" i="14"/>
  <c r="J90" i="14"/>
  <c r="S90" i="14"/>
  <c r="V90" i="14"/>
  <c r="D90" i="14"/>
  <c r="M90" i="14"/>
  <c r="N90" i="14"/>
  <c r="W90" i="14"/>
  <c r="O90" i="14"/>
  <c r="P90" i="14"/>
  <c r="F90" i="14"/>
  <c r="L90" i="14"/>
  <c r="Q90" i="14"/>
  <c r="E90" i="14"/>
  <c r="R90" i="14"/>
  <c r="C90" i="14"/>
  <c r="S91" i="14"/>
  <c r="J91" i="14"/>
  <c r="O91" i="14"/>
  <c r="R91" i="14"/>
  <c r="H91" i="14"/>
  <c r="D91" i="14"/>
  <c r="V91" i="14"/>
  <c r="T91" i="14"/>
  <c r="L91" i="14"/>
  <c r="W91" i="14"/>
  <c r="B164" i="14" s="1"/>
  <c r="N91" i="14"/>
  <c r="Q91" i="14"/>
  <c r="K91" i="14"/>
  <c r="U91" i="14"/>
  <c r="C91" i="14"/>
  <c r="P91" i="14"/>
  <c r="E91" i="14"/>
  <c r="I91" i="14"/>
  <c r="F91" i="14"/>
  <c r="M91" i="14"/>
  <c r="G91" i="14"/>
  <c r="L67" i="14"/>
  <c r="K67" i="14"/>
  <c r="F67" i="14"/>
  <c r="D67" i="14"/>
  <c r="G67" i="14"/>
  <c r="P67" i="14"/>
  <c r="N67" i="14"/>
  <c r="S67" i="14"/>
  <c r="M67" i="14"/>
  <c r="I67" i="14"/>
  <c r="O67" i="14"/>
  <c r="T67" i="14"/>
  <c r="R67" i="14"/>
  <c r="V67" i="14"/>
  <c r="U67" i="14"/>
  <c r="E67" i="14"/>
  <c r="J67" i="14"/>
  <c r="Q67" i="14"/>
  <c r="H67" i="14"/>
  <c r="C67" i="14"/>
  <c r="W67" i="14"/>
  <c r="G66" i="14"/>
  <c r="H66" i="14"/>
  <c r="R66" i="14"/>
  <c r="M66" i="14"/>
  <c r="D66" i="14"/>
  <c r="J66" i="14"/>
  <c r="O66" i="14"/>
  <c r="I66" i="14"/>
  <c r="V66" i="14"/>
  <c r="E66" i="14"/>
  <c r="P66" i="14"/>
  <c r="K66" i="14"/>
  <c r="T66" i="14"/>
  <c r="U66" i="14"/>
  <c r="F66" i="14"/>
  <c r="S66" i="14"/>
  <c r="Q66" i="14"/>
  <c r="L66" i="14"/>
  <c r="N66" i="14"/>
  <c r="C66" i="14"/>
  <c r="W66" i="14"/>
  <c r="S64" i="14" l="1"/>
  <c r="N70" i="14"/>
  <c r="J70" i="14"/>
  <c r="E70" i="14"/>
  <c r="F70" i="14"/>
  <c r="L70" i="14"/>
  <c r="T70" i="14"/>
  <c r="R70" i="14"/>
  <c r="W70" i="14"/>
  <c r="S63" i="14"/>
  <c r="O64" i="14"/>
  <c r="J64" i="14"/>
  <c r="I63" i="14"/>
  <c r="P64" i="14"/>
  <c r="D63" i="14"/>
  <c r="F64" i="14"/>
  <c r="D89" i="14"/>
  <c r="G89" i="14"/>
  <c r="U89" i="14"/>
  <c r="O89" i="14"/>
  <c r="I89" i="14"/>
  <c r="V89" i="14"/>
  <c r="Q89" i="14"/>
  <c r="T89" i="14"/>
  <c r="W89" i="14"/>
  <c r="B162" i="14" s="1"/>
  <c r="P89" i="14"/>
  <c r="V70" i="14"/>
  <c r="Q70" i="14"/>
  <c r="S70" i="14"/>
  <c r="P70" i="14"/>
  <c r="C70" i="14"/>
  <c r="I70" i="14"/>
  <c r="G70" i="14"/>
  <c r="O70" i="14"/>
  <c r="L89" i="14"/>
  <c r="F89" i="14"/>
  <c r="H89" i="14"/>
  <c r="M89" i="14"/>
  <c r="C89" i="14"/>
  <c r="N89" i="14"/>
  <c r="U75" i="14"/>
  <c r="H75" i="14"/>
  <c r="L63" i="14"/>
  <c r="P63" i="14"/>
  <c r="W64" i="14"/>
  <c r="V63" i="14"/>
  <c r="I64" i="14"/>
  <c r="G64" i="14"/>
  <c r="N63" i="14"/>
  <c r="U64" i="14"/>
  <c r="N64" i="14"/>
  <c r="K64" i="14"/>
  <c r="Q63" i="14"/>
  <c r="H83" i="14"/>
  <c r="C64" i="14"/>
  <c r="V64" i="14"/>
  <c r="T64" i="14"/>
  <c r="E63" i="14"/>
  <c r="O63" i="14"/>
  <c r="L64" i="14"/>
  <c r="H64" i="14"/>
  <c r="E64" i="14"/>
  <c r="C63" i="14"/>
  <c r="U63" i="14"/>
  <c r="K63" i="14"/>
  <c r="D64" i="14"/>
  <c r="R64" i="14"/>
  <c r="J63" i="14"/>
  <c r="G63" i="14"/>
  <c r="Q64" i="14"/>
  <c r="R63" i="14"/>
  <c r="H63" i="14"/>
  <c r="N75" i="14"/>
  <c r="S75" i="14"/>
  <c r="J75" i="14"/>
  <c r="F63" i="14"/>
  <c r="T75" i="14"/>
  <c r="F75" i="14"/>
  <c r="D75" i="14"/>
  <c r="K75" i="14"/>
  <c r="M75" i="14"/>
  <c r="I75" i="14"/>
  <c r="T53" i="14"/>
  <c r="E75" i="14"/>
  <c r="L75" i="14"/>
  <c r="W63" i="14"/>
  <c r="T63" i="14"/>
  <c r="G75" i="14"/>
  <c r="G76" i="14"/>
  <c r="I76" i="14"/>
  <c r="T76" i="14"/>
  <c r="U76" i="14"/>
  <c r="O76" i="14"/>
  <c r="Q75" i="14"/>
  <c r="W75" i="14"/>
  <c r="C75" i="14"/>
  <c r="R75" i="14"/>
  <c r="O75" i="14"/>
  <c r="P75" i="14"/>
  <c r="D76" i="14"/>
  <c r="N76" i="14"/>
  <c r="F76" i="14"/>
  <c r="F84" i="14"/>
  <c r="O65" i="14"/>
  <c r="H84" i="14"/>
  <c r="D65" i="14"/>
  <c r="F68" i="14"/>
  <c r="U65" i="14"/>
  <c r="P65" i="14"/>
  <c r="K84" i="14"/>
  <c r="F65" i="14"/>
  <c r="Q84" i="14"/>
  <c r="N84" i="14"/>
  <c r="F83" i="14"/>
  <c r="E83" i="14"/>
  <c r="J83" i="14"/>
  <c r="H70" i="14"/>
  <c r="U70" i="14"/>
  <c r="M70" i="14"/>
  <c r="E89" i="14"/>
  <c r="S89" i="14"/>
  <c r="D70" i="14"/>
  <c r="J89" i="14"/>
  <c r="K89" i="14"/>
  <c r="K87" i="14"/>
  <c r="T77" i="14"/>
  <c r="I77" i="14"/>
  <c r="E87" i="14"/>
  <c r="E77" i="14"/>
  <c r="Q87" i="14"/>
  <c r="G77" i="14"/>
  <c r="K77" i="14"/>
  <c r="F87" i="14"/>
  <c r="M77" i="14"/>
  <c r="D87" i="14"/>
  <c r="W77" i="14"/>
  <c r="G87" i="14"/>
  <c r="F77" i="14"/>
  <c r="O87" i="14"/>
  <c r="U77" i="14"/>
  <c r="S87" i="14"/>
  <c r="S76" i="14"/>
  <c r="R76" i="14"/>
  <c r="C76" i="14"/>
  <c r="W76" i="14"/>
  <c r="Q76" i="14"/>
  <c r="K76" i="14"/>
  <c r="J76" i="14"/>
  <c r="M76" i="14"/>
  <c r="P76" i="14"/>
  <c r="E76" i="14"/>
  <c r="H76" i="14"/>
  <c r="L76" i="14"/>
  <c r="N77" i="14"/>
  <c r="D77" i="14"/>
  <c r="I87" i="14"/>
  <c r="M87" i="14"/>
  <c r="P87" i="14"/>
  <c r="L80" i="14"/>
  <c r="H77" i="14"/>
  <c r="S77" i="14"/>
  <c r="U87" i="14"/>
  <c r="V87" i="14"/>
  <c r="L87" i="14"/>
  <c r="Q80" i="14"/>
  <c r="J77" i="14"/>
  <c r="L77" i="14"/>
  <c r="H87" i="14"/>
  <c r="J87" i="14"/>
  <c r="F80" i="14"/>
  <c r="C77" i="14"/>
  <c r="V77" i="14"/>
  <c r="Q77" i="14"/>
  <c r="W87" i="14"/>
  <c r="T87" i="14"/>
  <c r="S80" i="14"/>
  <c r="R77" i="14"/>
  <c r="P77" i="14"/>
  <c r="C87" i="14"/>
  <c r="R87" i="14"/>
  <c r="G80" i="14"/>
  <c r="R80" i="14"/>
  <c r="C80" i="14"/>
  <c r="J80" i="14"/>
  <c r="V80" i="14"/>
  <c r="H80" i="14"/>
  <c r="N80" i="14"/>
  <c r="W80" i="14"/>
  <c r="T80" i="14"/>
  <c r="E80" i="14"/>
  <c r="P80" i="14"/>
  <c r="U80" i="14"/>
  <c r="D80" i="14"/>
  <c r="M80" i="14"/>
  <c r="I80" i="14"/>
  <c r="K80" i="14"/>
  <c r="I54" i="14"/>
  <c r="Q88" i="14"/>
  <c r="K54" i="14"/>
  <c r="F54" i="14"/>
  <c r="M88" i="14"/>
  <c r="E88" i="14"/>
  <c r="O88" i="14"/>
  <c r="N54" i="14"/>
  <c r="G88" i="14"/>
  <c r="L54" i="14"/>
  <c r="Q54" i="14"/>
  <c r="C88" i="14"/>
  <c r="D84" i="14"/>
  <c r="M84" i="14"/>
  <c r="R84" i="14"/>
  <c r="C65" i="14"/>
  <c r="Q65" i="14"/>
  <c r="I65" i="14"/>
  <c r="E84" i="14"/>
  <c r="S84" i="14"/>
  <c r="J84" i="14"/>
  <c r="J65" i="14"/>
  <c r="N65" i="14"/>
  <c r="G65" i="14"/>
  <c r="L84" i="14"/>
  <c r="G84" i="14"/>
  <c r="L65" i="14"/>
  <c r="K65" i="14"/>
  <c r="M65" i="14"/>
  <c r="W84" i="14"/>
  <c r="V84" i="14"/>
  <c r="V65" i="14"/>
  <c r="H65" i="14"/>
  <c r="W68" i="14"/>
  <c r="C84" i="14"/>
  <c r="T84" i="14"/>
  <c r="I84" i="14"/>
  <c r="E65" i="14"/>
  <c r="T65" i="14"/>
  <c r="D68" i="14"/>
  <c r="P84" i="14"/>
  <c r="U84" i="14"/>
  <c r="W65" i="14"/>
  <c r="S65" i="14"/>
  <c r="O54" i="14"/>
  <c r="V54" i="14"/>
  <c r="H88" i="14"/>
  <c r="R88" i="14"/>
  <c r="T88" i="14"/>
  <c r="D54" i="14"/>
  <c r="H54" i="14"/>
  <c r="I88" i="14"/>
  <c r="V88" i="14"/>
  <c r="P88" i="14"/>
  <c r="G54" i="14"/>
  <c r="T54" i="14"/>
  <c r="K88" i="14"/>
  <c r="F88" i="14"/>
  <c r="W54" i="14"/>
  <c r="S54" i="14"/>
  <c r="M54" i="14"/>
  <c r="W88" i="14"/>
  <c r="D88" i="14"/>
  <c r="C54" i="14"/>
  <c r="U54" i="14"/>
  <c r="J54" i="14"/>
  <c r="J88" i="14"/>
  <c r="L88" i="14"/>
  <c r="E54" i="14"/>
  <c r="P54" i="14"/>
  <c r="S88" i="14"/>
  <c r="U88" i="14"/>
  <c r="I68" i="14"/>
  <c r="P68" i="14"/>
  <c r="H68" i="14"/>
  <c r="K68" i="14"/>
  <c r="N68" i="14"/>
  <c r="T68" i="14"/>
  <c r="P53" i="14"/>
  <c r="D53" i="14"/>
  <c r="K53" i="14"/>
  <c r="J53" i="14"/>
  <c r="R53" i="14"/>
  <c r="G53" i="14"/>
  <c r="M53" i="14"/>
  <c r="L53" i="14"/>
  <c r="V68" i="14"/>
  <c r="G68" i="14"/>
  <c r="U68" i="14"/>
  <c r="C68" i="14"/>
  <c r="Q68" i="14"/>
  <c r="J68" i="14"/>
  <c r="M68" i="14"/>
  <c r="E68" i="14"/>
  <c r="S68" i="14"/>
  <c r="O68" i="14"/>
  <c r="R68" i="14"/>
  <c r="P73" i="14"/>
  <c r="S83" i="14"/>
  <c r="G83" i="14"/>
  <c r="P83" i="14"/>
  <c r="W83" i="14"/>
  <c r="I83" i="14"/>
  <c r="U83" i="14"/>
  <c r="K83" i="14"/>
  <c r="T83" i="14"/>
  <c r="Q83" i="14"/>
  <c r="C83" i="14"/>
  <c r="L83" i="14"/>
  <c r="D83" i="14"/>
  <c r="N83" i="14"/>
  <c r="M83" i="14"/>
  <c r="V83" i="14"/>
  <c r="O83" i="14"/>
  <c r="W73" i="14"/>
  <c r="Q74" i="14"/>
  <c r="W53" i="14"/>
  <c r="U53" i="14"/>
  <c r="Q53" i="14"/>
  <c r="C53" i="14"/>
  <c r="S53" i="14"/>
  <c r="F53" i="14"/>
  <c r="N53" i="14"/>
  <c r="O53" i="14"/>
  <c r="E53" i="14"/>
  <c r="H53" i="14"/>
  <c r="I53" i="14"/>
  <c r="T73" i="14"/>
  <c r="L74" i="14"/>
  <c r="G57" i="14"/>
  <c r="E61" i="14"/>
  <c r="L73" i="14"/>
  <c r="U74" i="14"/>
  <c r="I61" i="14"/>
  <c r="K61" i="14"/>
  <c r="M57" i="14"/>
  <c r="C73" i="14"/>
  <c r="M74" i="14"/>
  <c r="D73" i="14"/>
  <c r="F74" i="14"/>
  <c r="R73" i="14"/>
  <c r="J74" i="14"/>
  <c r="R61" i="14"/>
  <c r="F61" i="14"/>
  <c r="U61" i="14"/>
  <c r="W57" i="14"/>
  <c r="O57" i="14"/>
  <c r="T57" i="14"/>
  <c r="V73" i="14"/>
  <c r="O74" i="14"/>
  <c r="H74" i="14"/>
  <c r="N61" i="14"/>
  <c r="H61" i="14"/>
  <c r="P61" i="14"/>
  <c r="D61" i="14"/>
  <c r="V57" i="14"/>
  <c r="F57" i="14"/>
  <c r="S57" i="14"/>
  <c r="V61" i="14"/>
  <c r="J61" i="14"/>
  <c r="E57" i="14"/>
  <c r="H57" i="14"/>
  <c r="P57" i="14"/>
  <c r="T61" i="14"/>
  <c r="N57" i="14"/>
  <c r="L57" i="14"/>
  <c r="L61" i="14"/>
  <c r="S61" i="14"/>
  <c r="R57" i="14"/>
  <c r="I57" i="14"/>
  <c r="K57" i="14"/>
  <c r="O73" i="14"/>
  <c r="W74" i="14"/>
  <c r="C57" i="14"/>
  <c r="W61" i="14"/>
  <c r="G61" i="14"/>
  <c r="Q61" i="14"/>
  <c r="U57" i="14"/>
  <c r="Q57" i="14"/>
  <c r="C61" i="14"/>
  <c r="O61" i="14"/>
  <c r="D57" i="14"/>
  <c r="S73" i="14"/>
  <c r="N73" i="14"/>
  <c r="E74" i="14"/>
  <c r="K74" i="14"/>
  <c r="J73" i="14"/>
  <c r="T74" i="14"/>
  <c r="H60" i="14"/>
  <c r="Q73" i="14"/>
  <c r="M73" i="14"/>
  <c r="G74" i="14"/>
  <c r="R74" i="14"/>
  <c r="U73" i="14"/>
  <c r="H73" i="14"/>
  <c r="C74" i="14"/>
  <c r="V74" i="14"/>
  <c r="K73" i="14"/>
  <c r="E73" i="14"/>
  <c r="I74" i="14"/>
  <c r="D74" i="14"/>
  <c r="F73" i="14"/>
  <c r="G73" i="14"/>
  <c r="P74" i="14"/>
  <c r="S74" i="14"/>
  <c r="S60" i="14"/>
  <c r="N60" i="14"/>
  <c r="I60" i="14"/>
  <c r="Q60" i="14"/>
  <c r="I115" i="15"/>
  <c r="C60" i="14"/>
  <c r="P60" i="14"/>
  <c r="G60" i="14"/>
  <c r="O60" i="14"/>
  <c r="M60" i="14"/>
  <c r="U60" i="14"/>
  <c r="V60" i="14"/>
  <c r="I114" i="15"/>
  <c r="L60" i="14"/>
  <c r="T51" i="14"/>
  <c r="J51" i="14"/>
  <c r="R51" i="14"/>
  <c r="W51" i="14"/>
  <c r="Q51" i="14"/>
  <c r="V51" i="14"/>
  <c r="I51" i="14"/>
  <c r="E51" i="14"/>
  <c r="N51" i="14"/>
  <c r="D51" i="14"/>
  <c r="O51" i="14"/>
  <c r="S51" i="14"/>
  <c r="U51" i="14"/>
  <c r="H51" i="14"/>
  <c r="G51" i="14"/>
  <c r="P51" i="14"/>
  <c r="C51" i="14"/>
  <c r="F51" i="14"/>
  <c r="K51" i="14"/>
  <c r="M51" i="14"/>
  <c r="L51" i="14"/>
  <c r="E60" i="14"/>
  <c r="K60" i="14"/>
  <c r="F60" i="14"/>
  <c r="J60" i="14"/>
  <c r="D60" i="14"/>
  <c r="I116" i="15"/>
  <c r="I117" i="15" s="1"/>
  <c r="O48" i="119" s="1"/>
  <c r="E160" i="119" s="1"/>
  <c r="W60" i="14"/>
  <c r="R60" i="14"/>
  <c r="B210" i="119"/>
  <c r="C93" i="119"/>
  <c r="D93" i="119" s="1"/>
  <c r="H199" i="119"/>
  <c r="C198" i="119" s="1"/>
  <c r="B56" i="15"/>
  <c r="H8" i="119"/>
  <c r="C92" i="119" s="1"/>
  <c r="D92" i="119" s="1"/>
  <c r="I8" i="119"/>
  <c r="C94" i="119" s="1"/>
  <c r="D94" i="119" s="1"/>
  <c r="G65" i="15"/>
  <c r="B53" i="15"/>
  <c r="B55" i="15" s="1"/>
  <c r="H67" i="15"/>
  <c r="H66" i="15"/>
  <c r="B54" i="15"/>
  <c r="B163" i="14"/>
  <c r="X72" i="14"/>
  <c r="X66" i="14"/>
  <c r="X58" i="14"/>
  <c r="X82" i="14"/>
  <c r="X78" i="14"/>
  <c r="X90" i="14"/>
  <c r="X62" i="14"/>
  <c r="X67" i="14"/>
  <c r="X69" i="14"/>
  <c r="X85" i="14"/>
  <c r="X71" i="14"/>
  <c r="X81" i="14"/>
  <c r="X91" i="14"/>
  <c r="X56" i="14"/>
  <c r="C96" i="119"/>
  <c r="D96" i="119" s="1"/>
  <c r="H9" i="119"/>
  <c r="I9" i="119"/>
  <c r="C97" i="119" s="1"/>
  <c r="D97" i="119" s="1"/>
  <c r="D147" i="119" s="1"/>
  <c r="X55" i="14"/>
  <c r="X86" i="14"/>
  <c r="X59" i="14"/>
  <c r="X79" i="14"/>
  <c r="B161" i="14" l="1"/>
  <c r="X64" i="14"/>
  <c r="X63" i="14"/>
  <c r="X75" i="14"/>
  <c r="X70" i="14"/>
  <c r="X89" i="14"/>
  <c r="B158" i="14"/>
  <c r="B159" i="14"/>
  <c r="B160" i="14"/>
  <c r="X76" i="14"/>
  <c r="B151" i="14"/>
  <c r="X77" i="14"/>
  <c r="X87" i="14"/>
  <c r="X80" i="14"/>
  <c r="B157" i="14"/>
  <c r="B156" i="14"/>
  <c r="B140" i="14"/>
  <c r="C140" i="14" s="1"/>
  <c r="B152" i="14"/>
  <c r="B153" i="14"/>
  <c r="B148" i="14"/>
  <c r="X54" i="14"/>
  <c r="X84" i="14"/>
  <c r="B149" i="14"/>
  <c r="X65" i="14"/>
  <c r="B133" i="14"/>
  <c r="U101" i="15" s="1"/>
  <c r="B155" i="14"/>
  <c r="X88" i="14"/>
  <c r="B154" i="14"/>
  <c r="B150" i="14"/>
  <c r="B134" i="14"/>
  <c r="U102" i="15" s="1"/>
  <c r="B147" i="14"/>
  <c r="B136" i="14"/>
  <c r="U104" i="15" s="1"/>
  <c r="X68" i="14"/>
  <c r="B125" i="14"/>
  <c r="U93" i="15" s="1"/>
  <c r="B146" i="14"/>
  <c r="B138" i="14"/>
  <c r="C138" i="14" s="1"/>
  <c r="X83" i="14"/>
  <c r="B131" i="14"/>
  <c r="U99" i="15" s="1"/>
  <c r="X53" i="14"/>
  <c r="B139" i="14"/>
  <c r="C139" i="14" s="1"/>
  <c r="B130" i="14"/>
  <c r="U98" i="15" s="1"/>
  <c r="B127" i="14"/>
  <c r="U95" i="15" s="1"/>
  <c r="B122" i="14"/>
  <c r="U90" i="15" s="1"/>
  <c r="B137" i="14"/>
  <c r="X61" i="14"/>
  <c r="B128" i="14"/>
  <c r="U96" i="15" s="1"/>
  <c r="B129" i="14"/>
  <c r="U97" i="15" s="1"/>
  <c r="B123" i="14"/>
  <c r="U91" i="15" s="1"/>
  <c r="B126" i="14"/>
  <c r="U94" i="15" s="1"/>
  <c r="B132" i="14"/>
  <c r="U100" i="15" s="1"/>
  <c r="X57" i="14"/>
  <c r="B121" i="14"/>
  <c r="U89" i="15" s="1"/>
  <c r="B135" i="14"/>
  <c r="U103" i="15" s="1"/>
  <c r="X73" i="14"/>
  <c r="X60" i="14"/>
  <c r="X74" i="14"/>
  <c r="B124" i="14"/>
  <c r="U92" i="15" s="1"/>
  <c r="M107" i="15"/>
  <c r="M116" i="15" s="1"/>
  <c r="M117" i="15" s="1"/>
  <c r="R48" i="119" s="1"/>
  <c r="E163" i="119" s="1"/>
  <c r="M105" i="15"/>
  <c r="U106" i="15"/>
  <c r="L107" i="15"/>
  <c r="L105" i="15"/>
  <c r="N86" i="15"/>
  <c r="N66" i="15"/>
  <c r="J66" i="15" s="1"/>
  <c r="N67" i="15"/>
  <c r="J67" i="15" s="1"/>
  <c r="X51" i="14"/>
  <c r="G114" i="15"/>
  <c r="C14" i="13"/>
  <c r="D117" i="119"/>
  <c r="D132" i="119"/>
  <c r="D142" i="119"/>
  <c r="D137" i="119"/>
  <c r="D127" i="119"/>
  <c r="D122" i="119"/>
  <c r="W14" i="119"/>
  <c r="W34" i="119"/>
  <c r="C210" i="119"/>
  <c r="D210" i="119" s="1"/>
  <c r="W15" i="119"/>
  <c r="W23" i="119"/>
  <c r="W31" i="119"/>
  <c r="W16" i="119"/>
  <c r="W24" i="119"/>
  <c r="W32" i="119"/>
  <c r="W17" i="119"/>
  <c r="W25" i="119"/>
  <c r="W33" i="119"/>
  <c r="W18" i="119"/>
  <c r="W26" i="119"/>
  <c r="W19" i="119"/>
  <c r="W27" i="119"/>
  <c r="W30" i="119"/>
  <c r="W20" i="119"/>
  <c r="W28" i="119"/>
  <c r="W21" i="119"/>
  <c r="W29" i="119"/>
  <c r="W22" i="119"/>
  <c r="E202" i="119"/>
  <c r="F202" i="119"/>
  <c r="E203" i="119"/>
  <c r="F203" i="119"/>
  <c r="E204" i="119"/>
  <c r="F204" i="119"/>
  <c r="E205" i="119"/>
  <c r="F205" i="119"/>
  <c r="E206" i="119"/>
  <c r="F206" i="119"/>
  <c r="E207" i="119"/>
  <c r="F207" i="119"/>
  <c r="E208" i="119"/>
  <c r="F208" i="119"/>
  <c r="E209" i="119"/>
  <c r="N74" i="15"/>
  <c r="N77" i="15"/>
  <c r="N99" i="15"/>
  <c r="N102" i="15"/>
  <c r="N97" i="15"/>
  <c r="N106" i="15"/>
  <c r="N101" i="15"/>
  <c r="N69" i="15"/>
  <c r="N104" i="15"/>
  <c r="N79" i="15"/>
  <c r="N100" i="15"/>
  <c r="N89" i="15"/>
  <c r="N103" i="15"/>
  <c r="N71" i="15"/>
  <c r="N92" i="15"/>
  <c r="N70" i="15"/>
  <c r="N95" i="15"/>
  <c r="N75" i="15"/>
  <c r="N68" i="15"/>
  <c r="N94" i="15"/>
  <c r="N81" i="15"/>
  <c r="N90" i="15"/>
  <c r="N87" i="15"/>
  <c r="N98" i="15"/>
  <c r="N91" i="15"/>
  <c r="N76" i="15"/>
  <c r="N105" i="15"/>
  <c r="N83" i="15"/>
  <c r="N73" i="15"/>
  <c r="N72" i="15"/>
  <c r="N96" i="15"/>
  <c r="N93" i="15"/>
  <c r="N80" i="15"/>
  <c r="N85" i="15"/>
  <c r="N107" i="15"/>
  <c r="N88" i="15"/>
  <c r="N82" i="15"/>
  <c r="N84" i="15"/>
  <c r="N78" i="15"/>
  <c r="L106" i="119"/>
  <c r="L116" i="15"/>
  <c r="L118" i="15" s="1"/>
  <c r="M48" i="119" s="1"/>
  <c r="E157" i="119" s="1"/>
  <c r="H115" i="15"/>
  <c r="H116" i="15"/>
  <c r="H117" i="15" s="1"/>
  <c r="G115" i="15"/>
  <c r="H114" i="15"/>
  <c r="G116" i="15"/>
  <c r="B44" i="14"/>
  <c r="L107" i="119"/>
  <c r="D107" i="119" s="1"/>
  <c r="C95" i="119"/>
  <c r="D95" i="119" s="1"/>
  <c r="D115" i="119" s="1"/>
  <c r="D101" i="119" l="1"/>
  <c r="M115" i="15"/>
  <c r="B120" i="15" s="1"/>
  <c r="B166" i="14"/>
  <c r="L114" i="15"/>
  <c r="C141" i="14"/>
  <c r="U105" i="15"/>
  <c r="L115" i="15"/>
  <c r="M114" i="15"/>
  <c r="B52" i="14"/>
  <c r="S52" i="14" s="1"/>
  <c r="B50" i="14"/>
  <c r="E14" i="13"/>
  <c r="D125" i="119"/>
  <c r="D145" i="119"/>
  <c r="D130" i="119"/>
  <c r="D104" i="119"/>
  <c r="D120" i="119"/>
  <c r="D140" i="119"/>
  <c r="D135" i="119"/>
  <c r="D106" i="119"/>
  <c r="D105" i="119"/>
  <c r="D103" i="119"/>
  <c r="D102" i="119"/>
  <c r="G207" i="119"/>
  <c r="G203" i="119"/>
  <c r="G205" i="119"/>
  <c r="G208" i="119"/>
  <c r="G204" i="119"/>
  <c r="G206" i="119"/>
  <c r="G202" i="119"/>
  <c r="B211" i="119"/>
  <c r="F209" i="119"/>
  <c r="G209" i="119" s="1"/>
  <c r="J74" i="15"/>
  <c r="J75" i="15"/>
  <c r="J89" i="15"/>
  <c r="J77" i="15"/>
  <c r="J72" i="15"/>
  <c r="J100" i="15"/>
  <c r="J99" i="15"/>
  <c r="J97" i="15"/>
  <c r="J102" i="15"/>
  <c r="J103" i="15"/>
  <c r="J82" i="15"/>
  <c r="J101" i="15"/>
  <c r="J69" i="15"/>
  <c r="J94" i="15"/>
  <c r="J71" i="15"/>
  <c r="J79" i="15"/>
  <c r="J84" i="15"/>
  <c r="J90" i="15"/>
  <c r="J83" i="15"/>
  <c r="J80" i="15"/>
  <c r="J88" i="15"/>
  <c r="J95" i="15"/>
  <c r="J70" i="15"/>
  <c r="J104" i="15"/>
  <c r="J92" i="15"/>
  <c r="J96" i="15"/>
  <c r="J87" i="15"/>
  <c r="J98" i="15"/>
  <c r="N115" i="15"/>
  <c r="B121" i="15" s="1"/>
  <c r="J68" i="15"/>
  <c r="J105" i="15" s="1"/>
  <c r="J73" i="15"/>
  <c r="J93" i="15"/>
  <c r="J85" i="15"/>
  <c r="J91" i="15"/>
  <c r="J86" i="15"/>
  <c r="J81" i="15"/>
  <c r="J106" i="15"/>
  <c r="J76" i="15"/>
  <c r="N114" i="15"/>
  <c r="J78" i="15"/>
  <c r="N116" i="15"/>
  <c r="N117" i="15" s="1"/>
  <c r="S48" i="119" s="1"/>
  <c r="E164" i="119" s="1"/>
  <c r="N48" i="119"/>
  <c r="E159" i="119" s="1"/>
  <c r="P52" i="14" l="1"/>
  <c r="U107" i="15"/>
  <c r="C52" i="14"/>
  <c r="S65" i="15"/>
  <c r="T65" i="15" s="1"/>
  <c r="N52" i="14"/>
  <c r="G52" i="14"/>
  <c r="T52" i="14"/>
  <c r="W52" i="14"/>
  <c r="B120" i="14" s="1"/>
  <c r="U88" i="15" s="1"/>
  <c r="O52" i="14"/>
  <c r="V52" i="14"/>
  <c r="B119" i="14" s="1"/>
  <c r="U87" i="15" s="1"/>
  <c r="H52" i="14"/>
  <c r="U52" i="14"/>
  <c r="J52" i="14"/>
  <c r="D52" i="14"/>
  <c r="M52" i="14"/>
  <c r="E52" i="14"/>
  <c r="L52" i="14"/>
  <c r="R52" i="14"/>
  <c r="K52" i="14"/>
  <c r="F52" i="14"/>
  <c r="Q52" i="14"/>
  <c r="I52" i="14"/>
  <c r="M50" i="14"/>
  <c r="O50" i="14"/>
  <c r="N50" i="14"/>
  <c r="E50" i="14"/>
  <c r="F50" i="14"/>
  <c r="L50" i="14"/>
  <c r="S50" i="14"/>
  <c r="W50" i="14"/>
  <c r="I50" i="14"/>
  <c r="R50" i="14"/>
  <c r="G50" i="14"/>
  <c r="C50" i="14"/>
  <c r="D50" i="14"/>
  <c r="B99" i="14" s="1"/>
  <c r="U67" i="15" s="1"/>
  <c r="P50" i="14"/>
  <c r="K50" i="14"/>
  <c r="V50" i="14"/>
  <c r="H50" i="14"/>
  <c r="J50" i="14"/>
  <c r="U50" i="14"/>
  <c r="B116" i="14" s="1"/>
  <c r="U84" i="15" s="1"/>
  <c r="Q50" i="14"/>
  <c r="T50" i="14"/>
  <c r="C211" i="119"/>
  <c r="D211" i="119" s="1"/>
  <c r="E210" i="119"/>
  <c r="J107" i="15"/>
  <c r="J114" i="15" s="1"/>
  <c r="B113" i="14" l="1"/>
  <c r="U81" i="15" s="1"/>
  <c r="B100" i="14"/>
  <c r="U68" i="15" s="1"/>
  <c r="B117" i="14"/>
  <c r="U85" i="15" s="1"/>
  <c r="B111" i="14"/>
  <c r="U79" i="15" s="1"/>
  <c r="B109" i="14"/>
  <c r="U77" i="15" s="1"/>
  <c r="B104" i="14"/>
  <c r="U72" i="15" s="1"/>
  <c r="B101" i="14"/>
  <c r="U69" i="15" s="1"/>
  <c r="B102" i="14"/>
  <c r="U70" i="15" s="1"/>
  <c r="B105" i="14"/>
  <c r="U73" i="15" s="1"/>
  <c r="B110" i="14"/>
  <c r="U78" i="15" s="1"/>
  <c r="B118" i="14"/>
  <c r="U86" i="15" s="1"/>
  <c r="B107" i="14"/>
  <c r="U75" i="15" s="1"/>
  <c r="B112" i="14"/>
  <c r="U80" i="15" s="1"/>
  <c r="B106" i="14"/>
  <c r="U74" i="15" s="1"/>
  <c r="B115" i="14"/>
  <c r="U83" i="15" s="1"/>
  <c r="B114" i="14"/>
  <c r="U82" i="15" s="1"/>
  <c r="X52" i="14"/>
  <c r="B108" i="14"/>
  <c r="U76" i="15" s="1"/>
  <c r="B103" i="14"/>
  <c r="U71" i="15" s="1"/>
  <c r="X50" i="14"/>
  <c r="B98" i="14"/>
  <c r="V65" i="15"/>
  <c r="X65" i="15" s="1"/>
  <c r="Y65" i="15" s="1"/>
  <c r="B212" i="119"/>
  <c r="F210" i="119"/>
  <c r="G210" i="119" s="1"/>
  <c r="J116" i="15"/>
  <c r="J117" i="15" s="1"/>
  <c r="J115" i="15"/>
  <c r="U66" i="15" l="1"/>
  <c r="B141" i="14"/>
  <c r="C212" i="119"/>
  <c r="D212" i="119" s="1"/>
  <c r="E211" i="119"/>
  <c r="X55" i="15"/>
  <c r="X57" i="15" s="1"/>
  <c r="P48" i="119"/>
  <c r="E161" i="119" s="1"/>
  <c r="U114" i="15" l="1"/>
  <c r="U116" i="15"/>
  <c r="Y55" i="15" s="1"/>
  <c r="Y57" i="15" s="1"/>
  <c r="U115" i="15"/>
  <c r="B213" i="119"/>
  <c r="F211" i="119"/>
  <c r="G211" i="119" s="1"/>
  <c r="C213" i="119" l="1"/>
  <c r="D213" i="119" s="1"/>
  <c r="E212" i="119"/>
  <c r="B214" i="119" l="1"/>
  <c r="F212" i="119"/>
  <c r="G212" i="119" s="1"/>
  <c r="C214" i="119" l="1"/>
  <c r="D214" i="119" s="1"/>
  <c r="E213" i="119"/>
  <c r="B215" i="119" l="1"/>
  <c r="F213" i="119"/>
  <c r="G213" i="119" s="1"/>
  <c r="C215" i="119" l="1"/>
  <c r="D215" i="119" s="1"/>
  <c r="E214" i="119"/>
  <c r="B216" i="119" l="1"/>
  <c r="F214" i="119"/>
  <c r="G214" i="119" s="1"/>
  <c r="C216" i="119" l="1"/>
  <c r="D216" i="119" s="1"/>
  <c r="E215" i="119"/>
  <c r="B217" i="119" l="1"/>
  <c r="F215" i="119"/>
  <c r="G215" i="119" s="1"/>
  <c r="C217" i="119" l="1"/>
  <c r="D217" i="119" s="1"/>
  <c r="E216" i="119"/>
  <c r="B218" i="119" l="1"/>
  <c r="F216" i="119"/>
  <c r="G216" i="119" s="1"/>
  <c r="C218" i="119" l="1"/>
  <c r="D218" i="119" s="1"/>
  <c r="E217" i="119"/>
  <c r="B219" i="119" l="1"/>
  <c r="F217" i="119"/>
  <c r="G217" i="119" s="1"/>
  <c r="C219" i="119" l="1"/>
  <c r="D219" i="119" s="1"/>
  <c r="E218" i="119"/>
  <c r="B220" i="119" l="1"/>
  <c r="F218" i="119"/>
  <c r="G218" i="119" s="1"/>
  <c r="C220" i="119" l="1"/>
  <c r="D220" i="119" s="1"/>
  <c r="E219" i="119"/>
  <c r="B221" i="119" l="1"/>
  <c r="F219" i="119"/>
  <c r="G219" i="119" s="1"/>
  <c r="C221" i="119" l="1"/>
  <c r="D221" i="119" s="1"/>
  <c r="F222" i="119"/>
  <c r="G222" i="119" s="1"/>
  <c r="E220" i="119"/>
  <c r="D223" i="119" l="1"/>
  <c r="H220" i="119" s="1"/>
  <c r="F220" i="119"/>
  <c r="G220" i="119" s="1"/>
  <c r="H221" i="119" l="1"/>
  <c r="H202" i="119"/>
  <c r="I202" i="119" s="1"/>
  <c r="H203" i="119"/>
  <c r="H204" i="119"/>
  <c r="H205" i="119"/>
  <c r="H206" i="119"/>
  <c r="H207" i="119"/>
  <c r="H208" i="119"/>
  <c r="H209" i="119"/>
  <c r="H210" i="119"/>
  <c r="H211" i="119"/>
  <c r="H212" i="119"/>
  <c r="H213" i="119"/>
  <c r="H214" i="119"/>
  <c r="H215" i="119"/>
  <c r="H216" i="119"/>
  <c r="H217" i="119"/>
  <c r="H218" i="119"/>
  <c r="H219" i="119"/>
  <c r="F221" i="119"/>
  <c r="E221" i="119"/>
  <c r="I203" i="119" l="1"/>
  <c r="I204" i="119" s="1"/>
  <c r="I205" i="119" s="1"/>
  <c r="I206" i="119" s="1"/>
  <c r="I207" i="119" s="1"/>
  <c r="I208" i="119" s="1"/>
  <c r="I209" i="119" s="1"/>
  <c r="I210" i="119" s="1"/>
  <c r="I211" i="119" s="1"/>
  <c r="I212" i="119" s="1"/>
  <c r="I213" i="119" s="1"/>
  <c r="I214" i="119" s="1"/>
  <c r="I215" i="119" s="1"/>
  <c r="I216" i="119" s="1"/>
  <c r="I217" i="119" s="1"/>
  <c r="I218" i="119" s="1"/>
  <c r="I219" i="119" s="1"/>
  <c r="I220" i="119" s="1"/>
  <c r="I221" i="119" s="1"/>
  <c r="G221" i="119"/>
  <c r="F67" i="15" l="1"/>
  <c r="F66" i="15"/>
  <c r="F54" i="13"/>
  <c r="Z105" i="15" s="1"/>
  <c r="F55" i="13"/>
  <c r="Z106" i="15" s="1"/>
  <c r="F34" i="13" l="1"/>
  <c r="Z85" i="15" l="1"/>
  <c r="F35" i="13" l="1"/>
  <c r="Z86" i="15" l="1"/>
  <c r="F36" i="13" l="1"/>
  <c r="Z87" i="15" l="1"/>
  <c r="F37" i="13" l="1"/>
  <c r="Z88" i="15" l="1"/>
  <c r="F38" i="13" l="1"/>
  <c r="Z89" i="15" l="1"/>
  <c r="F39" i="13" l="1"/>
  <c r="Z90" i="15" l="1"/>
  <c r="F40" i="13" l="1"/>
  <c r="Z91" i="15" l="1"/>
  <c r="F41" i="13" l="1"/>
  <c r="Z92" i="15" l="1"/>
  <c r="F42" i="13" l="1"/>
  <c r="Z93" i="15" l="1"/>
  <c r="F43" i="13" l="1"/>
  <c r="Z94" i="15" l="1"/>
  <c r="F44" i="13" l="1"/>
  <c r="Z95" i="15" l="1"/>
  <c r="F45" i="13" l="1"/>
  <c r="Z96" i="15" l="1"/>
  <c r="F46" i="13" l="1"/>
  <c r="Z97" i="15" l="1"/>
  <c r="F47" i="13" l="1"/>
  <c r="Z98" i="15" l="1"/>
  <c r="F48" i="13" l="1"/>
  <c r="Z99" i="15" l="1"/>
  <c r="F49" i="13" l="1"/>
  <c r="Z100" i="15" l="1"/>
  <c r="F50" i="13" l="1"/>
  <c r="Z101" i="15" l="1"/>
  <c r="F51" i="13" l="1"/>
  <c r="Z102" i="15" l="1"/>
  <c r="F52" i="13" l="1"/>
  <c r="Z103" i="15" l="1"/>
  <c r="F53" i="13" l="1"/>
  <c r="Z104" i="15" l="1"/>
  <c r="F17" i="13" l="1"/>
  <c r="Z68" i="15" l="1"/>
  <c r="F18" i="13" l="1"/>
  <c r="Z69" i="15" l="1"/>
  <c r="F19" i="13" l="1"/>
  <c r="Z70" i="15" l="1"/>
  <c r="F20" i="13" l="1"/>
  <c r="Z71" i="15" l="1"/>
  <c r="F21" i="13" l="1"/>
  <c r="Z72" i="15" l="1"/>
  <c r="F22" i="13" l="1"/>
  <c r="Z73" i="15" s="1"/>
  <c r="F23" i="13" l="1"/>
  <c r="Z74" i="15" s="1"/>
  <c r="F24" i="13" l="1"/>
  <c r="Z75" i="15" l="1"/>
  <c r="F25" i="13" l="1"/>
  <c r="Z76" i="15" s="1"/>
  <c r="F26" i="13" l="1"/>
  <c r="Z77" i="15" s="1"/>
  <c r="F27" i="13" l="1"/>
  <c r="Z78" i="15" l="1"/>
  <c r="F28" i="13" l="1"/>
  <c r="Z79" i="15" s="1"/>
  <c r="F29" i="13" l="1"/>
  <c r="Z80" i="15" l="1"/>
  <c r="F30" i="13" l="1"/>
  <c r="Z81" i="15" l="1"/>
  <c r="F31" i="13" l="1"/>
  <c r="Z82" i="15" l="1"/>
  <c r="F32" i="13" l="1"/>
  <c r="Z83" i="15" s="1"/>
  <c r="F33" i="13" l="1"/>
  <c r="Z84" i="15" l="1"/>
  <c r="F14" i="13" l="1"/>
  <c r="G14" i="13" s="1"/>
  <c r="C15" i="13" s="1"/>
  <c r="F15" i="13"/>
  <c r="Z66" i="15" s="1"/>
  <c r="F16" i="13"/>
  <c r="Z67" i="15" s="1"/>
  <c r="D14" i="13" l="1"/>
  <c r="Z65" i="15"/>
  <c r="E15" i="13"/>
  <c r="G15" i="13"/>
  <c r="C16" i="13" s="1"/>
  <c r="G16" i="13" s="1"/>
  <c r="C17" i="13" s="1"/>
  <c r="AA65" i="15" l="1"/>
  <c r="AB65" i="15" s="1"/>
  <c r="AC65" i="15"/>
  <c r="E16" i="13"/>
  <c r="D16" i="13" s="1"/>
  <c r="S66" i="15"/>
  <c r="T66" i="15" s="1"/>
  <c r="AC66" i="15" s="1"/>
  <c r="D15" i="13"/>
  <c r="G17" i="13"/>
  <c r="C18" i="13" s="1"/>
  <c r="E17" i="13"/>
  <c r="S67" i="15" l="1"/>
  <c r="T67" i="15" s="1"/>
  <c r="V66" i="15"/>
  <c r="X66" i="15" s="1"/>
  <c r="S68" i="15"/>
  <c r="D17" i="13"/>
  <c r="E18" i="13"/>
  <c r="G18" i="13"/>
  <c r="C19" i="13" s="1"/>
  <c r="S69" i="15" l="1"/>
  <c r="D18" i="13"/>
  <c r="G19" i="13"/>
  <c r="C20" i="13" s="1"/>
  <c r="E19" i="13"/>
  <c r="V67" i="15"/>
  <c r="AC67" i="15"/>
  <c r="Y66" i="15"/>
  <c r="AA66" i="15"/>
  <c r="X67" i="15" l="1"/>
  <c r="E20" i="13"/>
  <c r="G20" i="13"/>
  <c r="C21" i="13" s="1"/>
  <c r="S70" i="15"/>
  <c r="D19" i="13"/>
  <c r="AB66" i="15"/>
  <c r="S71" i="15" l="1"/>
  <c r="D20" i="13"/>
  <c r="G21" i="13"/>
  <c r="C22" i="13" s="1"/>
  <c r="E21" i="13"/>
  <c r="AA67" i="15"/>
  <c r="AB67" i="15" s="1"/>
  <c r="Y67" i="15"/>
  <c r="E22" i="13" l="1"/>
  <c r="G22" i="13"/>
  <c r="C23" i="13" s="1"/>
  <c r="S72" i="15"/>
  <c r="D21" i="13"/>
  <c r="G23" i="13" l="1"/>
  <c r="C24" i="13" s="1"/>
  <c r="E23" i="13"/>
  <c r="S73" i="15"/>
  <c r="D22" i="13"/>
  <c r="S74" i="15" l="1"/>
  <c r="D23" i="13"/>
  <c r="E24" i="13"/>
  <c r="G24" i="13"/>
  <c r="C25" i="13" s="1"/>
  <c r="S75" i="15" l="1"/>
  <c r="D24" i="13"/>
  <c r="G25" i="13"/>
  <c r="C26" i="13" s="1"/>
  <c r="E25" i="13"/>
  <c r="E26" i="13" l="1"/>
  <c r="G26" i="13"/>
  <c r="C27" i="13" s="1"/>
  <c r="S76" i="15"/>
  <c r="D25" i="13"/>
  <c r="G27" i="13" l="1"/>
  <c r="C28" i="13" s="1"/>
  <c r="E27" i="13"/>
  <c r="S77" i="15"/>
  <c r="D26" i="13"/>
  <c r="S78" i="15" l="1"/>
  <c r="D27" i="13"/>
  <c r="E28" i="13"/>
  <c r="G28" i="13"/>
  <c r="C29" i="13" s="1"/>
  <c r="S79" i="15" l="1"/>
  <c r="D28" i="13"/>
  <c r="G29" i="13"/>
  <c r="C30" i="13" s="1"/>
  <c r="E29" i="13"/>
  <c r="E30" i="13" l="1"/>
  <c r="G30" i="13"/>
  <c r="C31" i="13" s="1"/>
  <c r="S80" i="15"/>
  <c r="D29" i="13"/>
  <c r="G31" i="13" l="1"/>
  <c r="C32" i="13" s="1"/>
  <c r="E31" i="13"/>
  <c r="S81" i="15"/>
  <c r="D30" i="13"/>
  <c r="S82" i="15" l="1"/>
  <c r="D31" i="13"/>
  <c r="E32" i="13"/>
  <c r="G32" i="13"/>
  <c r="C33" i="13" s="1"/>
  <c r="G33" i="13" l="1"/>
  <c r="C34" i="13" s="1"/>
  <c r="E33" i="13"/>
  <c r="S83" i="15"/>
  <c r="D32" i="13"/>
  <c r="S84" i="15" l="1"/>
  <c r="D33" i="13"/>
  <c r="E34" i="13"/>
  <c r="G34" i="13"/>
  <c r="C35" i="13" s="1"/>
  <c r="G35" i="13" l="1"/>
  <c r="C36" i="13" s="1"/>
  <c r="E35" i="13"/>
  <c r="S85" i="15"/>
  <c r="D34" i="13"/>
  <c r="S86" i="15" l="1"/>
  <c r="D35" i="13"/>
  <c r="E36" i="13"/>
  <c r="G36" i="13"/>
  <c r="C37" i="13" s="1"/>
  <c r="G37" i="13" l="1"/>
  <c r="C38" i="13" s="1"/>
  <c r="E37" i="13"/>
  <c r="S87" i="15"/>
  <c r="D36" i="13"/>
  <c r="S88" i="15" l="1"/>
  <c r="D37" i="13"/>
  <c r="E38" i="13"/>
  <c r="G38" i="13"/>
  <c r="C39" i="13" s="1"/>
  <c r="G39" i="13" l="1"/>
  <c r="C40" i="13" s="1"/>
  <c r="E39" i="13"/>
  <c r="S89" i="15"/>
  <c r="D38" i="13"/>
  <c r="S90" i="15" l="1"/>
  <c r="D39" i="13"/>
  <c r="E40" i="13"/>
  <c r="G40" i="13"/>
  <c r="C41" i="13" s="1"/>
  <c r="G41" i="13" l="1"/>
  <c r="C42" i="13" s="1"/>
  <c r="E41" i="13"/>
  <c r="S91" i="15"/>
  <c r="D40" i="13"/>
  <c r="S92" i="15" l="1"/>
  <c r="D41" i="13"/>
  <c r="E42" i="13"/>
  <c r="G42" i="13"/>
  <c r="C43" i="13" s="1"/>
  <c r="G43" i="13" l="1"/>
  <c r="C44" i="13" s="1"/>
  <c r="E43" i="13"/>
  <c r="S93" i="15"/>
  <c r="D42" i="13"/>
  <c r="S94" i="15" l="1"/>
  <c r="D43" i="13"/>
  <c r="E44" i="13"/>
  <c r="G44" i="13"/>
  <c r="C45" i="13" s="1"/>
  <c r="S95" i="15" l="1"/>
  <c r="D44" i="13"/>
  <c r="G45" i="13"/>
  <c r="C46" i="13" s="1"/>
  <c r="E45" i="13"/>
  <c r="E46" i="13" l="1"/>
  <c r="G46" i="13"/>
  <c r="C47" i="13" s="1"/>
  <c r="S96" i="15"/>
  <c r="D45" i="13"/>
  <c r="G47" i="13" l="1"/>
  <c r="C48" i="13" s="1"/>
  <c r="E47" i="13"/>
  <c r="S97" i="15"/>
  <c r="D46" i="13"/>
  <c r="S98" i="15" l="1"/>
  <c r="D47" i="13"/>
  <c r="E48" i="13"/>
  <c r="G48" i="13"/>
  <c r="C49" i="13" s="1"/>
  <c r="G49" i="13" l="1"/>
  <c r="C50" i="13" s="1"/>
  <c r="E49" i="13"/>
  <c r="S99" i="15"/>
  <c r="D48" i="13"/>
  <c r="S100" i="15" l="1"/>
  <c r="D49" i="13"/>
  <c r="E50" i="13"/>
  <c r="G50" i="13"/>
  <c r="C51" i="13" s="1"/>
  <c r="G51" i="13" l="1"/>
  <c r="C52" i="13" s="1"/>
  <c r="E51" i="13"/>
  <c r="S101" i="15"/>
  <c r="D50" i="13"/>
  <c r="S102" i="15" l="1"/>
  <c r="D51" i="13"/>
  <c r="E52" i="13"/>
  <c r="G52" i="13"/>
  <c r="C53" i="13" s="1"/>
  <c r="G53" i="13" l="1"/>
  <c r="C54" i="13" s="1"/>
  <c r="E53" i="13"/>
  <c r="S103" i="15"/>
  <c r="D52" i="13"/>
  <c r="S104" i="15" l="1"/>
  <c r="D53" i="13"/>
  <c r="E54" i="13"/>
  <c r="G54" i="13"/>
  <c r="C55" i="13" s="1"/>
  <c r="G55" i="13" l="1"/>
  <c r="C56" i="13" s="1"/>
  <c r="E55" i="13"/>
  <c r="S105" i="15"/>
  <c r="D54" i="13"/>
  <c r="D55" i="13" l="1"/>
  <c r="S106" i="15"/>
  <c r="F56" i="13"/>
  <c r="Z107" i="15" s="1"/>
  <c r="E56" i="13"/>
  <c r="G56" i="13" l="1"/>
  <c r="Z116" i="15"/>
  <c r="Z114" i="15"/>
  <c r="Z115" i="15"/>
  <c r="S107" i="15"/>
  <c r="D56" i="13"/>
  <c r="S116" i="15" l="1"/>
  <c r="S114" i="15"/>
  <c r="S115" i="15"/>
  <c r="B119" i="15" s="1"/>
  <c r="Z55" i="15"/>
  <c r="Z57" i="15" s="1"/>
  <c r="Z117" i="15"/>
  <c r="Y48" i="119" s="1"/>
  <c r="E170" i="119" s="1"/>
  <c r="C123" i="15" l="1"/>
  <c r="D23" i="34" s="1"/>
  <c r="C124" i="15"/>
  <c r="D24" i="34" s="1"/>
  <c r="C120" i="15"/>
  <c r="D20" i="34" s="1"/>
  <c r="C121" i="15"/>
  <c r="D21" i="34" s="1"/>
  <c r="C119" i="15"/>
  <c r="D19" i="34" s="1"/>
  <c r="C125" i="15"/>
  <c r="D25" i="34" s="1"/>
  <c r="C122" i="15"/>
  <c r="D22" i="34" s="1"/>
  <c r="S117" i="15"/>
  <c r="AA55" i="15"/>
  <c r="AA57" i="15" s="1"/>
  <c r="X60" i="15" s="1"/>
  <c r="E17" i="15" l="1"/>
  <c r="F68" i="15" s="1"/>
  <c r="W48" i="119"/>
  <c r="E168" i="119" s="1"/>
  <c r="F71" i="15" l="1"/>
  <c r="T71" i="15" s="1"/>
  <c r="AC71" i="15" s="1"/>
  <c r="F87" i="15"/>
  <c r="T87" i="15" s="1"/>
  <c r="AC87" i="15" s="1"/>
  <c r="F69" i="15"/>
  <c r="T69" i="15" s="1"/>
  <c r="V69" i="15" s="1"/>
  <c r="X69" i="15" s="1"/>
  <c r="AA69" i="15" s="1"/>
  <c r="F106" i="15"/>
  <c r="T106" i="15" s="1"/>
  <c r="V106" i="15" s="1"/>
  <c r="X106" i="15" s="1"/>
  <c r="AA106" i="15" s="1"/>
  <c r="F91" i="15"/>
  <c r="T91" i="15" s="1"/>
  <c r="V91" i="15" s="1"/>
  <c r="X91" i="15" s="1"/>
  <c r="Y91" i="15" s="1"/>
  <c r="F103" i="15"/>
  <c r="T103" i="15" s="1"/>
  <c r="AC103" i="15" s="1"/>
  <c r="F83" i="15"/>
  <c r="T83" i="15" s="1"/>
  <c r="V83" i="15" s="1"/>
  <c r="X83" i="15" s="1"/>
  <c r="Y83" i="15" s="1"/>
  <c r="F104" i="15"/>
  <c r="T104" i="15" s="1"/>
  <c r="AC104" i="15" s="1"/>
  <c r="F107" i="15"/>
  <c r="T107" i="15" s="1"/>
  <c r="AC107" i="15" s="1"/>
  <c r="F89" i="15"/>
  <c r="T89" i="15" s="1"/>
  <c r="V89" i="15" s="1"/>
  <c r="X89" i="15" s="1"/>
  <c r="Y89" i="15" s="1"/>
  <c r="F85" i="15"/>
  <c r="T85" i="15" s="1"/>
  <c r="V85" i="15" s="1"/>
  <c r="X85" i="15" s="1"/>
  <c r="AA85" i="15" s="1"/>
  <c r="F97" i="15"/>
  <c r="T97" i="15" s="1"/>
  <c r="V97" i="15" s="1"/>
  <c r="X97" i="15" s="1"/>
  <c r="Y97" i="15" s="1"/>
  <c r="F81" i="15"/>
  <c r="T81" i="15" s="1"/>
  <c r="AC81" i="15" s="1"/>
  <c r="F98" i="15"/>
  <c r="T98" i="15" s="1"/>
  <c r="V98" i="15" s="1"/>
  <c r="X98" i="15" s="1"/>
  <c r="AA98" i="15" s="1"/>
  <c r="F73" i="15"/>
  <c r="T73" i="15" s="1"/>
  <c r="V73" i="15" s="1"/>
  <c r="X73" i="15" s="1"/>
  <c r="Y73" i="15" s="1"/>
  <c r="F101" i="15"/>
  <c r="T101" i="15" s="1"/>
  <c r="V101" i="15" s="1"/>
  <c r="X101" i="15" s="1"/>
  <c r="AA101" i="15" s="1"/>
  <c r="F95" i="15"/>
  <c r="T95" i="15" s="1"/>
  <c r="AC95" i="15" s="1"/>
  <c r="F77" i="15"/>
  <c r="T77" i="15" s="1"/>
  <c r="AC77" i="15" s="1"/>
  <c r="F94" i="15"/>
  <c r="T94" i="15" s="1"/>
  <c r="AC94" i="15" s="1"/>
  <c r="F105" i="15"/>
  <c r="T105" i="15" s="1"/>
  <c r="V105" i="15" s="1"/>
  <c r="X105" i="15" s="1"/>
  <c r="Y105" i="15" s="1"/>
  <c r="F99" i="15"/>
  <c r="T99" i="15" s="1"/>
  <c r="V99" i="15" s="1"/>
  <c r="X99" i="15" s="1"/>
  <c r="Y99" i="15" s="1"/>
  <c r="E16" i="15"/>
  <c r="D122" i="15" s="1"/>
  <c r="C22" i="34" s="1"/>
  <c r="F93" i="15"/>
  <c r="T93" i="15" s="1"/>
  <c r="V93" i="15" s="1"/>
  <c r="X93" i="15" s="1"/>
  <c r="AA93" i="15" s="1"/>
  <c r="F75" i="15"/>
  <c r="T75" i="15" s="1"/>
  <c r="V75" i="15" s="1"/>
  <c r="X75" i="15" s="1"/>
  <c r="Y75" i="15" s="1"/>
  <c r="F80" i="15"/>
  <c r="T80" i="15" s="1"/>
  <c r="V80" i="15" s="1"/>
  <c r="X80" i="15" s="1"/>
  <c r="AA80" i="15" s="1"/>
  <c r="F96" i="15"/>
  <c r="T96" i="15" s="1"/>
  <c r="V96" i="15" s="1"/>
  <c r="X96" i="15" s="1"/>
  <c r="AA96" i="15" s="1"/>
  <c r="F90" i="15"/>
  <c r="T90" i="15" s="1"/>
  <c r="AC90" i="15" s="1"/>
  <c r="F88" i="15"/>
  <c r="T88" i="15" s="1"/>
  <c r="AC88" i="15" s="1"/>
  <c r="F84" i="15"/>
  <c r="T84" i="15" s="1"/>
  <c r="V84" i="15" s="1"/>
  <c r="X84" i="15" s="1"/>
  <c r="Y84" i="15" s="1"/>
  <c r="F79" i="15"/>
  <c r="T79" i="15" s="1"/>
  <c r="AC79" i="15" s="1"/>
  <c r="F100" i="15"/>
  <c r="T100" i="15" s="1"/>
  <c r="V100" i="15" s="1"/>
  <c r="X100" i="15" s="1"/>
  <c r="AA100" i="15" s="1"/>
  <c r="F74" i="15"/>
  <c r="T74" i="15" s="1"/>
  <c r="V74" i="15" s="1"/>
  <c r="X74" i="15" s="1"/>
  <c r="Y74" i="15" s="1"/>
  <c r="F82" i="15"/>
  <c r="T82" i="15" s="1"/>
  <c r="AC82" i="15" s="1"/>
  <c r="F78" i="15"/>
  <c r="T78" i="15" s="1"/>
  <c r="AC78" i="15" s="1"/>
  <c r="F92" i="15"/>
  <c r="T92" i="15" s="1"/>
  <c r="AC92" i="15" s="1"/>
  <c r="F76" i="15"/>
  <c r="T76" i="15" s="1"/>
  <c r="V76" i="15" s="1"/>
  <c r="X76" i="15" s="1"/>
  <c r="AA76" i="15" s="1"/>
  <c r="F72" i="15"/>
  <c r="T72" i="15" s="1"/>
  <c r="V72" i="15" s="1"/>
  <c r="X72" i="15" s="1"/>
  <c r="AA72" i="15" s="1"/>
  <c r="F102" i="15"/>
  <c r="T102" i="15" s="1"/>
  <c r="AC102" i="15" s="1"/>
  <c r="F86" i="15"/>
  <c r="T86" i="15" s="1"/>
  <c r="AC86" i="15" s="1"/>
  <c r="F70" i="15"/>
  <c r="T70" i="15" s="1"/>
  <c r="AC70" i="15" s="1"/>
  <c r="T68" i="15"/>
  <c r="V71" i="15" l="1"/>
  <c r="X71" i="15" s="1"/>
  <c r="AA71" i="15" s="1"/>
  <c r="AC106" i="15"/>
  <c r="AC69" i="15"/>
  <c r="V94" i="15"/>
  <c r="X94" i="15" s="1"/>
  <c r="AA94" i="15" s="1"/>
  <c r="AC85" i="15"/>
  <c r="AC97" i="15"/>
  <c r="V88" i="15"/>
  <c r="X88" i="15" s="1"/>
  <c r="AA88" i="15" s="1"/>
  <c r="AC105" i="15"/>
  <c r="AC76" i="15"/>
  <c r="V77" i="15"/>
  <c r="X77" i="15" s="1"/>
  <c r="Y77" i="15" s="1"/>
  <c r="V87" i="15"/>
  <c r="X87" i="15" s="1"/>
  <c r="AA87" i="15" s="1"/>
  <c r="AC89" i="15"/>
  <c r="V90" i="15"/>
  <c r="X90" i="15" s="1"/>
  <c r="AA90" i="15" s="1"/>
  <c r="V107" i="15"/>
  <c r="X107" i="15" s="1"/>
  <c r="Y107" i="15" s="1"/>
  <c r="V95" i="15"/>
  <c r="X95" i="15" s="1"/>
  <c r="AA95" i="15" s="1"/>
  <c r="AC80" i="15"/>
  <c r="D121" i="15"/>
  <c r="C21" i="34" s="1"/>
  <c r="D119" i="15"/>
  <c r="C19" i="34" s="1"/>
  <c r="V78" i="15"/>
  <c r="X78" i="15" s="1"/>
  <c r="Y78" i="15" s="1"/>
  <c r="AC96" i="15"/>
  <c r="AC93" i="15"/>
  <c r="V103" i="15"/>
  <c r="X103" i="15" s="1"/>
  <c r="AA103" i="15" s="1"/>
  <c r="D125" i="15"/>
  <c r="C25" i="34" s="1"/>
  <c r="D124" i="15"/>
  <c r="C24" i="34" s="1"/>
  <c r="AC98" i="15"/>
  <c r="D123" i="15"/>
  <c r="C23" i="34" s="1"/>
  <c r="D120" i="15"/>
  <c r="C20" i="34" s="1"/>
  <c r="AC72" i="15"/>
  <c r="AC75" i="15"/>
  <c r="V104" i="15"/>
  <c r="X104" i="15" s="1"/>
  <c r="AA104" i="15" s="1"/>
  <c r="AC84" i="15"/>
  <c r="AC99" i="15"/>
  <c r="V81" i="15"/>
  <c r="X81" i="15" s="1"/>
  <c r="Y81" i="15" s="1"/>
  <c r="AC83" i="15"/>
  <c r="AC101" i="15"/>
  <c r="AC73" i="15"/>
  <c r="AC91" i="15"/>
  <c r="V92" i="15"/>
  <c r="X92" i="15" s="1"/>
  <c r="AA92" i="15" s="1"/>
  <c r="V82" i="15"/>
  <c r="X82" i="15" s="1"/>
  <c r="AA82" i="15" s="1"/>
  <c r="V102" i="15"/>
  <c r="X102" i="15" s="1"/>
  <c r="Y102" i="15" s="1"/>
  <c r="AC100" i="15"/>
  <c r="V79" i="15"/>
  <c r="X79" i="15" s="1"/>
  <c r="AA79" i="15" s="1"/>
  <c r="AC74" i="15"/>
  <c r="V70" i="15"/>
  <c r="X70" i="15" s="1"/>
  <c r="Y70" i="15" s="1"/>
  <c r="F115" i="15"/>
  <c r="F114" i="15"/>
  <c r="F116" i="15"/>
  <c r="F118" i="15" s="1"/>
  <c r="AG118" i="15" s="1"/>
  <c r="V86" i="15"/>
  <c r="X86" i="15" s="1"/>
  <c r="AA86" i="15" s="1"/>
  <c r="Y96" i="15"/>
  <c r="Y100" i="15"/>
  <c r="Y98" i="15"/>
  <c r="AA84" i="15"/>
  <c r="Y93" i="15"/>
  <c r="Y106" i="15"/>
  <c r="AA74" i="15"/>
  <c r="AC68" i="15"/>
  <c r="V68" i="15"/>
  <c r="T116" i="15"/>
  <c r="T114" i="15"/>
  <c r="T115" i="15"/>
  <c r="Y72" i="15"/>
  <c r="Y76" i="15"/>
  <c r="Y80" i="15"/>
  <c r="AA97" i="15"/>
  <c r="Y69" i="15"/>
  <c r="Y101" i="15"/>
  <c r="AA73" i="15"/>
  <c r="AA75" i="15"/>
  <c r="AA99" i="15"/>
  <c r="AA83" i="15"/>
  <c r="Y85" i="15"/>
  <c r="AA105" i="15"/>
  <c r="AA89" i="15"/>
  <c r="AA91" i="15"/>
  <c r="Y71" i="15" l="1"/>
  <c r="Y88" i="15"/>
  <c r="Y94" i="15"/>
  <c r="AA77" i="15"/>
  <c r="Y87" i="15"/>
  <c r="Y90" i="15"/>
  <c r="Y95" i="15"/>
  <c r="AA107" i="15"/>
  <c r="AA78" i="15"/>
  <c r="Y103" i="15"/>
  <c r="AA81" i="15"/>
  <c r="Y104" i="15"/>
  <c r="C26" i="34"/>
  <c r="Y79" i="15"/>
  <c r="Y82" i="15"/>
  <c r="Y92" i="15"/>
  <c r="AA102" i="15"/>
  <c r="AA70" i="15"/>
  <c r="K48" i="119"/>
  <c r="E155" i="119" s="1"/>
  <c r="F155" i="119" s="1"/>
  <c r="Y86" i="15"/>
  <c r="X68" i="15"/>
  <c r="V115" i="15"/>
  <c r="V116" i="15"/>
  <c r="V114" i="15"/>
  <c r="AC114" i="15"/>
  <c r="AC115" i="15"/>
  <c r="E21" i="15"/>
  <c r="E19" i="15" s="1"/>
  <c r="AC116" i="15"/>
  <c r="F156" i="119" l="1"/>
  <c r="F157" i="119"/>
  <c r="X114" i="15"/>
  <c r="X115" i="15"/>
  <c r="X116" i="15"/>
  <c r="X117" i="15" s="1"/>
  <c r="AA68" i="15"/>
  <c r="Y68" i="15"/>
  <c r="I157" i="119" l="1"/>
  <c r="L157" i="119" s="1"/>
  <c r="N157" i="119" s="1"/>
  <c r="I155" i="119"/>
  <c r="L155" i="119" s="1"/>
  <c r="H155" i="119"/>
  <c r="K155" i="119" s="1"/>
  <c r="H157" i="119"/>
  <c r="K157" i="119" s="1"/>
  <c r="I156" i="119"/>
  <c r="L156" i="119" s="1"/>
  <c r="H156" i="119"/>
  <c r="K156" i="119" s="1"/>
  <c r="Y114" i="15"/>
  <c r="Y116" i="15"/>
  <c r="Y115" i="15"/>
  <c r="AB68" i="15"/>
  <c r="AA114" i="15"/>
  <c r="AA115" i="15"/>
  <c r="E26" i="15"/>
  <c r="H17" i="6" s="1"/>
  <c r="E20" i="15"/>
  <c r="E18" i="15" s="1"/>
  <c r="AA116" i="15"/>
  <c r="X48" i="119"/>
  <c r="E169" i="119" s="1"/>
  <c r="AG117" i="15"/>
  <c r="L171" i="119" l="1"/>
  <c r="N155" i="119"/>
  <c r="N156" i="119"/>
  <c r="AB69" i="15"/>
  <c r="AB70" i="15" s="1"/>
  <c r="AB71" i="15" s="1"/>
  <c r="AB72" i="15" s="1"/>
  <c r="AB73" i="15" s="1"/>
  <c r="AB74" i="15" s="1"/>
  <c r="AB75" i="15" s="1"/>
  <c r="AB76" i="15" s="1"/>
  <c r="AB77" i="15" s="1"/>
  <c r="AB78" i="15" s="1"/>
  <c r="AB79" i="15" s="1"/>
  <c r="AB80" i="15" s="1"/>
  <c r="AB81" i="15" s="1"/>
  <c r="AB82" i="15" s="1"/>
  <c r="AB83" i="15" s="1"/>
  <c r="AB84" i="15" s="1"/>
  <c r="AB85" i="15" s="1"/>
  <c r="AB86" i="15" s="1"/>
  <c r="AB87" i="15" s="1"/>
  <c r="AB88" i="15" s="1"/>
  <c r="AB89" i="15" s="1"/>
  <c r="AB90" i="15" s="1"/>
  <c r="AB91" i="15" s="1"/>
  <c r="AB92" i="15" s="1"/>
  <c r="AB93" i="15" s="1"/>
  <c r="AB94" i="15" s="1"/>
  <c r="AB95" i="15" s="1"/>
  <c r="AB96" i="15" s="1"/>
  <c r="AB97" i="15" s="1"/>
  <c r="AB98" i="15" s="1"/>
  <c r="AB99" i="15" s="1"/>
  <c r="AB100" i="15" s="1"/>
  <c r="AB101" i="15" s="1"/>
  <c r="AB102" i="15" s="1"/>
  <c r="AB103" i="15" s="1"/>
  <c r="AB104" i="15" s="1"/>
  <c r="AB105" i="15" s="1"/>
  <c r="AB106" i="15" s="1"/>
  <c r="AB107" i="15" s="1"/>
  <c r="F169" i="119"/>
  <c r="F161" i="119"/>
  <c r="F162" i="119"/>
  <c r="F163" i="119"/>
  <c r="F164" i="119"/>
  <c r="F159" i="119"/>
  <c r="F165" i="119"/>
  <c r="F167" i="119"/>
  <c r="F166" i="119"/>
  <c r="F160" i="119"/>
  <c r="F170" i="119"/>
  <c r="F168" i="119"/>
  <c r="AB116" i="15" l="1"/>
  <c r="AB115" i="15"/>
  <c r="H169" i="119"/>
  <c r="K169" i="119" s="1"/>
  <c r="I159" i="119"/>
  <c r="M159" i="119" s="1"/>
  <c r="I165" i="119"/>
  <c r="M165" i="119" s="1"/>
  <c r="H161" i="119"/>
  <c r="K161" i="119" s="1"/>
  <c r="H170" i="119"/>
  <c r="K170" i="119" s="1"/>
  <c r="I164" i="119"/>
  <c r="M164" i="119" s="1"/>
  <c r="H168" i="119"/>
  <c r="K168" i="119" s="1"/>
  <c r="I161" i="119"/>
  <c r="M161" i="119" s="1"/>
  <c r="I167" i="119"/>
  <c r="M167" i="119" s="1"/>
  <c r="H159" i="119"/>
  <c r="K159" i="119" s="1"/>
  <c r="H164" i="119"/>
  <c r="K164" i="119" s="1"/>
  <c r="I166" i="119"/>
  <c r="M166" i="119" s="1"/>
  <c r="H162" i="119"/>
  <c r="K162" i="119" s="1"/>
  <c r="I160" i="119"/>
  <c r="M160" i="119" s="1"/>
  <c r="I162" i="119"/>
  <c r="M162" i="119" s="1"/>
  <c r="I168" i="119"/>
  <c r="M168" i="119" s="1"/>
  <c r="H166" i="119"/>
  <c r="K166" i="119" s="1"/>
  <c r="H163" i="119"/>
  <c r="K163" i="119" s="1"/>
  <c r="H167" i="119"/>
  <c r="K167" i="119" s="1"/>
  <c r="H160" i="119"/>
  <c r="K160" i="119" s="1"/>
  <c r="I169" i="119"/>
  <c r="M169" i="119" s="1"/>
  <c r="I163" i="119"/>
  <c r="M163" i="119" s="1"/>
  <c r="I170" i="119"/>
  <c r="M170" i="119" s="1"/>
  <c r="N170" i="119" s="1"/>
  <c r="H165" i="119"/>
  <c r="K165" i="119" s="1"/>
  <c r="AB114" i="15"/>
  <c r="N169" i="119" l="1"/>
  <c r="N168" i="119"/>
  <c r="N163" i="119"/>
  <c r="N160" i="119"/>
  <c r="N164" i="119"/>
  <c r="N166" i="119"/>
  <c r="N165" i="119"/>
  <c r="M171" i="119"/>
  <c r="N171" i="119" s="1"/>
  <c r="N159" i="119"/>
  <c r="N167" i="119"/>
  <c r="N161" i="119"/>
  <c r="N162" i="1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NREL</author>
  </authors>
  <commentList>
    <comment ref="D18" authorId="0" shapeId="0" xr:uid="{00000000-0006-0000-0400-000001000000}">
      <text>
        <r>
          <rPr>
            <b/>
            <sz val="9"/>
            <color indexed="81"/>
            <rFont val="Tahoma"/>
            <family val="2"/>
          </rPr>
          <t>NREL:</t>
        </r>
        <r>
          <rPr>
            <sz val="9"/>
            <color indexed="81"/>
            <rFont val="Tahoma"/>
            <family val="2"/>
          </rPr>
          <t xml:space="preserve">
Convert from reference year dollars to 2005 dollars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C30" authorId="0" shapeId="0" xr:uid="{46269D44-DA77-40B6-A6F6-09406CB060A0}">
      <text>
        <r>
          <rPr>
            <b/>
            <sz val="9"/>
            <color indexed="81"/>
            <rFont val="Tahoma"/>
            <family val="2"/>
          </rPr>
          <t>Windows User:</t>
        </r>
        <r>
          <rPr>
            <sz val="9"/>
            <color indexed="81"/>
            <rFont val="Tahoma"/>
            <family val="2"/>
          </rPr>
          <t xml:space="preserve">
Set to 0 to turn off carbon sequestration</t>
        </r>
      </text>
    </comment>
    <comment ref="J34" authorId="0" shapeId="0" xr:uid="{00000000-0006-0000-0700-000001000000}">
      <text>
        <r>
          <rPr>
            <b/>
            <sz val="8"/>
            <color indexed="81"/>
            <rFont val="Tahoma"/>
            <family val="2"/>
          </rPr>
          <t>Windows User:</t>
        </r>
        <r>
          <rPr>
            <sz val="8"/>
            <color indexed="81"/>
            <rFont val="Tahoma"/>
            <family val="2"/>
          </rPr>
          <t xml:space="preserve">
Not used in calculation.  Instead, electricity usage is added to production site electricity consumption (kWh/kg), input sheet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Grasshopper</author>
  </authors>
  <commentList>
    <comment ref="B19" authorId="0" shapeId="0" xr:uid="{00000000-0006-0000-0800-000001000000}">
      <text>
        <r>
          <rPr>
            <b/>
            <sz val="9"/>
            <color indexed="81"/>
            <rFont val="Tahoma"/>
            <family val="2"/>
          </rPr>
          <t xml:space="preserve">Includes: 
</t>
        </r>
        <r>
          <rPr>
            <sz val="9"/>
            <color indexed="81"/>
            <rFont val="Tahoma"/>
            <family val="2"/>
          </rPr>
          <t xml:space="preserve">• Initial Equity Depreciable Capital
• Yearly Replacement Costs
• Cash from Working Capital Reserve
• Other Non-Depreciable Capital Costs
• Salvage Value
• Debt Interest
• Depreciation Charge
• Principal payment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mpenev</author>
  </authors>
  <commentList>
    <comment ref="D2" authorId="0" shapeId="0" xr:uid="{00000000-0006-0000-0900-000001000000}">
      <text>
        <r>
          <rPr>
            <b/>
            <sz val="9"/>
            <color indexed="81"/>
            <rFont val="Tahoma"/>
            <family val="2"/>
          </rPr>
          <t>All waterfall chart values trigger from this column.  Enter negative % to decrease a parameters' value in a waterfall chart.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dsteward</author>
    <author>Rachel Gelman</author>
    <author>Yongling</author>
  </authors>
  <commentList>
    <comment ref="A11" authorId="0" shapeId="0" xr:uid="{00000000-0006-0000-0B00-000001000000}">
      <text>
        <r>
          <rPr>
            <b/>
            <sz val="8"/>
            <color indexed="81"/>
            <rFont val="Tahoma"/>
            <family val="2"/>
          </rPr>
          <t>dsteward:</t>
        </r>
        <r>
          <rPr>
            <sz val="8"/>
            <color indexed="81"/>
            <rFont val="Tahoma"/>
            <family val="2"/>
          </rPr>
          <t xml:space="preserve">
values are assumed to be $2007/mmBtu LHV
</t>
        </r>
      </text>
    </comment>
    <comment ref="D11" authorId="0" shapeId="0" xr:uid="{00000000-0006-0000-0B00-000002000000}">
      <text>
        <r>
          <rPr>
            <b/>
            <sz val="8"/>
            <color indexed="81"/>
            <rFont val="Tahoma"/>
            <family val="2"/>
          </rPr>
          <t>dsteward:</t>
        </r>
        <r>
          <rPr>
            <sz val="8"/>
            <color indexed="81"/>
            <rFont val="Tahoma"/>
            <family val="2"/>
          </rPr>
          <t xml:space="preserve">
values are assumed to be $2007/mmBtu LHV
</t>
        </r>
      </text>
    </comment>
    <comment ref="A12" authorId="0" shapeId="0" xr:uid="{00000000-0006-0000-0B00-000003000000}">
      <text>
        <r>
          <rPr>
            <sz val="8"/>
            <color indexed="81"/>
            <rFont val="Tahoma"/>
            <family val="2"/>
          </rPr>
          <t xml:space="preserve">Data from HyARC - see AEO tab
copied values are in $2005/GJ LHV
</t>
        </r>
      </text>
    </comment>
    <comment ref="D12" authorId="0" shapeId="0" xr:uid="{00000000-0006-0000-0B00-000004000000}">
      <text>
        <r>
          <rPr>
            <sz val="8"/>
            <color indexed="81"/>
            <rFont val="Tahoma"/>
            <family val="2"/>
          </rPr>
          <t xml:space="preserve">Data from HyARC - see AEO tab
copied values are in $2005/GJ LHV
</t>
        </r>
      </text>
    </comment>
    <comment ref="A13" authorId="0" shapeId="0" xr:uid="{00000000-0006-0000-0B00-000005000000}">
      <text>
        <r>
          <rPr>
            <b/>
            <sz val="8"/>
            <color indexed="81"/>
            <rFont val="Tahoma"/>
            <family val="2"/>
          </rPr>
          <t>Values from unpublished B2A model (v1_3_072110) based on Biomass Program 2009 MYPP
copied values are in $2007/GJ LHV</t>
        </r>
      </text>
    </comment>
    <comment ref="D13" authorId="0" shapeId="0" xr:uid="{00000000-0006-0000-0B00-000006000000}">
      <text>
        <r>
          <rPr>
            <b/>
            <sz val="8"/>
            <color indexed="81"/>
            <rFont val="Tahoma"/>
            <family val="2"/>
          </rPr>
          <t>Values from unpublished B2A model (v1_3_072110) based on Biomass Program 2009 MYPP
copied values are in $2007/GJ LHV</t>
        </r>
      </text>
    </comment>
    <comment ref="A15" authorId="0" shapeId="0" xr:uid="{00000000-0006-0000-0B00-000007000000}">
      <text>
        <r>
          <rPr>
            <sz val="8"/>
            <color indexed="81"/>
            <rFont val="Tahoma"/>
            <family val="2"/>
          </rPr>
          <t>AEO data for steam coal to 2030 Mini-CAM projections thereafter (see AEO Data Tab), HHV and LHV, GREET assumptions for electric power</t>
        </r>
      </text>
    </comment>
    <comment ref="D15" authorId="0" shapeId="0" xr:uid="{00000000-0006-0000-0B00-000008000000}">
      <text>
        <r>
          <rPr>
            <sz val="8"/>
            <color indexed="81"/>
            <rFont val="Tahoma"/>
            <family val="2"/>
          </rPr>
          <t>AEO data for steam coal to 2030 Mini-CAM projections thereafter (see AEO Data Tab), HHV and LHV, GREET assumptions for electric power</t>
        </r>
      </text>
    </comment>
    <comment ref="H23" authorId="1" shapeId="0" xr:uid="{00000000-0006-0000-0B00-000009000000}">
      <text>
        <r>
          <rPr>
            <b/>
            <sz val="8"/>
            <color indexed="81"/>
            <rFont val="Tahoma"/>
            <family val="2"/>
          </rPr>
          <t>Rachel Gelman:</t>
        </r>
        <r>
          <rPr>
            <sz val="8"/>
            <color indexed="81"/>
            <rFont val="Tahoma"/>
            <family val="2"/>
          </rPr>
          <t xml:space="preserve">
Based on 2009 AEO Reference Case</t>
        </r>
      </text>
    </comment>
    <comment ref="I23" authorId="1" shapeId="0" xr:uid="{00000000-0006-0000-0B00-00000A000000}">
      <text>
        <r>
          <rPr>
            <b/>
            <sz val="8"/>
            <color indexed="81"/>
            <rFont val="Tahoma"/>
            <family val="2"/>
          </rPr>
          <t>Rachel Gelman:</t>
        </r>
        <r>
          <rPr>
            <sz val="8"/>
            <color indexed="81"/>
            <rFont val="Tahoma"/>
            <family val="2"/>
          </rPr>
          <t xml:space="preserve">
Based on 2009 AEO Reference Case</t>
        </r>
      </text>
    </comment>
    <comment ref="J23" authorId="1" shapeId="0" xr:uid="{00000000-0006-0000-0B00-00000B000000}">
      <text>
        <r>
          <rPr>
            <b/>
            <sz val="8"/>
            <color indexed="81"/>
            <rFont val="Tahoma"/>
            <family val="2"/>
          </rPr>
          <t>Rachel Gelman:</t>
        </r>
        <r>
          <rPr>
            <sz val="8"/>
            <color indexed="81"/>
            <rFont val="Tahoma"/>
            <family val="2"/>
          </rPr>
          <t xml:space="preserve">
Based on 2009 AEO Reference Case</t>
        </r>
      </text>
    </comment>
    <comment ref="K23" authorId="1" shapeId="0" xr:uid="{00000000-0006-0000-0B00-00000C000000}">
      <text>
        <r>
          <rPr>
            <b/>
            <sz val="8"/>
            <color indexed="81"/>
            <rFont val="Tahoma"/>
            <family val="2"/>
          </rPr>
          <t>Rachel Gelman:</t>
        </r>
        <r>
          <rPr>
            <sz val="8"/>
            <color indexed="81"/>
            <rFont val="Tahoma"/>
            <family val="2"/>
          </rPr>
          <t xml:space="preserve">
Based on 2009 AEO Reference Case</t>
        </r>
      </text>
    </comment>
    <comment ref="L23" authorId="1" shapeId="0" xr:uid="{00000000-0006-0000-0B00-00000D000000}">
      <text>
        <r>
          <rPr>
            <b/>
            <sz val="8"/>
            <color indexed="81"/>
            <rFont val="Tahoma"/>
            <family val="2"/>
          </rPr>
          <t>Rachel Gelman:</t>
        </r>
        <r>
          <rPr>
            <sz val="8"/>
            <color indexed="81"/>
            <rFont val="Tahoma"/>
            <family val="2"/>
          </rPr>
          <t xml:space="preserve">
Based on 2009 AEO Reference Case</t>
        </r>
      </text>
    </comment>
    <comment ref="M23" authorId="1" shapeId="0" xr:uid="{00000000-0006-0000-0B00-00000E000000}">
      <text>
        <r>
          <rPr>
            <b/>
            <sz val="8"/>
            <color indexed="81"/>
            <rFont val="Tahoma"/>
            <family val="2"/>
          </rPr>
          <t>Rachel Gelman:</t>
        </r>
        <r>
          <rPr>
            <sz val="8"/>
            <color indexed="81"/>
            <rFont val="Tahoma"/>
            <family val="2"/>
          </rPr>
          <t xml:space="preserve">
Based on 2009 AEO Reference Case</t>
        </r>
      </text>
    </comment>
    <comment ref="A29" authorId="0" shapeId="0" xr:uid="{00000000-0006-0000-0B00-00000F000000}">
      <text>
        <r>
          <rPr>
            <b/>
            <sz val="8"/>
            <color indexed="81"/>
            <rFont val="Tahoma"/>
            <family val="2"/>
          </rPr>
          <t>dsteward:</t>
        </r>
        <r>
          <rPr>
            <sz val="8"/>
            <color indexed="81"/>
            <rFont val="Tahoma"/>
            <family val="2"/>
          </rPr>
          <t xml:space="preserve">
values are assumed to be $2007/mmBtu LHV
</t>
        </r>
      </text>
    </comment>
    <comment ref="D29" authorId="0" shapeId="0" xr:uid="{00000000-0006-0000-0B00-000010000000}">
      <text>
        <r>
          <rPr>
            <b/>
            <sz val="8"/>
            <color indexed="81"/>
            <rFont val="Tahoma"/>
            <family val="2"/>
          </rPr>
          <t>dsteward:</t>
        </r>
        <r>
          <rPr>
            <sz val="8"/>
            <color indexed="81"/>
            <rFont val="Tahoma"/>
            <family val="2"/>
          </rPr>
          <t xml:space="preserve">
values are assumed to be $2007/mmBtu LHV
</t>
        </r>
      </text>
    </comment>
    <comment ref="A30" authorId="0" shapeId="0" xr:uid="{00000000-0006-0000-0B00-000011000000}">
      <text>
        <r>
          <rPr>
            <sz val="8"/>
            <color indexed="81"/>
            <rFont val="Tahoma"/>
            <family val="2"/>
          </rPr>
          <t xml:space="preserve">Data from HyARC - see AEO tab
copied values are in $2005/GJ LHV
</t>
        </r>
      </text>
    </comment>
    <comment ref="D30" authorId="0" shapeId="0" xr:uid="{00000000-0006-0000-0B00-000012000000}">
      <text>
        <r>
          <rPr>
            <sz val="8"/>
            <color indexed="81"/>
            <rFont val="Tahoma"/>
            <family val="2"/>
          </rPr>
          <t xml:space="preserve">Data from HyARC - see AEO tab
copied values are in $2005/GJ LHV
</t>
        </r>
      </text>
    </comment>
    <comment ref="A32" authorId="0" shapeId="0" xr:uid="{00000000-0006-0000-0B00-000013000000}">
      <text>
        <r>
          <rPr>
            <sz val="8"/>
            <color indexed="81"/>
            <rFont val="Tahoma"/>
            <family val="2"/>
          </rPr>
          <t>AEO data for steam coal to 2030 Mini-CAM projections thereafter (see AEO Data Tab), HHV and LHV, GREET assumptions for electric power</t>
        </r>
      </text>
    </comment>
    <comment ref="D32" authorId="0" shapeId="0" xr:uid="{00000000-0006-0000-0B00-000014000000}">
      <text>
        <r>
          <rPr>
            <sz val="8"/>
            <color indexed="81"/>
            <rFont val="Tahoma"/>
            <family val="2"/>
          </rPr>
          <t>AEO data for steam coal to 2030 Mini-CAM projections thereafter (see AEO Data Tab), HHV and LHV, GREET assumptions for electric power</t>
        </r>
      </text>
    </comment>
    <comment ref="H57" authorId="1" shapeId="0" xr:uid="{00000000-0006-0000-0B00-000015000000}">
      <text>
        <r>
          <rPr>
            <b/>
            <sz val="8"/>
            <color indexed="81"/>
            <rFont val="Tahoma"/>
            <family val="2"/>
          </rPr>
          <t>Rachel Gelman:</t>
        </r>
        <r>
          <rPr>
            <sz val="8"/>
            <color indexed="81"/>
            <rFont val="Tahoma"/>
            <family val="2"/>
          </rPr>
          <t xml:space="preserve">
Based on 2009 AEO Reference Case</t>
        </r>
      </text>
    </comment>
    <comment ref="I57" authorId="1" shapeId="0" xr:uid="{00000000-0006-0000-0B00-000016000000}">
      <text>
        <r>
          <rPr>
            <b/>
            <sz val="8"/>
            <color indexed="81"/>
            <rFont val="Tahoma"/>
            <family val="2"/>
          </rPr>
          <t>Rachel Gelman:</t>
        </r>
        <r>
          <rPr>
            <sz val="8"/>
            <color indexed="81"/>
            <rFont val="Tahoma"/>
            <family val="2"/>
          </rPr>
          <t xml:space="preserve">
Based on 2009 AEO Reference Case</t>
        </r>
      </text>
    </comment>
    <comment ref="J57" authorId="1" shapeId="0" xr:uid="{00000000-0006-0000-0B00-000017000000}">
      <text>
        <r>
          <rPr>
            <b/>
            <sz val="8"/>
            <color indexed="81"/>
            <rFont val="Tahoma"/>
            <family val="2"/>
          </rPr>
          <t>Rachel Gelman:</t>
        </r>
        <r>
          <rPr>
            <sz val="8"/>
            <color indexed="81"/>
            <rFont val="Tahoma"/>
            <family val="2"/>
          </rPr>
          <t xml:space="preserve">
Based on 2009 AEO Reference Case</t>
        </r>
      </text>
    </comment>
    <comment ref="K57" authorId="1" shapeId="0" xr:uid="{00000000-0006-0000-0B00-000018000000}">
      <text>
        <r>
          <rPr>
            <b/>
            <sz val="8"/>
            <color indexed="81"/>
            <rFont val="Tahoma"/>
            <family val="2"/>
          </rPr>
          <t>Rachel Gelman:</t>
        </r>
        <r>
          <rPr>
            <sz val="8"/>
            <color indexed="81"/>
            <rFont val="Tahoma"/>
            <family val="2"/>
          </rPr>
          <t xml:space="preserve">
Based on 2009 AEO Reference Case</t>
        </r>
      </text>
    </comment>
    <comment ref="L57" authorId="1" shapeId="0" xr:uid="{00000000-0006-0000-0B00-000019000000}">
      <text>
        <r>
          <rPr>
            <b/>
            <sz val="8"/>
            <color indexed="81"/>
            <rFont val="Tahoma"/>
            <family val="2"/>
          </rPr>
          <t>Rachel Gelman:</t>
        </r>
        <r>
          <rPr>
            <sz val="8"/>
            <color indexed="81"/>
            <rFont val="Tahoma"/>
            <family val="2"/>
          </rPr>
          <t xml:space="preserve">
Based on 2009 AEO Reference Case</t>
        </r>
      </text>
    </comment>
    <comment ref="M57" authorId="1" shapeId="0" xr:uid="{00000000-0006-0000-0B00-00001A000000}">
      <text>
        <r>
          <rPr>
            <b/>
            <sz val="8"/>
            <color indexed="81"/>
            <rFont val="Tahoma"/>
            <family val="2"/>
          </rPr>
          <t>Rachel Gelman:</t>
        </r>
        <r>
          <rPr>
            <sz val="8"/>
            <color indexed="81"/>
            <rFont val="Tahoma"/>
            <family val="2"/>
          </rPr>
          <t xml:space="preserve">
Based on 2009 AEO Reference Case</t>
        </r>
      </text>
    </comment>
    <comment ref="A63" authorId="0" shapeId="0" xr:uid="{00000000-0006-0000-0B00-00001B000000}">
      <text>
        <r>
          <rPr>
            <b/>
            <sz val="8"/>
            <color indexed="81"/>
            <rFont val="Tahoma"/>
            <family val="2"/>
          </rPr>
          <t>dsteward:</t>
        </r>
        <r>
          <rPr>
            <sz val="8"/>
            <color indexed="81"/>
            <rFont val="Tahoma"/>
            <family val="2"/>
          </rPr>
          <t xml:space="preserve">
values are assumed $/mmBtu LHV
</t>
        </r>
      </text>
    </comment>
    <comment ref="D63" authorId="0" shapeId="0" xr:uid="{00000000-0006-0000-0B00-00001C000000}">
      <text>
        <r>
          <rPr>
            <b/>
            <sz val="8"/>
            <color indexed="81"/>
            <rFont val="Tahoma"/>
            <family val="2"/>
          </rPr>
          <t>dsteward:</t>
        </r>
        <r>
          <rPr>
            <sz val="8"/>
            <color indexed="81"/>
            <rFont val="Tahoma"/>
            <family val="2"/>
          </rPr>
          <t xml:space="preserve">
values are assumed $/mmBtu LHV
</t>
        </r>
      </text>
    </comment>
    <comment ref="A64" authorId="0" shapeId="0" xr:uid="{00000000-0006-0000-0B00-00001D000000}">
      <text>
        <r>
          <rPr>
            <sz val="8"/>
            <color indexed="81"/>
            <rFont val="Tahoma"/>
            <family val="2"/>
          </rPr>
          <t xml:space="preserve">Data from HyARC - see AEO tab
</t>
        </r>
      </text>
    </comment>
    <comment ref="D64" authorId="0" shapeId="0" xr:uid="{00000000-0006-0000-0B00-00001E000000}">
      <text>
        <r>
          <rPr>
            <sz val="8"/>
            <color indexed="81"/>
            <rFont val="Tahoma"/>
            <family val="2"/>
          </rPr>
          <t xml:space="preserve">Data from HyARC - see AEO tab
copied values are in $2005/GJ LHV
</t>
        </r>
      </text>
    </comment>
    <comment ref="D65" authorId="0" shapeId="0" xr:uid="{00000000-0006-0000-0B00-00001F000000}">
      <text>
        <r>
          <rPr>
            <sz val="8"/>
            <color indexed="81"/>
            <rFont val="Tahoma"/>
            <family val="2"/>
          </rPr>
          <t>AEO data for steam coal to 2030 Mini-CAM projections thereafter (see AEO Data Tab), HHV and LHV, GREET assumptions for electric power</t>
        </r>
      </text>
    </comment>
    <comment ref="A94" authorId="0" shapeId="0" xr:uid="{00000000-0006-0000-0B00-000020000000}">
      <text>
        <r>
          <rPr>
            <sz val="8"/>
            <color indexed="81"/>
            <rFont val="Tahoma"/>
            <family val="2"/>
          </rPr>
          <t xml:space="preserve">Data from HyARC - see AEO tab
Data from 2005 was assumed to be in $/GJ LHV
</t>
        </r>
      </text>
    </comment>
    <comment ref="D94" authorId="0" shapeId="0" xr:uid="{00000000-0006-0000-0B00-000021000000}">
      <text>
        <r>
          <rPr>
            <sz val="8"/>
            <color indexed="81"/>
            <rFont val="Tahoma"/>
            <family val="2"/>
          </rPr>
          <t xml:space="preserve">Data from HyARC - see AEO tab
copied values are in $2005/GJ LHV
</t>
        </r>
      </text>
    </comment>
    <comment ref="D97" authorId="0" shapeId="0" xr:uid="{00000000-0006-0000-0B00-000022000000}">
      <text>
        <r>
          <rPr>
            <sz val="8"/>
            <color indexed="81"/>
            <rFont val="Tahoma"/>
            <family val="2"/>
          </rPr>
          <t>AEO data for steam coal to 2030 Mini-CAM projections thereafter (see AEO Data Tab), HHV and LHV, GREET assumptions for electric power</t>
        </r>
      </text>
    </comment>
    <comment ref="A111" authorId="2" shapeId="0" xr:uid="{00000000-0006-0000-0B00-000023000000}">
      <text>
        <r>
          <rPr>
            <b/>
            <sz val="9"/>
            <color indexed="81"/>
            <rFont val="Tahoma"/>
            <family val="2"/>
          </rPr>
          <t>Yongling:</t>
        </r>
        <r>
          <rPr>
            <sz val="9"/>
            <color indexed="81"/>
            <rFont val="Tahoma"/>
            <family val="2"/>
          </rPr>
          <t xml:space="preserve">
Industrial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dsteward</author>
    <author>Rachel Gelman</author>
  </authors>
  <commentList>
    <comment ref="B70" authorId="0" shapeId="0" xr:uid="{00000000-0006-0000-0E00-000001000000}">
      <text>
        <r>
          <rPr>
            <b/>
            <sz val="8"/>
            <color indexed="81"/>
            <rFont val="Tahoma"/>
            <family val="2"/>
          </rPr>
          <t>dsteward:</t>
        </r>
        <r>
          <rPr>
            <sz val="8"/>
            <color indexed="81"/>
            <rFont val="Tahoma"/>
            <family val="2"/>
          </rPr>
          <t xml:space="preserve">
Source for original price data</t>
        </r>
      </text>
    </comment>
    <comment ref="E70" authorId="0" shapeId="0" xr:uid="{00000000-0006-0000-0E00-000002000000}">
      <text>
        <r>
          <rPr>
            <b/>
            <sz val="8"/>
            <color indexed="81"/>
            <rFont val="Tahoma"/>
            <family val="2"/>
          </rPr>
          <t>dsteward:</t>
        </r>
        <r>
          <rPr>
            <sz val="8"/>
            <color indexed="81"/>
            <rFont val="Tahoma"/>
            <family val="2"/>
          </rPr>
          <t xml:space="preserve">
Enter as $(reference year)/GJ</t>
        </r>
      </text>
    </comment>
    <comment ref="G70" authorId="0" shapeId="0" xr:uid="{00000000-0006-0000-0E00-000003000000}">
      <text>
        <r>
          <rPr>
            <b/>
            <sz val="8"/>
            <color indexed="81"/>
            <rFont val="Tahoma"/>
            <family val="2"/>
          </rPr>
          <t>dsteward:</t>
        </r>
        <r>
          <rPr>
            <sz val="8"/>
            <color indexed="81"/>
            <rFont val="Tahoma"/>
            <family val="2"/>
          </rPr>
          <t xml:space="preserve">
If original price data is given in LHV units, set the value in this column to 1.</t>
        </r>
      </text>
    </comment>
    <comment ref="I70" authorId="0" shapeId="0" xr:uid="{00000000-0006-0000-0E00-000004000000}">
      <text>
        <r>
          <rPr>
            <b/>
            <sz val="8"/>
            <color indexed="81"/>
            <rFont val="Tahoma"/>
            <family val="2"/>
          </rPr>
          <t>dsteward:</t>
        </r>
        <r>
          <rPr>
            <sz val="8"/>
            <color indexed="81"/>
            <rFont val="Tahoma"/>
            <family val="2"/>
          </rPr>
          <t xml:space="preserve">
For example, enter the LHV of natural gas in GJ/Nm3 if usage is to be entered in Nm3.</t>
        </r>
      </text>
    </comment>
    <comment ref="K70" authorId="0" shapeId="0" xr:uid="{00000000-0006-0000-0E00-000005000000}">
      <text>
        <r>
          <rPr>
            <b/>
            <sz val="8"/>
            <color indexed="81"/>
            <rFont val="Tahoma"/>
            <family val="2"/>
          </rPr>
          <t>dsteward:</t>
        </r>
        <r>
          <rPr>
            <sz val="8"/>
            <color indexed="81"/>
            <rFont val="Tahoma"/>
            <family val="2"/>
          </rPr>
          <t xml:space="preserve">
Total CO2 produced from complete carbon conversion during the hydrogen production process</t>
        </r>
      </text>
    </comment>
    <comment ref="B153" authorId="1" shapeId="0" xr:uid="{00000000-0006-0000-0E00-000006000000}">
      <text>
        <r>
          <rPr>
            <b/>
            <sz val="8"/>
            <color indexed="81"/>
            <rFont val="Tahoma"/>
            <family val="2"/>
          </rPr>
          <t>Rachel Gelman:</t>
        </r>
        <r>
          <rPr>
            <sz val="8"/>
            <color indexed="81"/>
            <rFont val="Tahoma"/>
            <family val="2"/>
          </rPr>
          <t xml:space="preserve">
NG values include NG recovery, processing and transportation to plant gate but do not include the combustion of NG. The generation of steam from NG includes all of the above plus the actual combustion of NG to provide heat of evaporation. </t>
        </r>
      </text>
    </comment>
  </commentList>
</comments>
</file>

<file path=xl/sharedStrings.xml><?xml version="1.0" encoding="utf-8"?>
<sst xmlns="http://schemas.openxmlformats.org/spreadsheetml/2006/main" count="3991" uniqueCount="1429">
  <si>
    <t>Real Present Value of Depreciation</t>
  </si>
  <si>
    <t>Approx Capital Charge Rate</t>
  </si>
  <si>
    <t>Cost Contribution ($/ kg H2)</t>
  </si>
  <si>
    <t>Cost Contribution ($/ tonne CO2 Sequestered)</t>
  </si>
  <si>
    <t>O&amp;M Cost</t>
  </si>
  <si>
    <t>Energy Cost</t>
  </si>
  <si>
    <t>*Carbon sequestration costs presented in this table do not include carbon capture capital and operating costs.</t>
  </si>
  <si>
    <t>anal_period</t>
  </si>
  <si>
    <t>cap_factor</t>
  </si>
  <si>
    <t>CO2_seq</t>
  </si>
  <si>
    <t>construct</t>
  </si>
  <si>
    <t>Sensitivity_Variables</t>
  </si>
  <si>
    <t>Total Direct Capital Cost</t>
  </si>
  <si>
    <t>debt_interest</t>
  </si>
  <si>
    <t>debt_period</t>
  </si>
  <si>
    <t>START_TOP</t>
  </si>
  <si>
    <t>Delete_As_List</t>
  </si>
  <si>
    <t>All</t>
  </si>
  <si>
    <t>decom_percent</t>
  </si>
  <si>
    <t xml:space="preserve"> % Equity Financing</t>
  </si>
  <si>
    <t>Plant Output (kg/year)</t>
  </si>
  <si>
    <t>Total Tax Rate (%)</t>
  </si>
  <si>
    <t>Yes_No</t>
  </si>
  <si>
    <t>Yes</t>
  </si>
  <si>
    <t>depr_length</t>
  </si>
  <si>
    <t>depr_type</t>
  </si>
  <si>
    <t>design_cap</t>
  </si>
  <si>
    <t>Engin</t>
  </si>
  <si>
    <t>fed_tax_rate</t>
  </si>
  <si>
    <t>Fees</t>
  </si>
  <si>
    <t>inflation_rate</t>
  </si>
  <si>
    <t>licensing</t>
  </si>
  <si>
    <t>Debt Financing Calculations</t>
  </si>
  <si>
    <t>DO NOT ENTER ANYTHING ON THIS PAGE.  THE VALUES CALCULATED</t>
  </si>
  <si>
    <t>ON THIS PAGE ARE USED IN THE CASH FLOW ANALYSIS TAB.</t>
  </si>
  <si>
    <t>= Calculated Cells (do not change formulas)</t>
  </si>
  <si>
    <t>= Input Required</t>
  </si>
  <si>
    <t>= Optional Input; To Provide Additional Information Only</t>
  </si>
  <si>
    <t>= H2A Guidelines/Information Cells</t>
  </si>
  <si>
    <t>ANNUAL LOAN CALCULATION (if debt financing is assumed)</t>
  </si>
  <si>
    <t>Analysis Year</t>
  </si>
  <si>
    <t>Loan Year</t>
  </si>
  <si>
    <t>Principal Owed</t>
  </si>
  <si>
    <t>Annual Payment</t>
  </si>
  <si>
    <t>Interest</t>
  </si>
  <si>
    <t>Principal Payment</t>
  </si>
  <si>
    <t>New Principal</t>
  </si>
  <si>
    <t>Depreciation</t>
  </si>
  <si>
    <t>MACRS Depreciation Table (Half-Year Convention)</t>
  </si>
  <si>
    <t>Recovery Period</t>
  </si>
  <si>
    <t>NPV - Real IRR</t>
  </si>
  <si>
    <t>NPV - Nominal IRR</t>
  </si>
  <si>
    <t>Inputs from Cash-Input Sheet</t>
  </si>
  <si>
    <t>Depreciation Period (yrs)</t>
  </si>
  <si>
    <t>Total Initial Depreciable Capital</t>
  </si>
  <si>
    <t>DEPRECIATION CALCULATION TABLE</t>
  </si>
  <si>
    <t>Operation Year</t>
  </si>
  <si>
    <t>Annual Depreciable Capital</t>
  </si>
  <si>
    <t>Total</t>
  </si>
  <si>
    <t>DEPRECIATION CHARGES TO CASH FLOW TAB</t>
  </si>
  <si>
    <t>Depreciation Charge</t>
  </si>
  <si>
    <t>Post Analysis Depreciation</t>
  </si>
  <si>
    <t>Totals</t>
  </si>
  <si>
    <t xml:space="preserve">Remaining Book Value Calculation for Greater than 40-year Plant Life </t>
  </si>
  <si>
    <t>Year after 40</t>
  </si>
  <si>
    <t>DCF CALCULATION OUTPUTS:</t>
  </si>
  <si>
    <t>After Tax Real Capital Recovery Factor</t>
  </si>
  <si>
    <t>Energy Feedstocks</t>
  </si>
  <si>
    <t>Energy Utilities</t>
  </si>
  <si>
    <t>Energy Byproducts</t>
  </si>
  <si>
    <t>Other Material Inputs</t>
  </si>
  <si>
    <t>Type</t>
  </si>
  <si>
    <t>Cost (/usage unit)</t>
  </si>
  <si>
    <t>Other Material Byproducts</t>
  </si>
  <si>
    <t>Price (/usage unit)</t>
  </si>
  <si>
    <t>Import_Variable_List</t>
  </si>
  <si>
    <t>After Tax Nominal Capital Recovery Factor</t>
  </si>
  <si>
    <t>Total Real Fixed Charge Rate</t>
  </si>
  <si>
    <t>Total Nominal Fixed Charge Rate</t>
  </si>
  <si>
    <t>Specific Item Cost Calculation</t>
  </si>
  <si>
    <t>Cost Component</t>
  </si>
  <si>
    <t>Cost Contribution ($/kg)</t>
  </si>
  <si>
    <t>Percentage of H2 Cost</t>
  </si>
  <si>
    <t>Capital Costs</t>
  </si>
  <si>
    <t>Decommissioning Costs</t>
  </si>
  <si>
    <t>Fixed O&amp;M</t>
  </si>
  <si>
    <t>Other Raw Material Costs</t>
  </si>
  <si>
    <t>Byproduct Credits</t>
  </si>
  <si>
    <t>Other Variable Costs (including utilities)</t>
  </si>
  <si>
    <t>DCF CALCULATION INPUTS:</t>
  </si>
  <si>
    <t>Process</t>
  </si>
  <si>
    <t>Actual Hydrogen Produced (kg/yr)</t>
  </si>
  <si>
    <t>Actual Hydrogen Energy Produced (MMBtu(LHV)/yr)</t>
  </si>
  <si>
    <t>Actual Hydrogen Energy Produced (MJ(LHV)/yr)</t>
  </si>
  <si>
    <t>Design Capacity (kg/day)</t>
  </si>
  <si>
    <t>Design Capacity (kg/yr)</t>
  </si>
  <si>
    <t>Capacity Factor</t>
  </si>
  <si>
    <t>Financial</t>
  </si>
  <si>
    <t>Start-up Year</t>
  </si>
  <si>
    <t>After-Tax Real IRR</t>
  </si>
  <si>
    <t>Analysis Period (yrs)</t>
  </si>
  <si>
    <t>Plant Life (yrs)</t>
  </si>
  <si>
    <t>Inflation Rate</t>
  </si>
  <si>
    <t>Debt Financing</t>
  </si>
  <si>
    <t>Equity Financing</t>
  </si>
  <si>
    <t>Total Tax Rate</t>
  </si>
  <si>
    <t>Cost of Debt Financing</t>
  </si>
  <si>
    <t>Debt Financing Period (yrs)</t>
  </si>
  <si>
    <t>Interest Rate on Debt</t>
  </si>
  <si>
    <t>Construction/Start Up Information</t>
  </si>
  <si>
    <t>Construction Period (yrs)</t>
  </si>
  <si>
    <t>Start-up Period (yrs)</t>
  </si>
  <si>
    <t>% Revenue During Start-up</t>
  </si>
  <si>
    <t>% Variable Costs During Start-up</t>
  </si>
  <si>
    <t>% Fixed Costs During Start-up</t>
  </si>
  <si>
    <t>Depreciation Parameters</t>
  </si>
  <si>
    <t>Plant Costs (Inflated to Start-up Year $)</t>
  </si>
  <si>
    <t>Total Capital Investment</t>
  </si>
  <si>
    <t>CASH FLOW ANALYSIS</t>
  </si>
  <si>
    <t>Plant Life</t>
  </si>
  <si>
    <t>Inflation Price Increase Factor</t>
  </si>
  <si>
    <t>Portion of Initial Depreciable Capital Investment Financed with Debt (value ONLY used in debt financing calculations)</t>
  </si>
  <si>
    <t>Initial Equity Depreciable Capital</t>
  </si>
  <si>
    <t>Yearly Replacement Costs</t>
  </si>
  <si>
    <t>Energy: J/MJ</t>
  </si>
  <si>
    <t>Greenhouse Gas Emissions: grams/MJ</t>
  </si>
  <si>
    <t>Total Greenhouse Gas Emissions: grams/MJ</t>
  </si>
  <si>
    <t>Feedstock/Fuel</t>
  </si>
  <si>
    <t>Description</t>
  </si>
  <si>
    <t xml:space="preserve">Total Energy </t>
  </si>
  <si>
    <t>GHGs</t>
  </si>
  <si>
    <t>North American sources -- at plant gate</t>
  </si>
  <si>
    <t>U.S. Average - at Wall Outlet</t>
  </si>
  <si>
    <t>at Plant Gate</t>
  </si>
  <si>
    <t>at Forecourt</t>
  </si>
  <si>
    <t>Other Non-Depreciable Capital Costs</t>
  </si>
  <si>
    <t>Fixed Operating Cost</t>
  </si>
  <si>
    <t>Other Raw Material Cost</t>
  </si>
  <si>
    <t>Other Variable Operating Costs</t>
  </si>
  <si>
    <t>Debt Interest</t>
  </si>
  <si>
    <t>Pre-Depreciation Income</t>
  </si>
  <si>
    <t>Taxable Income</t>
  </si>
  <si>
    <t>Tax Rate</t>
  </si>
  <si>
    <t>Energy Feedstocks, Utilities and Byproducts</t>
  </si>
  <si>
    <t>Total Taxes</t>
  </si>
  <si>
    <t>After-Tax Income</t>
  </si>
  <si>
    <t>After-Tax Post-Depreciation Cash Flow</t>
  </si>
  <si>
    <t>Cumulative Cash Flow</t>
  </si>
  <si>
    <t>Pre-Tax Cash Flow</t>
  </si>
  <si>
    <t>Cumulative Total</t>
  </si>
  <si>
    <t>PV of Cash Flow</t>
  </si>
  <si>
    <t>After Tax Present Value</t>
  </si>
  <si>
    <t>% of Total</t>
  </si>
  <si>
    <t>$/kg of H2</t>
  </si>
  <si>
    <t>Capital-Related Costs</t>
  </si>
  <si>
    <t>Feedstock, Utility and Byproduct Cost Information (Start-Up Year $)</t>
  </si>
  <si>
    <t>operator_profit</t>
  </si>
  <si>
    <t>other_fees</t>
  </si>
  <si>
    <t>other_fixed</t>
  </si>
  <si>
    <t>Other_indirect</t>
  </si>
  <si>
    <t>overhead_rate</t>
  </si>
  <si>
    <t>percent_cap1</t>
  </si>
  <si>
    <t>percent_cap2</t>
  </si>
  <si>
    <t>percent_cap3</t>
  </si>
  <si>
    <t>percent_cap4</t>
  </si>
  <si>
    <t>percnt_fixed</t>
  </si>
  <si>
    <t>Temp_var_location</t>
  </si>
  <si>
    <t>percnt_revs</t>
  </si>
  <si>
    <t>percnt_var</t>
  </si>
  <si>
    <t>Permitting</t>
  </si>
  <si>
    <t>plant_life</t>
  </si>
  <si>
    <t>Process_cont</t>
  </si>
  <si>
    <t>prod_maint</t>
  </si>
  <si>
    <t>Project_cont</t>
  </si>
  <si>
    <t>real_irr</t>
  </si>
  <si>
    <t>rent</t>
  </si>
  <si>
    <t>replace_factor</t>
  </si>
  <si>
    <t>royalties</t>
  </si>
  <si>
    <t>salvage_perct</t>
  </si>
  <si>
    <t>Site_prep</t>
  </si>
  <si>
    <t>solidwaste_treat</t>
  </si>
  <si>
    <t>start_time</t>
  </si>
  <si>
    <t>startup_year</t>
  </si>
  <si>
    <t>Total Unplanned Replacement Capital Cost Factor (% of total depreciable capital costs/year)</t>
  </si>
  <si>
    <t>state_tax_rate</t>
  </si>
  <si>
    <t>tax_credit</t>
  </si>
  <si>
    <t>tax_ins_rate</t>
  </si>
  <si>
    <t>var_misc</t>
  </si>
  <si>
    <t>waste_treat</t>
  </si>
  <si>
    <t>WorkingCap</t>
  </si>
  <si>
    <t>Units for Feedstock Price Table</t>
  </si>
  <si>
    <t>Energy Feedstock</t>
  </si>
  <si>
    <t>Energy Utility</t>
  </si>
  <si>
    <t>Lookup Electricity Prices in Startup Year</t>
  </si>
  <si>
    <t>Price Table Start Year Column (relative)</t>
  </si>
  <si>
    <t>Raw Price ($/GJ)</t>
  </si>
  <si>
    <t>Price in Usage Units</t>
  </si>
  <si>
    <t>Use H2A default values</t>
  </si>
  <si>
    <t>H2A cell color coding</t>
  </si>
  <si>
    <t>ColorList</t>
  </si>
  <si>
    <t>Input</t>
  </si>
  <si>
    <t>Calculated</t>
  </si>
  <si>
    <t>UserInfo</t>
  </si>
  <si>
    <t>View and edit project information</t>
  </si>
  <si>
    <t>Process Flow Diagram</t>
  </si>
  <si>
    <t>Stream Summaries</t>
  </si>
  <si>
    <t>Purpose:</t>
  </si>
  <si>
    <t>System Description:</t>
  </si>
  <si>
    <t>Analysis Methodology Summary:</t>
  </si>
  <si>
    <t>Plant Ownership and Entity Type Assumptions:</t>
  </si>
  <si>
    <t>References:</t>
  </si>
  <si>
    <t>Title:</t>
  </si>
  <si>
    <t>Authors:</t>
  </si>
  <si>
    <t>Contact:</t>
  </si>
  <si>
    <t>Contact phone:</t>
  </si>
  <si>
    <t>Contact e-mail:</t>
  </si>
  <si>
    <t>Organization:</t>
  </si>
  <si>
    <t>Date:</t>
  </si>
  <si>
    <t>Web Site:</t>
  </si>
  <si>
    <t>Plant Design Capacity (kg/day):</t>
  </si>
  <si>
    <t>Start-up Year:</t>
  </si>
  <si>
    <t>Primary Product Feedstock Source:</t>
  </si>
  <si>
    <t>Secondary Feedstock Source:</t>
  </si>
  <si>
    <t>Process Energy Source:</t>
  </si>
  <si>
    <t>Conversion Technology:</t>
  </si>
  <si>
    <t>Primary By-Product:</t>
  </si>
  <si>
    <t>Secondary By-Product:</t>
  </si>
  <si>
    <t>Based on Number of Plants Installed per Year (per manufacturer):</t>
  </si>
  <si>
    <t>H2 Onsite Storage Type</t>
  </si>
  <si>
    <t>Assumed plant location:</t>
  </si>
  <si>
    <t>Reporting Spreadsheet Change History:</t>
  </si>
  <si>
    <t>Date spreadsheet created / modified</t>
  </si>
  <si>
    <t>Name</t>
  </si>
  <si>
    <t>Color Key</t>
  </si>
  <si>
    <t>Use default values (checkboxes)</t>
  </si>
  <si>
    <t>Total Process Pollutants Produced (kg /kg H2)</t>
  </si>
  <si>
    <t>Total Process Pollutants Produced (metric tons/year)</t>
  </si>
  <si>
    <t>Total Feedstock Pollutants Produced (kg /kg H2)</t>
  </si>
  <si>
    <t>Total Feedstock Pollutants Produced (metric tons /year)</t>
  </si>
  <si>
    <t>Total Process Emissions (kg/kg H2)</t>
  </si>
  <si>
    <t>CO2 Captured (kg/kg H2)*</t>
  </si>
  <si>
    <t>CO2 Captured (metric tons/year)*</t>
  </si>
  <si>
    <t>*Carbon sequestration values are only calculated if the detailed Carbon Sequestration sheet is used.</t>
  </si>
  <si>
    <t>Energy Byproduct</t>
  </si>
  <si>
    <t>Other Feed</t>
  </si>
  <si>
    <t>Other Byproduct</t>
  </si>
  <si>
    <t>direct_cap</t>
  </si>
  <si>
    <t>equity</t>
  </si>
  <si>
    <t>Feedstock</t>
  </si>
  <si>
    <t>NPV</t>
  </si>
  <si>
    <t>Stotal_feedstock</t>
  </si>
  <si>
    <t>Total_Energy_Feed_Cost</t>
  </si>
  <si>
    <t>Total_Energy_Utilities_Cost</t>
  </si>
  <si>
    <t>Total Feedstock Costs ($/year)</t>
  </si>
  <si>
    <t>Total Utility Costs ($/year)</t>
  </si>
  <si>
    <t>Total Byproduct Credits ($/year)</t>
  </si>
  <si>
    <t>Total_Energy_Byproduct_Credit</t>
  </si>
  <si>
    <t>total_non_energy_byproduct_credit</t>
  </si>
  <si>
    <t>Total Variable Operating Costs ($/year)</t>
  </si>
  <si>
    <t>total_byproducts</t>
  </si>
  <si>
    <t>Stotal_var</t>
  </si>
  <si>
    <t xml:space="preserve">INFLATION FACTOR (1 + inflation rate)^(startup year - reference year) = </t>
  </si>
  <si>
    <t>Lookup Prices</t>
  </si>
  <si>
    <t>Feedstock Name</t>
  </si>
  <si>
    <t>Usage (/kg H2)</t>
  </si>
  <si>
    <t>Price ($/ usage unit)</t>
  </si>
  <si>
    <t>Lookup Price?</t>
  </si>
  <si>
    <t>H2A Usage Input Unit/ kg H2</t>
  </si>
  <si>
    <t>kg</t>
  </si>
  <si>
    <t>L</t>
  </si>
  <si>
    <t>Add_As_List</t>
  </si>
  <si>
    <t>Utility</t>
  </si>
  <si>
    <t>Byproduct</t>
  </si>
  <si>
    <t>START_UTILITY</t>
  </si>
  <si>
    <t>START_BYPROD</t>
  </si>
  <si>
    <t>Select the Price Table to Use</t>
  </si>
  <si>
    <t>Total Energy Byproduct Credit ($/year)</t>
  </si>
  <si>
    <t>Total Energy Feedstock Cost ($/year)</t>
  </si>
  <si>
    <t>Total Energy Utilities Cost ($/year)</t>
  </si>
  <si>
    <t>Total Non Energy Byproduct Credits ($/year)</t>
  </si>
  <si>
    <t>total_other_raw</t>
  </si>
  <si>
    <t>total_utilities</t>
  </si>
  <si>
    <t>No</t>
  </si>
  <si>
    <t>Industrial Natural Gas</t>
  </si>
  <si>
    <t>To Convert From</t>
  </si>
  <si>
    <t>To</t>
  </si>
  <si>
    <t>Multiply by:</t>
  </si>
  <si>
    <t>General</t>
  </si>
  <si>
    <t>miles</t>
  </si>
  <si>
    <t>km</t>
  </si>
  <si>
    <t>gallons</t>
  </si>
  <si>
    <t>liters</t>
  </si>
  <si>
    <t>MPG</t>
  </si>
  <si>
    <t>kWh/km</t>
  </si>
  <si>
    <t>Energy</t>
  </si>
  <si>
    <t>MJ</t>
  </si>
  <si>
    <t>kWh</t>
  </si>
  <si>
    <t>gallon of gasoline eq (GGE) -conventional gasoline</t>
  </si>
  <si>
    <t>kg H2 (LHV)</t>
  </si>
  <si>
    <t>GGE</t>
  </si>
  <si>
    <t xml:space="preserve">btu </t>
  </si>
  <si>
    <t>HyARC Energy Constants and Assumptions</t>
  </si>
  <si>
    <t>Fuels</t>
  </si>
  <si>
    <t>Lower Heating Value (LHV) [1]</t>
  </si>
  <si>
    <t>Higher Heating Value (HHV) [1]</t>
  </si>
  <si>
    <t>Density</t>
  </si>
  <si>
    <t>Btu/lb [3]</t>
  </si>
  <si>
    <t>MJ/kg [4]</t>
  </si>
  <si>
    <t>Liquid Fuels</t>
  </si>
  <si>
    <t>Btu/gal [2]</t>
  </si>
  <si>
    <t>grams/gal</t>
  </si>
  <si>
    <t>Methanol</t>
  </si>
  <si>
    <t>Ethanol</t>
  </si>
  <si>
    <t>Propane</t>
  </si>
  <si>
    <t>Solid Fuels</t>
  </si>
  <si>
    <t>Btu/ton [2]</t>
  </si>
  <si>
    <t>Btu/lb [5]</t>
  </si>
  <si>
    <t>Notes:</t>
  </si>
  <si>
    <t>[4] The heating values in units of MJ/kg, are converted from the heating values in units of Btu/lb.</t>
  </si>
  <si>
    <t>[5] For solid fuels, the heating values in units of Btu/lb are converted from the heating values in units of Btu/ton.</t>
  </si>
  <si>
    <t>Source:</t>
  </si>
  <si>
    <t>leave this sheet as is for scaled costs</t>
  </si>
  <si>
    <t>Technical Operating Parameters and Specifications</t>
  </si>
  <si>
    <t>% of Capital Spent in 4th Year of Construction</t>
  </si>
  <si>
    <t>Operating Capacity Factor (fraction)</t>
  </si>
  <si>
    <t>Decommissioning costs (fraction of depreciable capital investment)</t>
  </si>
  <si>
    <t>Salvage value (fraction of total capital investment)</t>
  </si>
  <si>
    <t>Inflation rate (fraction)</t>
  </si>
  <si>
    <t>After-tax Real IRR (fraction)</t>
  </si>
  <si>
    <t>State Taxes (fraction)</t>
  </si>
  <si>
    <t>Federal Taxes (fraction)</t>
  </si>
  <si>
    <t>WORKING CAPITAL (fraction of yearly change in operating costs)</t>
  </si>
  <si>
    <t>G&amp;A rate (fraction of labor cost)</t>
  </si>
  <si>
    <t>Property tax and insurance rate (fraction of total capital investment)</t>
  </si>
  <si>
    <t>Operating Capacity Factor (%)</t>
  </si>
  <si>
    <t>Plant Design Capacity (kg of H2/day)</t>
  </si>
  <si>
    <t>H2A Total Direct Capital Cost</t>
  </si>
  <si>
    <t>Indirect Depreciable Capital Costs</t>
  </si>
  <si>
    <t>Engineering &amp; design ($)</t>
  </si>
  <si>
    <t>CO2_Capture_Efficiency</t>
  </si>
  <si>
    <t>CO2_MaintFactor</t>
  </si>
  <si>
    <t>CO2_PipeFactor</t>
  </si>
  <si>
    <t>CO2_SiteCap</t>
  </si>
  <si>
    <t>CO2_WellDepth</t>
  </si>
  <si>
    <t>CO2_TerrainType</t>
  </si>
  <si>
    <t>CO2_PipeLength</t>
  </si>
  <si>
    <t>CO2_Value_Defaults</t>
  </si>
  <si>
    <t>Process contingency ($)</t>
  </si>
  <si>
    <t>Project contingency ($)</t>
  </si>
  <si>
    <t>One-time Licensing Fees ($)</t>
  </si>
  <si>
    <t>Other (Depreciable) capital ($)</t>
  </si>
  <si>
    <t>Non-Depreciable Capital Costs</t>
  </si>
  <si>
    <t>Cost of land ($/acre)</t>
  </si>
  <si>
    <t>Land required (acres)</t>
  </si>
  <si>
    <t>Fixed Operating Costs</t>
  </si>
  <si>
    <t>Total plant staff (number of FTEs employed by plant)</t>
  </si>
  <si>
    <t>Burdened labor cost, including overhead ($/man-hr)</t>
  </si>
  <si>
    <t>G&amp;A rate (% of labor cost)</t>
  </si>
  <si>
    <t>Licensing, Permits and Fees ($/year)</t>
  </si>
  <si>
    <t>Rent ($/year)</t>
  </si>
  <si>
    <t>Material costs for maintenance and repairs ($/year)</t>
  </si>
  <si>
    <t>Production Maintenance and Repairs ($/year)</t>
  </si>
  <si>
    <t>Other Fees ($/year)</t>
  </si>
  <si>
    <t>Other Fixed O&amp;M Costs ($/year)</t>
  </si>
  <si>
    <t>Other variable operating costs (e.g. environmental surcharges) ($/year)</t>
  </si>
  <si>
    <t>Waste treatment costs ($/year)</t>
  </si>
  <si>
    <t>Solid waste disposal costs ($/year)</t>
  </si>
  <si>
    <t>Total Unplanned Replacement Capital Cost Factor (% of total direct depreciable costs/year)</t>
  </si>
  <si>
    <t>Royalties ($/year)</t>
  </si>
  <si>
    <t xml:space="preserve">Operator Profit ($/year) </t>
  </si>
  <si>
    <t>Subsidies, Tax Incentives ($/year)</t>
  </si>
  <si>
    <t>WORKING CAPITAL (% of yearly change in operating costs)</t>
  </si>
  <si>
    <t>Financial Input Values</t>
  </si>
  <si>
    <t>Assumed start-up year</t>
  </si>
  <si>
    <t>Length of Construction Period (years)</t>
  </si>
  <si>
    <t>% of Capital Spent in 2nd Year of Construction</t>
  </si>
  <si>
    <t>% of Capital Spent in 3rd Year of Construction</t>
  </si>
  <si>
    <t>MPa</t>
  </si>
  <si>
    <t>Start-up Time (years)</t>
  </si>
  <si>
    <t>Plant life (years)</t>
  </si>
  <si>
    <t>Analysis period (years)</t>
  </si>
  <si>
    <t>Depreciation Schedule Length (years)</t>
  </si>
  <si>
    <t>Debt period (years)</t>
  </si>
  <si>
    <t>% of Fixed Operating Costs During Start-up (%)</t>
  </si>
  <si>
    <t>% of Revenues During Start-up (%)</t>
  </si>
  <si>
    <t>% of Variable Operating Costs During Start-up (%)</t>
  </si>
  <si>
    <t>Decommissioning costs (% of depreciable capital investment)</t>
  </si>
  <si>
    <t>Salvage value (% of total capital investment)</t>
  </si>
  <si>
    <t>Interest rate on debt, if applicable (%)</t>
  </si>
  <si>
    <t>Depreciation Type</t>
  </si>
  <si>
    <t>Carbon Sequestration Calculation Information</t>
  </si>
  <si>
    <t>H2a Analysis Results</t>
  </si>
  <si>
    <t>COST RESULTS</t>
  </si>
  <si>
    <t>ENERGY</t>
  </si>
  <si>
    <t>Production Process Energy Efficiency</t>
  </si>
  <si>
    <t>Carbon sequestration energy input (GJ/kg H2)</t>
  </si>
  <si>
    <t>Upstream Energy Usage (GJ/kg H2)</t>
  </si>
  <si>
    <t>Total Energy</t>
  </si>
  <si>
    <t>Fossil Fuels</t>
  </si>
  <si>
    <t>Petroleum</t>
  </si>
  <si>
    <t>Carbon Sequestration</t>
  </si>
  <si>
    <t>EMISSIONS</t>
  </si>
  <si>
    <t>Emissions Summary</t>
  </si>
  <si>
    <t>CO2</t>
  </si>
  <si>
    <t>CH4</t>
  </si>
  <si>
    <t>N2O</t>
  </si>
  <si>
    <t>Total GHG (CO2 eq)</t>
  </si>
  <si>
    <t>Central Hydrogen Production - Project Information</t>
  </si>
  <si>
    <t>Central Hydrogen Production - Description</t>
  </si>
  <si>
    <t>Central Hydrogen Production - Process Flow Diagram</t>
  </si>
  <si>
    <t>Costs for carbon (CO2) compression, transport to the sequestration site and injection are calculated in this section.  Capital and operating costs for carbon capture are assumed to be included in the capital and operating costs for the production facility and are not included here.  For H2A analysis of hydrogen production processes, it is assumed that only carbon contained in the process feedstock can be captured.  Carbon contained in fuels such as natural gas used for steam generation (i.e., as a utility) cannot be captured.  Therefore, only CO2 emissions from feedstocks are shown below.  CO2 emissions from fuels used as utilities are included in the total emissions from the process shown on the Results sheet.  All feedstocks and utilities should be specified before completing this section.  See the QuickStart Guide for information on the derivation of the equations used in this section.</t>
  </si>
  <si>
    <t>Carbon Sequestration Information</t>
  </si>
  <si>
    <t>Carbon Sequestration Input Values</t>
  </si>
  <si>
    <t>CO2 emissions are based on the carbon content of the feed.  See the Physical Properties Table for specific values</t>
  </si>
  <si>
    <t>kW</t>
  </si>
  <si>
    <t>psi</t>
  </si>
  <si>
    <t>O&amp;M Costs</t>
  </si>
  <si>
    <t>cultivated land</t>
  </si>
  <si>
    <t>grassland</t>
  </si>
  <si>
    <t>wooded</t>
  </si>
  <si>
    <t>jungle</t>
  </si>
  <si>
    <t>&lt;20% Mountainous</t>
  </si>
  <si>
    <t>stony desert</t>
  </si>
  <si>
    <t>&gt;50% Mountainous</t>
  </si>
  <si>
    <t>UK</t>
  </si>
  <si>
    <t>Summary of Output Values</t>
  </si>
  <si>
    <t>CO2 Compressor</t>
  </si>
  <si>
    <t>CO2 Injection (Site and wells)</t>
  </si>
  <si>
    <t>CO2 Pipeline</t>
  </si>
  <si>
    <t>CO2 Mass Flowrate (metric tons/day)</t>
  </si>
  <si>
    <t>Plant Output (kg/day)</t>
  </si>
  <si>
    <t>Electricity Cost ($/kWh)</t>
  </si>
  <si>
    <t>Price for industrial electricity in the startup year</t>
  </si>
  <si>
    <t>Carbon Sequestration Calculations</t>
  </si>
  <si>
    <t>CO2_Location</t>
  </si>
  <si>
    <t>USA, Canada, Europe, Japan, Australia</t>
  </si>
  <si>
    <t>CO2_Terrain</t>
  </si>
  <si>
    <t>* Biomass prices shown for years 2001 through 2009 are the same as the EIA value for 2010.  For the post-2025 biomass prices:  The value for 2035 was chosen based on a review of the literature, which indicated a price of $2.50/MMBtu delivered dry English ton (in 2000$) was a reasonable mid-range projection.  Values for the 2026 through 2034 were interpolated from the 2025 and 2035 values.  The value of $5.00/MMBtu delivered dry English ton in 2065 was based on judgment.  An EIA paper by Zia Haq entitled, “Biomass for Electricity Generation” (available from EIA’s website) indicates that about 7 quads of biomass per year  would be available if the price rose to  $5/MMBtu.</t>
  </si>
  <si>
    <t>MACRS</t>
  </si>
  <si>
    <t>Input_Value_Defaults</t>
  </si>
  <si>
    <t/>
  </si>
  <si>
    <t>Notes</t>
  </si>
  <si>
    <t>Raw EIA Price Data</t>
  </si>
  <si>
    <t>AEO 2005 Reference Case</t>
  </si>
  <si>
    <t>Energy Prices</t>
  </si>
  <si>
    <t>Name of file: aeotab_3.xls</t>
  </si>
  <si>
    <t>http://www.eia.doe.gov/oiaf/aeo/index.html</t>
  </si>
  <si>
    <t xml:space="preserve"> Table   3.  Energy Prices by Sector and Source</t>
  </si>
  <si>
    <t xml:space="preserve">                      (2003 Dollars per Million Btu, Unless Otherwise Noted)</t>
  </si>
  <si>
    <t>2002</t>
  </si>
  <si>
    <t>2003</t>
  </si>
  <si>
    <t>2004</t>
  </si>
  <si>
    <t>2005</t>
  </si>
  <si>
    <t>2006</t>
  </si>
  <si>
    <t>2007</t>
  </si>
  <si>
    <t>2008</t>
  </si>
  <si>
    <t>2009</t>
  </si>
  <si>
    <t>2010</t>
  </si>
  <si>
    <t>2011</t>
  </si>
  <si>
    <t>2012</t>
  </si>
  <si>
    <t>2013</t>
  </si>
  <si>
    <t>2014</t>
  </si>
  <si>
    <t>2015</t>
  </si>
  <si>
    <t>2016</t>
  </si>
  <si>
    <t>2017</t>
  </si>
  <si>
    <t>2018</t>
  </si>
  <si>
    <t>2019</t>
  </si>
  <si>
    <t>2020</t>
  </si>
  <si>
    <t>2021</t>
  </si>
  <si>
    <t>2022</t>
  </si>
  <si>
    <t>2023</t>
  </si>
  <si>
    <t>2024</t>
  </si>
  <si>
    <t>2025</t>
  </si>
  <si>
    <t xml:space="preserve"> Residential</t>
  </si>
  <si>
    <t xml:space="preserve">   Primary Energy 1/</t>
  </si>
  <si>
    <t xml:space="preserve">     Petroleum Products 2/</t>
  </si>
  <si>
    <t xml:space="preserve">       Distillate Fuel</t>
  </si>
  <si>
    <t xml:space="preserve">       Liquefied Petroleum Gas</t>
  </si>
  <si>
    <t xml:space="preserve">     Natural Gas</t>
  </si>
  <si>
    <t xml:space="preserve">   Electricity</t>
  </si>
  <si>
    <t xml:space="preserve"> Commercial</t>
  </si>
  <si>
    <t xml:space="preserve">       Residual Fuel</t>
  </si>
  <si>
    <t xml:space="preserve"> Industrial 3/</t>
  </si>
  <si>
    <t xml:space="preserve">   Primary Energy</t>
  </si>
  <si>
    <t xml:space="preserve">     Natural Gas 4/</t>
  </si>
  <si>
    <t xml:space="preserve">     Metallurgical Coal</t>
  </si>
  <si>
    <t xml:space="preserve">     Steam Coal</t>
  </si>
  <si>
    <t xml:space="preserve"> Transportation</t>
  </si>
  <si>
    <t xml:space="preserve">       Distillate Fuel 5/</t>
  </si>
  <si>
    <t xml:space="preserve">       Jet Fuel 6/</t>
  </si>
  <si>
    <t xml:space="preserve">       Motor Gasoline 7/</t>
  </si>
  <si>
    <t xml:space="preserve">       Liquefied Petroleum Gas8/</t>
  </si>
  <si>
    <t xml:space="preserve">     Natural Gas 9/</t>
  </si>
  <si>
    <t>TABLE OF CONTENTS</t>
  </si>
  <si>
    <t>DCF Calculations</t>
  </si>
  <si>
    <t>Yearly Cash Flow Calculations</t>
  </si>
  <si>
    <t>Feedstock, Utility, and Byproduct Cost Information</t>
  </si>
  <si>
    <t xml:space="preserve">     Ethanol (E85) 10/</t>
  </si>
  <si>
    <t xml:space="preserve"> Average End-Use Energy</t>
  </si>
  <si>
    <t xml:space="preserve"> Electric Power 11/</t>
  </si>
  <si>
    <t xml:space="preserve">   Fossil Fuel Average</t>
  </si>
  <si>
    <t>Error</t>
  </si>
  <si>
    <t xml:space="preserve">     Petroleum Products</t>
  </si>
  <si>
    <t xml:space="preserve"> Average Price to All Users 12/</t>
  </si>
  <si>
    <t xml:space="preserve">   Petroleum Products 2/</t>
  </si>
  <si>
    <t xml:space="preserve">     Distillate Fuel</t>
  </si>
  <si>
    <t xml:space="preserve">     Jet Fuel</t>
  </si>
  <si>
    <t xml:space="preserve">     Liquefied Petroleum Gas</t>
  </si>
  <si>
    <t xml:space="preserve">     Motor Gasoline 7/</t>
  </si>
  <si>
    <t xml:space="preserve">     Residual Fuel</t>
  </si>
  <si>
    <t xml:space="preserve">   Natural Gas</t>
  </si>
  <si>
    <t xml:space="preserve">   Coal</t>
  </si>
  <si>
    <t xml:space="preserve">   Ethanol (E85) 10/</t>
  </si>
  <si>
    <t>Non-Renewable Energy Expenditures by Sector</t>
  </si>
  <si>
    <t>(billion 2003 dollars)</t>
  </si>
  <si>
    <t xml:space="preserve"> Industrial</t>
  </si>
  <si>
    <t xml:space="preserve">   Total Non-Renewable Expenditures</t>
  </si>
  <si>
    <t xml:space="preserve">   Transportation Renewable Expenditures</t>
  </si>
  <si>
    <t xml:space="preserve">   Total Expenditures</t>
  </si>
  <si>
    <t xml:space="preserve">   1/ Weighted average price includes fuels below as well as coal.</t>
  </si>
  <si>
    <t xml:space="preserve">   2/ This quantity is the weighted average for all petroleum products, not just those listed below.</t>
  </si>
  <si>
    <t xml:space="preserve">   3/ Includes energy for combined heat and power plants, except those whose primary business is to sell electricity, or electricity and heat, to the public.</t>
  </si>
  <si>
    <t xml:space="preserve">   4/ Excludes use for lease and plant fuel.</t>
  </si>
  <si>
    <t xml:space="preserve">   5/ Diesel fuel containing 500 parts per million (ppm) or 15 ppm sulfur.  Price includes Federal and State taxes while excluding county and local taxes.</t>
  </si>
  <si>
    <t xml:space="preserve">   6/ Kerosene-type jet fuel.  Price includes Federal and State taxes while excluding county and local taxes.</t>
  </si>
  <si>
    <t xml:space="preserve">   7/ Sales weighted-average price for all grades. Includes Federal, State, and local taxes.</t>
  </si>
  <si>
    <t xml:space="preserve">   8/ Includes Federal and State taxes while excluding county and local taxes.</t>
  </si>
  <si>
    <t xml:space="preserve">   9/ Compressed natural gas used as a vehicle fuel.  Price includes estimated motor vehicle fuel taxes.</t>
  </si>
  <si>
    <t>Low-sulfur diesel</t>
  </si>
  <si>
    <t>Natural gas</t>
  </si>
  <si>
    <t>CO2 Emissions (kg CO2/kg H2)</t>
  </si>
  <si>
    <t>Click to enter details on the Cost Detail Sheet</t>
  </si>
  <si>
    <t xml:space="preserve">   10/ E85 refers to a blend of 85 percent ethanol (renewable) and 15 percent motor gasoline (nonrenewable).  To address cold starting issues, the percentage of ethanol actually</t>
  </si>
  <si>
    <t>CH4 Emissions Factor (kg CH4 produced/GJ or mmBtu feed)</t>
  </si>
  <si>
    <t>N2O Emissions Factor (kg N2O produced/GJ or mmBtu feed)</t>
  </si>
  <si>
    <t>Production Process GHG Emissions Summary</t>
  </si>
  <si>
    <t>Production Process GHG Emissions (/kg H2)</t>
  </si>
  <si>
    <t>Greenhouse Gas Emissions Factors</t>
  </si>
  <si>
    <t>Total process emissions (kg/kg H2)</t>
  </si>
  <si>
    <t xml:space="preserve">Total upstream emissions (kg/kg H2) </t>
  </si>
  <si>
    <t>Total well to pump emissions (kg/kg H2)</t>
  </si>
  <si>
    <t>TOTAL</t>
  </si>
  <si>
    <t>varies seasonally.  The annual average ethanol content of 74 percent is used for this forecast.</t>
  </si>
  <si>
    <t xml:space="preserve">   11/ Includes electricity-only and combined heat and power plants whose primary business is to sell electricity, or electricity and heat, to the public.</t>
  </si>
  <si>
    <t xml:space="preserve">   12/ Weighted averages of end-use fuel prices are derived from the prices shown in each sector and the corresponding sectoral consumption.</t>
  </si>
  <si>
    <t xml:space="preserve">   Btu = British thermal unit.</t>
  </si>
  <si>
    <t xml:space="preserve">   Note:  Data for 2002 and 2003 are model results and may differ slightly from official EIA data reports.</t>
  </si>
  <si>
    <t xml:space="preserve">   Sources:  2002 and 2003 prices for motor gasoline, distillate, and jet fuel are based on prices in the Energy Information Administration (EIA), Petroleum Marketing Annual</t>
  </si>
  <si>
    <t>2003, DOE/EIA-0487(2003) (Washington, DC, August 2004).  2002 residential and commercial natural gas delivered prices:  EIA, Natural Gas Annual 2002, DOE/EIA-0131(2002)</t>
  </si>
  <si>
    <t>CO2 capture process outlet pressure (psia)</t>
  </si>
  <si>
    <t>CO2_Pin_psia</t>
  </si>
  <si>
    <t>psi/MPa</t>
  </si>
  <si>
    <t>(Washington, DC, January 2004).  2003 residential and commercial natural gas delivered prices:  EIA, Natural Gas Monthly, DOE/EIA-0130(2004/07) (Washington, DC, July 2004).</t>
  </si>
  <si>
    <t>2002 and 2003 electric power sector natural gas prices:  EIA, Electric Power Monthly, DOE/EIA-0226, May 2003 through April 2004, Table 4.11.A.  2002 and 2003 industrial natural</t>
  </si>
  <si>
    <t>gas delivered prices are estimated based on:  EIA, Manufacturing Energy Consumption Survey 1994 and industrial and wellhead prices from the Natural Gas Annual 2002,</t>
  </si>
  <si>
    <t>DOE/EIA-0131(2002) (Washington, DC, January 2004) and the Natural Gas Monthly, DOE/EIA-0130(2004/07) (Washington, DC, July 2004).  2002 transportation sector natural</t>
  </si>
  <si>
    <t>gas delivered prices are based on:  EIA, Natural Gas Annual 2002, DOE/EIA-0131(2002) (Washington, DC, January 2004) and estimated state and federal taxes.  2003</t>
  </si>
  <si>
    <t>transportation sector natural gas delivered prices are model results.  2002 and 2003 coal prices based on:  EIA, Quarterly Coal Report, October-December 2003,</t>
  </si>
  <si>
    <t>DOE/EIA-0121(2003/4Q) (Washington, DC, March 2004) and EIA, AEO2005 National Energy Modeling System run aeo2005.d102004a.  2002 and 2003 electricity prices:</t>
  </si>
  <si>
    <t>Annual Energy Review 2003, DOE/EIA-0384(2003) (Washington, DC, September 2004).  2002 and 2003 ethanol prices derived from weekly spot prices in the Oxy Fuel</t>
  </si>
  <si>
    <t>News.  Projections:  EIA, AEO2005 National Energy Modeling System run aeo2005.d102004a.</t>
  </si>
  <si>
    <t>Energy Prices in High A Case File</t>
  </si>
  <si>
    <t>AEO 2005 Appendix C, Table 3</t>
  </si>
  <si>
    <t>Name of file: aeo_hw-3.xls</t>
  </si>
  <si>
    <t>News.  Projections:  EIA, AEO2005 National Energy Modeling System run hw2005.d102004a.</t>
  </si>
  <si>
    <t>Table E.  Price Ratios from PNNL Mini-CAM Model</t>
  </si>
  <si>
    <t xml:space="preserve"> Ratio 2050 to 2035 Price</t>
  </si>
  <si>
    <t xml:space="preserve"> Ratio 2065 to 2050 Price</t>
  </si>
  <si>
    <t>Extrapolated Ratio 2070 to 2065 Price</t>
  </si>
  <si>
    <t>Coal Delivered to Utilities</t>
  </si>
  <si>
    <t>Wellhead Gas</t>
  </si>
  <si>
    <t>Gas Delivered to Utilities</t>
  </si>
  <si>
    <t>Crude Oil Price</t>
  </si>
  <si>
    <t>Delivered Diesel</t>
  </si>
  <si>
    <t>Average Electricity</t>
  </si>
  <si>
    <t>Dry Biomass at Farmgate</t>
  </si>
  <si>
    <t>From MiniCAM</t>
  </si>
  <si>
    <t>In Units Consistent with EIA AEO</t>
  </si>
  <si>
    <t>From AEO</t>
  </si>
  <si>
    <t>$/English ton</t>
  </si>
  <si>
    <t>$/mcf</t>
  </si>
  <si>
    <t>$/bbl</t>
  </si>
  <si>
    <t>$/gallon</t>
  </si>
  <si>
    <t>c/kWh</t>
  </si>
  <si>
    <t>$/mmBtu</t>
  </si>
  <si>
    <t>Biomass delivered (assuming $10/English ton average delivery price)</t>
  </si>
  <si>
    <t>MMBtu/English ton</t>
  </si>
  <si>
    <t>CO2_capture_efficiency</t>
  </si>
  <si>
    <t>CO2_Nwells</t>
  </si>
  <si>
    <t>CO2_location_factor</t>
  </si>
  <si>
    <t>Ratio 2035 to 2020 Price</t>
  </si>
  <si>
    <t>Extrapolated values (DMS 8/14/07 based on PNNL Mini-CAM Model</t>
  </si>
  <si>
    <t>Biomass and Methanol data added from h2a_central_biomass_gasification_current_final.xls</t>
  </si>
  <si>
    <t>See High A Case</t>
  </si>
  <si>
    <t>Steam $(2005)/GJ</t>
  </si>
  <si>
    <t>Steam $(2005)/mmBTU</t>
  </si>
  <si>
    <t>Values for steam were copied from the H2A model version 1.  Biomass values were taken from the note at the bottom of this section.</t>
  </si>
  <si>
    <t>Feedstock energy input (GJ)/kg H2</t>
  </si>
  <si>
    <t>Utility energy input (GJ/kg H2)</t>
  </si>
  <si>
    <t>Hydrogen energy output (GJ/kg)</t>
  </si>
  <si>
    <t>Byproduct energy output (GJ/kg H2)</t>
  </si>
  <si>
    <t>Release date full report: February 2007</t>
  </si>
  <si>
    <t>Next release date full report: February 2008</t>
  </si>
  <si>
    <t xml:space="preserve">                     (2005 dollars per million Btu, unless otherwise noted)</t>
  </si>
  <si>
    <t>2026</t>
  </si>
  <si>
    <t>2027</t>
  </si>
  <si>
    <t>2028</t>
  </si>
  <si>
    <t>2029</t>
  </si>
  <si>
    <t>2030</t>
  </si>
  <si>
    <t xml:space="preserve">   Liquefied Petroleum Gases</t>
  </si>
  <si>
    <t xml:space="preserve">   Distillate Fuel Oil</t>
  </si>
  <si>
    <t xml:space="preserve">   Residual Fuel Oil</t>
  </si>
  <si>
    <t xml:space="preserve"> Industrial 1/</t>
  </si>
  <si>
    <t xml:space="preserve">   Natural Gas 2/</t>
  </si>
  <si>
    <t xml:space="preserve">   Metallurgical Coal</t>
  </si>
  <si>
    <t xml:space="preserve">   Other Industrial Coal</t>
  </si>
  <si>
    <t xml:space="preserve">   Coal to Liquids</t>
  </si>
  <si>
    <t xml:space="preserve">   Liquefied Petroleum Gases 3/</t>
  </si>
  <si>
    <t xml:space="preserve">   E85 4/</t>
  </si>
  <si>
    <t xml:space="preserve">   Motor Gasoline 5/</t>
  </si>
  <si>
    <t xml:space="preserve">   Jet Fuel 6/</t>
  </si>
  <si>
    <t xml:space="preserve">   Distillate Fuel Oil 7/</t>
  </si>
  <si>
    <t xml:space="preserve">   Natural Gas 8/</t>
  </si>
  <si>
    <t xml:space="preserve"> Electric Power 9/</t>
  </si>
  <si>
    <t xml:space="preserve">   Steam Coal</t>
  </si>
  <si>
    <t xml:space="preserve"> Average Price to All Users 10/</t>
  </si>
  <si>
    <t xml:space="preserve">   Jet Fuel</t>
  </si>
  <si>
    <t xml:space="preserve">   Other Coal</t>
  </si>
  <si>
    <t>(billion 2005 dollars)</t>
  </si>
  <si>
    <t xml:space="preserve"> Transportation Renewable Expenditures</t>
  </si>
  <si>
    <t xml:space="preserve">   1/ Includes energy for combined heat and power plants, except those whose primary business is to sell electricity, or electricity and heat, to the public.</t>
  </si>
  <si>
    <t xml:space="preserve">   2/ Excludes use for lease and plant fuel.</t>
  </si>
  <si>
    <t xml:space="preserve">   3/ Includes Federal and State taxes while excluding county and local taxes.</t>
  </si>
  <si>
    <t>HHV/LHV Ratios for Price Tables (HHV values from EIA, LHV values from GREET)</t>
  </si>
  <si>
    <t>Total Fixed Operating Cost</t>
  </si>
  <si>
    <t>fixed</t>
  </si>
  <si>
    <t>HHV</t>
  </si>
  <si>
    <t>LHV</t>
  </si>
  <si>
    <t>Btu/scf</t>
  </si>
  <si>
    <t>Btu/short ton</t>
  </si>
  <si>
    <t>Btu/gallon</t>
  </si>
  <si>
    <t>GJ/kg</t>
  </si>
  <si>
    <t>km/mile</t>
  </si>
  <si>
    <t>L/gal</t>
  </si>
  <si>
    <t>(kWh/km)/MPG</t>
  </si>
  <si>
    <t>Nm3/scf</t>
  </si>
  <si>
    <t>kg/lb</t>
  </si>
  <si>
    <t>Nm3/ncf</t>
  </si>
  <si>
    <t xml:space="preserve">   4/ E85 refers to a blend of 85 percent ethanol (renewable) and 15 percent motor gasoline (nonrenewable).  To address cold starting issues, the percentage of ethanol actually</t>
  </si>
  <si>
    <t xml:space="preserve">   5/ Sales weighted-average price for all grades.  Includes Federal, State, and local taxes.</t>
  </si>
  <si>
    <t xml:space="preserve">   6/ Kerosene-type jet fuel.  Includes Federal and State taxes while excluding county and local taxes.</t>
  </si>
  <si>
    <t xml:space="preserve">   7/ Diesel fuel for on-road use.  Includes Federal and State taxes while excluding county and local taxes.</t>
  </si>
  <si>
    <t xml:space="preserve">   8/ Compressed natural gas used as a vehicle fuel.  Includes estimated motor vehicle fuel taxes and estimated dispensing costs or charges.</t>
  </si>
  <si>
    <t xml:space="preserve">   9/ Includes electricity-only and combined heat and power plants whose primary business is to sell electricity, or electricity and heat, to the public.</t>
  </si>
  <si>
    <t xml:space="preserve">   10/ Weighted averages of end-use fuel prices are derived from the prices shown in each sector and the corresponding sectoral consumption.</t>
  </si>
  <si>
    <t xml:space="preserve">   N/A = Not applicable.</t>
  </si>
  <si>
    <t xml:space="preserve">   Note:  Data for 2004 and 2005 are model results and may differ slightly from official EIA data reports.</t>
  </si>
  <si>
    <t xml:space="preserve">   Sources:  2004 and 2005 prices for motor gasoline, distillate fuel oil, and jet fuel are based on prices in the Energy Information Administration (EIA), Petroleum Marketing Annual 2005,</t>
  </si>
  <si>
    <t>DOE/EIA-0487(2005) (Washington, DC, August 2006).  2004 residential and commercial natural gas delivered prices:  EIA, Natural Gas Annual 2004, DOE/EIA-0131(2004)</t>
  </si>
  <si>
    <t>(Washington, DC, December 2005).  2005 residential and commercial natural gas delivered prices:  EIA, Natural Gas Monthly, DOE/EIA-0130(2006/04) (Washington, DC, April 2006).</t>
  </si>
  <si>
    <t>2004 and 2005 industrial natural gas delivered prices are estimated based on:  EIA, Manufacturing Energy Consumption Survey 1994 and industrial and wellhead prices from the</t>
  </si>
  <si>
    <t>Natural Gas Annual 2004, DOE/EIA-0131(2004) (Washington, DC, December 2005) and the Natural Gas Monthly, DOE/EIA-0130(2006/04) (Washington, DC, April 2006).  2004</t>
  </si>
  <si>
    <t>Labor Requirement (FTE)</t>
  </si>
  <si>
    <t>transportation sector natural gas delivered prices are based on:  EIA, Natural Gas Annual 2004, DOE/EIA-0131(2004) (Washington, DC, December 2005) and estimated state taxes,</t>
  </si>
  <si>
    <t>Stotal_utilities</t>
  </si>
  <si>
    <t>Stotal_byproducts</t>
  </si>
  <si>
    <t>Export_Variable_List</t>
  </si>
  <si>
    <t>Major pieces/systems of equipment</t>
  </si>
  <si>
    <t>Installation Cost Factor</t>
  </si>
  <si>
    <t>Scaling Factor Exponent</t>
  </si>
  <si>
    <t>Data Source</t>
  </si>
  <si>
    <t>Scale Ratio</t>
  </si>
  <si>
    <t>TOTALS (including scaling)</t>
  </si>
  <si>
    <t>Baseline Design Capacity (kg H2/day)</t>
  </si>
  <si>
    <t>Sulfuric Acid</t>
  </si>
  <si>
    <t>Baseline Uninstalled Costs</t>
  </si>
  <si>
    <t>Scaled Uninstalled Costs</t>
  </si>
  <si>
    <t>Ratio of new design capacity (enter on Input Sheet) to the Baseline Design Capacity.  Used for linear scaling</t>
  </si>
  <si>
    <t>Source Data Year</t>
  </si>
  <si>
    <t>Reference year Conversion</t>
  </si>
  <si>
    <t>LHV (MJ/kg)</t>
  </si>
  <si>
    <t>Residential Natural Gas</t>
  </si>
  <si>
    <t>Bio Methane</t>
  </si>
  <si>
    <t>Commercial Electricity</t>
  </si>
  <si>
    <t>Residential Electricity</t>
  </si>
  <si>
    <t>TABLE B2 - Plant Cost Index</t>
  </si>
  <si>
    <t>TABLE B3 - Labor Index</t>
  </si>
  <si>
    <t>From Chemical Engineering Magazine                                              Averaged Annual Index</t>
  </si>
  <si>
    <t>TABLE B4 - SRI Chemical Price Index</t>
  </si>
  <si>
    <t xml:space="preserve">SRI Inorganic Price Index  (Index, 1982=100),                                                     Current Index at http://www.sriconsulting.com/CEH/ </t>
  </si>
  <si>
    <t>Display Units</t>
  </si>
  <si>
    <t>Use Category</t>
  </si>
  <si>
    <t>HHV (MJ/kg)</t>
  </si>
  <si>
    <t>Price_Table_in_Use</t>
  </si>
  <si>
    <t>Energy_Feed_List</t>
  </si>
  <si>
    <t>Energy_Feed_Years</t>
  </si>
  <si>
    <t>Select the Use</t>
  </si>
  <si>
    <t>Select the Feed Type</t>
  </si>
  <si>
    <t>Industrial Electricity</t>
  </si>
  <si>
    <t>see Energy Feed Tab</t>
  </si>
  <si>
    <t>$(2007)/GJ LHV</t>
  </si>
  <si>
    <t>$(2007)/GJ</t>
  </si>
  <si>
    <t>CO2 Emissions Factor (kg CO2 produced/GJ feed)</t>
  </si>
  <si>
    <t>H2A LHV (GJ/ H2A usage input unit)</t>
  </si>
  <si>
    <t>Energy Feedstock Conversions</t>
  </si>
  <si>
    <t>Usage unit</t>
  </si>
  <si>
    <t>Conversion from $/GJ</t>
  </si>
  <si>
    <t>gal</t>
  </si>
  <si>
    <t>LHV (GJ/usage unit)</t>
  </si>
  <si>
    <t>60 degrees F, 1 atm</t>
  </si>
  <si>
    <t>0 degrees C (32 F), 1 atm</t>
  </si>
  <si>
    <t>yes</t>
  </si>
  <si>
    <t>Site Preparation ($) (may change to construction costs)</t>
  </si>
  <si>
    <t>Up-Front Permitting Costs ($) (legal and contractors fees included here)</t>
  </si>
  <si>
    <t>To use a new feedstock, utility or byproduct, select the price table and product from the dropdown lists and enter the usage (or byproduct) amount. Click the "Add" button to add the product to the "In Use" list. Important; only materials on the "In Use" list will be used in H2A calculations. To delete materials from the list, click the "Delete" button below</t>
  </si>
  <si>
    <t xml:space="preserve">Energy feedstocks, utilities, and byproducts currently in use </t>
  </si>
  <si>
    <t>Metallurgical Coal</t>
  </si>
  <si>
    <t>Other Industrial Coal</t>
  </si>
  <si>
    <t>Scenario:</t>
  </si>
  <si>
    <t>stimulus</t>
  </si>
  <si>
    <t>d041409a</t>
  </si>
  <si>
    <t>with American Recovery and Reinvestment Act</t>
  </si>
  <si>
    <t xml:space="preserve">                      (2007 dollars per million Btu, unless otherwise noted)</t>
  </si>
  <si>
    <t xml:space="preserve">   Residual Fuel</t>
  </si>
  <si>
    <t xml:space="preserve">   Diesel Fuel (distillate fuel oil) 7/</t>
  </si>
  <si>
    <t>(billion 2007 dollars)</t>
  </si>
  <si>
    <t>Prices in Nominal Dollars</t>
  </si>
  <si>
    <t>(billion nominal dollars)</t>
  </si>
  <si>
    <t xml:space="preserve">   4/ E85 refers to a blend of 85 percent ethanol (renewable) and 15 percent motor gasoline (nonrenewable).  To address cold starting issues, the percentage of ethanol varies</t>
  </si>
  <si>
    <t>seasonally.  The annual average ethanol content of 74 percent is used for this forecast.</t>
  </si>
  <si>
    <t xml:space="preserve">   - - = Not applicable.</t>
  </si>
  <si>
    <t xml:space="preserve">   Note:  Data for 2006 and 2007 are model results and may differ slightly from official EIA data reports.</t>
  </si>
  <si>
    <t xml:space="preserve">   Sources:  2006 and 2007 prices for motor gasoline, distillate fuel oil, and jet fuel are based on prices in the Energy Information Administration (EIA), Petroleum Marketing Annual</t>
  </si>
  <si>
    <t>2007, DOE/EIA-0487(2007) (Washington, DC, August 2008).  2006 residential and commercial natural gas delivered prices:  EIA, Natural Gas Annual 2006, DOE/EIA-0131(2006)</t>
  </si>
  <si>
    <t>(Washington, DC, October, 2007).  2007 residential and commercial natural gas delivered prices:  EIA, Natural Gas Monthly, DOE/EIA-0130(2008/04) (Washington, DC, April 2008).</t>
  </si>
  <si>
    <t>2006 and 2007 industrial natural gas delivered prices are estimated based on:  EIA, Manufacturing Energy Consumption Survey 1994 and industrial and wellhead prices from the</t>
  </si>
  <si>
    <t>Natural Gas Annual 2006, DOE/EIA-0131(2006) (Washington, DC, October, 2007) and the Natural Gas Monthly, DOE/EIA-0130(2008/04) (Washington, DC, April 2008).  2006</t>
  </si>
  <si>
    <t>transportation sector natural gas delivered prices are based on:  EIA, Natural Gas Annual 2006, DOE/EIA-0131(2006) (Washington, DC, October, 2007) and estimated State taxes,</t>
  </si>
  <si>
    <t>Federal taxes, and dispensing costs or charges.  2007 transportation sector natural gas delivered prices are model results.  2006 and 2007 electric power sector natural gas prices:</t>
  </si>
  <si>
    <t>EIA, Electric Power Monthly, April 2007 and April 2008, Table 4.13.B.  2006 and 2007 coal prices based on:  EIA, Quarterly Coal Report, October-December 2007,</t>
  </si>
  <si>
    <t>DOE/EIA-0121(2007/4Q) (Washington, DC, March 2008) and EIA, AEO2009 National Energy Modeling System run nostimls.d041409a.  2006 and 2007 electricity prices:  EIA, Annual</t>
  </si>
  <si>
    <t>Energy Review 2007, DOE/EIA-0384(2007) (Washington, DC, June 2008).  2006 and 2007 E85 prices derived from monthly prices in the Clean Cities Alternative Fuel Price Report.</t>
  </si>
  <si>
    <t>Projections:  EIA, AEO2009 National Energy Modeling System run stimulus.d041409a.</t>
  </si>
  <si>
    <r>
      <t xml:space="preserve">Hydrogen Analysis Resource Center:  </t>
    </r>
    <r>
      <rPr>
        <b/>
        <i/>
        <sz val="12"/>
        <rFont val="Arial"/>
        <family val="2"/>
      </rPr>
      <t>Feedstock and Utility Assumptions</t>
    </r>
  </si>
  <si>
    <t>Feedstock and Utility Price Projections for 2001 - 2070 With EIA Units, Year 2005</t>
  </si>
  <si>
    <t>Natural Gas Prices (HHV Basis)</t>
  </si>
  <si>
    <t>Commercial Natural Gas Prices</t>
  </si>
  <si>
    <t>$(2005)/MMBtu</t>
  </si>
  <si>
    <t>Industrial Natural Gas Prices</t>
  </si>
  <si>
    <t>Electric Utility Natural Gas Prices</t>
  </si>
  <si>
    <t>Electricity Prices</t>
  </si>
  <si>
    <t>Coal Prices (HHV Basis)</t>
  </si>
  <si>
    <t>Transportation Fuels (HHV Basis)</t>
  </si>
  <si>
    <t>Distillate (Diesel) Fuel Oil for Transportation</t>
  </si>
  <si>
    <t>Motor Gasoline</t>
  </si>
  <si>
    <t>Biomass (HHV Basis)</t>
  </si>
  <si>
    <t>Biomass Prices (Dry Biomass Delivered)*</t>
  </si>
  <si>
    <t>Table 1 reflects values for base case feedstock and fuel values, based on the H2A analysis done for DOE's Hydrogen, Fuel Cells and Infrastructure Program.  Values from 2001 through 2025 were derived from EIA AEO 2004, and 2002 dollars are converted to 2005 dollars by multiplying the prices in 2002$/MMBtu by the GDP Implicit Price Deflator for 2005, divided by that for 2002 (from AEO 2004 Table A2; see table 2 below). For the period between 2025 and 2035, the 2025 values were extrapolated based on the ratio of the 2025 and 2015 values. For the period between 2035 and 2070, ratios in Table 2, derived from projections of a long-term model (MiniCAM) developed by Pacific Northwest National Laboratory were used to extrapolate the 2035 values (except for ethanol, methanol and biomass; see footnote).</t>
  </si>
  <si>
    <t>Ratio 2050 to 2035 Price</t>
  </si>
  <si>
    <t>Ratio 2065 to 2050 Price</t>
  </si>
  <si>
    <t>GDP Implicit Deflator Price Index [1]</t>
  </si>
  <si>
    <t>[2]</t>
  </si>
  <si>
    <t>Note:</t>
  </si>
  <si>
    <r>
      <t>[2] values in</t>
    </r>
    <r>
      <rPr>
        <i/>
        <sz val="10"/>
        <rFont val="Arial"/>
        <family val="2"/>
      </rPr>
      <t xml:space="preserve"> italics</t>
    </r>
    <r>
      <rPr>
        <sz val="10"/>
        <rFont val="Arial"/>
        <family val="2"/>
      </rPr>
      <t xml:space="preserve"> are projections</t>
    </r>
  </si>
  <si>
    <t>[1] Available from Short Term Energy Outlook, Table A.2 at http://www.eia.doe.gov/emeu/steo/pub/a2tab.html</t>
  </si>
  <si>
    <t>Biomass HHV (kJ/kg)</t>
  </si>
  <si>
    <t>Biomass LHV (kJ/kg)</t>
  </si>
  <si>
    <t>Biomass conversion $/dry English ton to $/mmBtu HHV</t>
  </si>
  <si>
    <t>Conversion factor</t>
  </si>
  <si>
    <t>$/mmBtu HHV</t>
  </si>
  <si>
    <t>Biomass delivery (assuming $10/English ton average delivery price)</t>
  </si>
  <si>
    <t>Biomass delivered $/mmBtu HHV</t>
  </si>
  <si>
    <t>Except as noted,values are extrapolated based on PNNL mini-CAM model (see AEO Data tab)</t>
  </si>
  <si>
    <t>Enter current year for capital costs</t>
  </si>
  <si>
    <t>Report</t>
  </si>
  <si>
    <t>Annual Energy Outlook 2010</t>
  </si>
  <si>
    <t>Scenario</t>
  </si>
  <si>
    <t>aeo2010r</t>
  </si>
  <si>
    <t>Reference case</t>
  </si>
  <si>
    <t>Datekey</t>
  </si>
  <si>
    <t>d111809a</t>
  </si>
  <si>
    <t>Release Date</t>
  </si>
  <si>
    <t xml:space="preserve"> December 2009</t>
  </si>
  <si>
    <t>aeo2010r.d111809a</t>
  </si>
  <si>
    <t>Table 3.  Energy Prices by Sector and Source</t>
  </si>
  <si>
    <t>(2008 dollars per million Btu, unless otherwise noted)</t>
  </si>
  <si>
    <t>2008-</t>
  </si>
  <si>
    <t xml:space="preserve"> Sector and Source</t>
  </si>
  <si>
    <t>- -</t>
  </si>
  <si>
    <t>(billion 2008 dollars)</t>
  </si>
  <si>
    <t xml:space="preserve">   4/ E85 refers to a blend of 85 percent ethanol (renewable) and 15 percent motor gasoline (nonrenewable).  To address cold starting issues,</t>
  </si>
  <si>
    <t>the percentage of ethanol varies seasonally.  The annual average ethanol content of 74 percent is used for this forecast.</t>
  </si>
  <si>
    <t xml:space="preserve">   Note:  Data for 2007 and 2008 are model results and may differ slightly from official EIA data reports.</t>
  </si>
  <si>
    <t xml:space="preserve">   Sources:  2007 and 2008 prices for motor gasoline, distillate fuel oil, and jet fuel are based on prices in the Energy Information Administration (EIA), Petroleum Marketing Annual</t>
  </si>
  <si>
    <t>2008, DOE/EIA-0487(2008) (Washington, DC, August 2009).  2007 residential and commercial natural gas delivered prices:  EIA,</t>
  </si>
  <si>
    <t>Natural Gas Annual 2007, DOE/EIA-0131(2007) (Washington, DC, January, 2009).  2008 residential and commercial natural gas</t>
  </si>
  <si>
    <t>delivered prices:  EIA, Natural Gas Monthly, DOE/EIA-0130(2009/07) (Washington, DC, July 2009).  2007 and 2008</t>
  </si>
  <si>
    <t>industrial natural gas delivered prices are estimated based on:  EIA, Manufacturing Energy Consumption Survey and</t>
  </si>
  <si>
    <t>industrial and wellhead prices from the Natural Gas Annual 2007, DOE/EIA-0131(2007) (Washington, DC, January, 2009) and the</t>
  </si>
  <si>
    <t>Natural Gas Monthly, DOE/EIA-0130(2009/07) (Washington, DC, July 2009).  2007 transportation sector natural gas delivered prices are based on:  EIA, Natural Gas Annual</t>
  </si>
  <si>
    <t>2007, DOE/EIA-0131(2007) (Washington, DC, January, 2009) and estimated State taxes, Federal taxes, and dispensing costs or charges.</t>
  </si>
  <si>
    <t>2008 transportation sector natural gas delivered prices are model results. 2007 and 2008 electric power sector natural gas prices:  EIA, Electric Power Monthly,</t>
  </si>
  <si>
    <t>April 2008 and April 2009, Table 4.13.B.  2007 and 2008 coal prices based on:  EIA, Quarterly Coal Report,</t>
  </si>
  <si>
    <t>October-December 2008, DOE/EIA-0121(2008/4Q) (Washington, DC, March 2009) and EIA, AEO2010 National Energy Modeling System run aeo2010r.d111809a.</t>
  </si>
  <si>
    <t>2007 and 2008 electricity prices:  EIA, Annual Energy Review 2008, DOE/EIA-0384(2008) (Washington, DC, June 2009).</t>
  </si>
  <si>
    <t>2007 and 2008 E85 prices derived from monthly prices in the Clean Cities Alternative Price Report.</t>
  </si>
  <si>
    <t>Projections:  EIA, AEO2010 National Energy Modeling System run aeo2010r.d111809a.</t>
  </si>
  <si>
    <t>Report #:DOE/EIA-0383(2009)</t>
  </si>
  <si>
    <t>Release date: March 2009</t>
  </si>
  <si>
    <t>Next release date, early release: November 2009</t>
  </si>
  <si>
    <t>2007-</t>
  </si>
  <si>
    <t>DOE/EIA-0121(2007/4Q) (Washington, DC, March 2008) and EIA, AEO2009 National Energy Modeling System run aeo2009.d120908a.  2006 and 2007 electricity prices:  EIA, Annual</t>
  </si>
  <si>
    <t>Projections:  EIA, AEO2009 National Energy Modeling System run hp2009.d121108a.</t>
  </si>
  <si>
    <t>AEO 2009 High price case</t>
  </si>
  <si>
    <t>Price_Tables</t>
  </si>
  <si>
    <t>Woody Biomass B2A</t>
  </si>
  <si>
    <t>Other Variable operating costs (for the first year)</t>
  </si>
  <si>
    <t>Electrical Costs (annual cost)</t>
  </si>
  <si>
    <t>O&amp;M (annual cost)</t>
  </si>
  <si>
    <r>
      <t>Summary of Output Values</t>
    </r>
    <r>
      <rPr>
        <b/>
        <sz val="10"/>
        <color indexed="23"/>
        <rFont val="Arial"/>
        <family val="2"/>
      </rPr>
      <t xml:space="preserve"> 
(CO2 Seq. costs are reported on Results Tab as part of total H2 Production cost)</t>
    </r>
  </si>
  <si>
    <t>The Chemical Engineering Plant Cost Index (CEPCI) is used to adjust the capital cost of the H2 Production facility from the basis year to the current year.</t>
  </si>
  <si>
    <t>The Consumer Price Inflator (CPI) is used to deflate all dollars from the current year to the Reference Year.</t>
  </si>
  <si>
    <t>Compressed Inert Gas</t>
  </si>
  <si>
    <t>Reference Year Conversion - Chemical price indexes are used to update costs to reference year dollars</t>
  </si>
  <si>
    <t>Woody Biomass MYPP</t>
  </si>
  <si>
    <t>Skip</t>
  </si>
  <si>
    <t>Property tax and insurance</t>
  </si>
  <si>
    <t>Design Plant Hydrogen Production (kg/day)</t>
  </si>
  <si>
    <t>Capital costs for the design plant (baseline) are entered on this sheet. Use the Plant Scaling sheet to set scaling parameters for scaling up or down in size from the baseline plant. Enter the output kg/day for the plant you wish to analyze on the Input Sheet</t>
  </si>
  <si>
    <t>Design capacity for original H2A case.  Imported from capital cost sheet</t>
  </si>
  <si>
    <t>NREL</t>
  </si>
  <si>
    <t>H2A Version 2.1 updates</t>
  </si>
  <si>
    <t>Biomass Multi-Year Program Plan April 2011, Table B-4. LHV from Table B-7 (8,000 Btu/lb). Prices starting in 2010 $82.70, 2011 $71.60, 2012, $61.57, 2013; $68.97</t>
  </si>
  <si>
    <t>feedstock</t>
  </si>
  <si>
    <t>Cost in Startup Year</t>
  </si>
  <si>
    <t>feedstock Industrial Natural Gas Usage</t>
  </si>
  <si>
    <t>feedstockIndustrial_Natural_Gas_Usage</t>
  </si>
  <si>
    <t>Usage per kg H2</t>
  </si>
  <si>
    <t>Scaling_validation</t>
  </si>
  <si>
    <t>Use Baseline Value</t>
  </si>
  <si>
    <t>IPCC Fourth Assessment Report: Climate Change 2007 (http://www.ipcc.ch/publications_and_data/ar4/wg1/en/ch2s2-10-2.html) Table 2.14 100-year potential</t>
  </si>
  <si>
    <t>Basis year</t>
  </si>
  <si>
    <t>Basis year for capital costs</t>
  </si>
  <si>
    <t>Click to enter details on the Carbon Sequestration calculation sheet.</t>
  </si>
  <si>
    <t>Combined Plant Scaling and Escalation Factor</t>
  </si>
  <si>
    <t>Scaling factor exponent used for scaling all capital equipment where an individual factor has not been entered below.</t>
  </si>
  <si>
    <t>Scale Factor</t>
  </si>
  <si>
    <t>Installed Cost (scaled)</t>
  </si>
  <si>
    <t>Ratio of total scaled installed capital capital cost to total baseline installed capital costs.  Used for exponential scaling.</t>
  </si>
  <si>
    <t>Plant Scaling Factors</t>
  </si>
  <si>
    <t>scf</t>
  </si>
  <si>
    <t>Commercial Natural Gas_metric</t>
  </si>
  <si>
    <t>Industrial Natural Gas_metric</t>
  </si>
  <si>
    <t>Electric Utility Natural Gas_metric</t>
  </si>
  <si>
    <t>Electric Utility Steam Coal_metric</t>
  </si>
  <si>
    <t>Methanol_metric</t>
  </si>
  <si>
    <t>Woody Biomass_metric</t>
  </si>
  <si>
    <t>Steam_metric</t>
  </si>
  <si>
    <t>lb</t>
  </si>
  <si>
    <t xml:space="preserve"> Report #: DOE/EIA-0383(2005)</t>
  </si>
  <si>
    <t>Release date full report: January 2005</t>
  </si>
  <si>
    <t xml:space="preserve">Projections Vary in Cases With Different Oil Price Assumptions  </t>
  </si>
  <si>
    <t>Total Non Energy Utility and Material Costs ($/year)</t>
  </si>
  <si>
    <t>AEO 2007 Report #: DOE/EIA-0383(2007)</t>
  </si>
  <si>
    <t>mmBtu</t>
  </si>
  <si>
    <t>Energy Information Administration Annual Energy Outlook.  See AEO Data sheet for original data</t>
  </si>
  <si>
    <t xml:space="preserve">The historical record shows substantial variability in world oil prices, and there is similar uncertainty about future prices. Four AEO2005 cases with different price paths allow an assessment of alternative views on the future of oil prices (Figure 40). In the reference case, with both OPEC and non-OPEC producers scheduled to add new production capacity over the next 5 years, prices in 2010 are projected to be more than $10 per barrel lower than current prices (all prices in 2003 dollars per barrel). After 2010, oil prices are projected to rise by about 1.3 percent per year, to more than $30 per barrel in 2025. (In nominal dollars, the reference case price is about $52 in 2025.) In the low price case, prices are projected to decline from their high in 2004 to $21 per barrel in 2009 and to remain at that level out to 2025. The high A price case projects that prices will remain at about $34 through 2015 and then increase on average by 1.4 percent per year, to more than $39 per barrel in 2025. In the high B case, world oil prices are projected to fall from current levels to $37 per barrel in 2010 and then rise to $48 per barrel in 2025.  </t>
  </si>
  <si>
    <t xml:space="preserve">Projected prices in all four cases are higher than in AEO2004 [130], reflecting recent improved production discipline by OPEC members and limited ability of other producers to expand production despite increasing demand and high utilization rates that have led to higher prices. The price projections in the high A and B cases are sufficiently robust to encourage greater market penetration of alternative energy supplies. </t>
  </si>
  <si>
    <t>Hydrogen Analysis Resource Center:  Lower and Higher Heating Values of Hydrogen and Fuels</t>
  </si>
  <si>
    <t>Gaseous Fuels @ 32 F and 1 atm</t>
  </si>
  <si>
    <t>Btu/ft3 [2]</t>
  </si>
  <si>
    <t>grams/ft3</t>
  </si>
  <si>
    <t>Hydrogen</t>
  </si>
  <si>
    <t>Still gas (in refineries)</t>
  </si>
  <si>
    <t>Crude oil</t>
  </si>
  <si>
    <t>Conventional gasoline</t>
  </si>
  <si>
    <t>Reformulated or low-sulfur gasoline</t>
  </si>
  <si>
    <t>CA reformulated gasoline</t>
  </si>
  <si>
    <t>U.S. conventional diesel</t>
  </si>
  <si>
    <t>Petroleum naphtha</t>
  </si>
  <si>
    <t>NG-based FT naphtha</t>
  </si>
  <si>
    <t>Residual oil</t>
  </si>
  <si>
    <t>E-Diesel Additives</t>
  </si>
  <si>
    <t>Liquefied petroleum gas (LPG)</t>
  </si>
  <si>
    <t>Liquefied natural gas (LNG)</t>
  </si>
  <si>
    <t>Dimethyl ether (DME)</t>
  </si>
  <si>
    <t>Dimethoxy methane (DMM)</t>
  </si>
  <si>
    <t>Methyl ester (biodiesel, BD)</t>
  </si>
  <si>
    <t>Fischer-Tropsch diesel (FTD)</t>
  </si>
  <si>
    <t>Liquid Hydrogen</t>
  </si>
  <si>
    <t>Methyl tertiary butyl ether (MTBE)</t>
  </si>
  <si>
    <t>Ethyl tertiary butyl ether (ETBE)</t>
  </si>
  <si>
    <t>Tertiary amyl methyl ether (TAME)</t>
  </si>
  <si>
    <t>Butane</t>
  </si>
  <si>
    <t>Isobutane</t>
  </si>
  <si>
    <t>Isobutylene</t>
  </si>
  <si>
    <t>Coal (wet basis) [6]</t>
  </si>
  <si>
    <t>Bituminous coal (wet basis) [7]</t>
  </si>
  <si>
    <t>Coking coal (wet basis)</t>
  </si>
  <si>
    <t>Farmed trees (dry basis)</t>
  </si>
  <si>
    <t>Herbaceous biomass (dry basis)</t>
  </si>
  <si>
    <t>Corn stover (dry basis)</t>
  </si>
  <si>
    <t>Forest residue (dry basis)</t>
  </si>
  <si>
    <t>[1] The lower heating value (also known as net calorific value) of a fuel is defined as the amount of heat released by combusting a specified quantity (initially at 25°C) and returning the temperature of the combustion products to 150°C, which assumes the latent heat of vaporization of water in the reaction products is not recovered.</t>
  </si>
  <si>
    <t>The higher heating value (also known as gross calorific value or gross energy) of a fuel is defined as the amount of heat released by a specified quantity (initially at 25°C) once it is combusted and the products have returned to a temperature of 25°C, which takes into account the latent heat of vaporization of water in the combustion products.</t>
  </si>
  <si>
    <t xml:space="preserve">[2] Btu =  British thermal unit. </t>
  </si>
  <si>
    <t>[3] The heating values for gaseous fuels in units of Btu/lb are calculated based on the heating values in units of Btu/ft3 and the corresponding fuel density values. The heating values for liquid fuels in units of Btu/lb are calculated based on heating values in units of Btu/gal and the corresponding fuel density values.</t>
  </si>
  <si>
    <t>[6] Coal characteristics assumed by GREET for electric power production.</t>
  </si>
  <si>
    <t>[7] Coal characteristics assumed by GREET for hydrogen and Fischer-Tropsch diesel production.</t>
  </si>
  <si>
    <t>E85 Ethanol_metric</t>
  </si>
  <si>
    <t>E85 Ethanol</t>
  </si>
  <si>
    <t>Retail Diesel_metric</t>
  </si>
  <si>
    <t>Retail Diesel</t>
  </si>
  <si>
    <t>Retail Gasoline</t>
  </si>
  <si>
    <t>Retail Gasoline_metric</t>
  </si>
  <si>
    <t>ncf</t>
  </si>
  <si>
    <t>Production (/kg H2)</t>
  </si>
  <si>
    <t>Unit</t>
  </si>
  <si>
    <t>Energy Input (kWh/kg H2)</t>
  </si>
  <si>
    <t>Energy Data</t>
  </si>
  <si>
    <t>Byproducts</t>
  </si>
  <si>
    <t xml:space="preserve">http://hydrogen.pnl.gov/filedownloads/hydrogen/datasheets/hydrogen_production_capacity_by_state.xls
</t>
  </si>
  <si>
    <t xml:space="preserve">http://www.chemicals-technology.com/projects/air-products-plant/
</t>
  </si>
  <si>
    <t>Energy Input (GJ/kg H2)</t>
  </si>
  <si>
    <t>Energy Output (GJ/kg H2)</t>
  </si>
  <si>
    <t>Hydrogen (1 kg)</t>
  </si>
  <si>
    <t>federal taxes, and dispensing costs or charges.  2005 transportation sector natural gas delivered prices are model results.  2004 and 2005 electric power sector natural gas prices:</t>
  </si>
  <si>
    <t>EIA, Electric Power Monthly, May 2005 through April 2006, Table 4.11.A.  2004 and 2005 coal prices based on:  EIA, Quarterly Coal Report, October-December 2005, DOE/EIA-0121</t>
  </si>
  <si>
    <t>Commercial Electricity_metric</t>
  </si>
  <si>
    <t>Other Material Costs ($/year)</t>
  </si>
  <si>
    <t>Industrial Electricity_metric</t>
  </si>
  <si>
    <t>Unit System</t>
  </si>
  <si>
    <t>Metric</t>
  </si>
  <si>
    <t>LHV (GJ or mmBtu/usage unit)</t>
  </si>
  <si>
    <t>Unit System Conversion Factor</t>
  </si>
  <si>
    <t>Hydrogen Cost (Start-up Year Nominal $/kg)</t>
  </si>
  <si>
    <t>H2_Price_real</t>
  </si>
  <si>
    <t>H2_Price_nominal</t>
  </si>
  <si>
    <t>result_cap_contr</t>
  </si>
  <si>
    <t>result_decom_contr</t>
  </si>
  <si>
    <t>result_fixed_o_m_contr</t>
  </si>
  <si>
    <t>result_feed_contr</t>
  </si>
  <si>
    <t>result_byprod_contr</t>
  </si>
  <si>
    <t>result_other_var_contr</t>
  </si>
  <si>
    <t>result_other_mat_contr</t>
  </si>
  <si>
    <t>% of Capital Spent in 1st Year of Construction</t>
  </si>
  <si>
    <t>Lower Limit for Scaling Capacity (kg H2/day)</t>
  </si>
  <si>
    <t>Upper Limit for Scaling Capacity (kg H2/day)</t>
  </si>
  <si>
    <t>Variable Operating Costs</t>
  </si>
  <si>
    <t>(2005/4Q) (Washington, DC, March 2006) and EIA, AEO2007 National Energy Modeling System run aeo2007.d112106a.  2004 and 2005 electricity prices:  EIA, Annual Energy Review</t>
  </si>
  <si>
    <t>2005, DOE/EIA-0384(2005) (Washington, DC, July 2006).  2004 and 2005 ethanol prices derived from weekly spot prices in the Oxy Fuel News.  Projections:  EIA, AEO2007 National</t>
  </si>
  <si>
    <t>Capital Cost</t>
  </si>
  <si>
    <t>Variable Operating Costs - Other Materials and Byproducts</t>
  </si>
  <si>
    <t>Variable Operating Costs - Other Variable Operating Costs</t>
  </si>
  <si>
    <t>CO2 Produced from Feedstock (kg CO2/kg H2)</t>
  </si>
  <si>
    <t>CO2 Produced from Feedstock (metric tons CO2/year)</t>
  </si>
  <si>
    <t>Process Carbon Tax ($/year)</t>
  </si>
  <si>
    <t>Process Carbon Tax ($/metric ton carbon produced as CO2)</t>
  </si>
  <si>
    <t>Upstream Carbon Tax ($/metric ton upstream GHG CO2 eq)</t>
  </si>
  <si>
    <t>Upstream Carbon Tax ($/year)</t>
  </si>
  <si>
    <t>CO2 sequestration O&amp;M costs and credits ($/year)</t>
  </si>
  <si>
    <t>CO2 capture credit ($/metric ton CO2 captured)</t>
  </si>
  <si>
    <t>CO2_credit</t>
  </si>
  <si>
    <t>CO2 Capture Credit</t>
  </si>
  <si>
    <t>Proc_CO2_tax</t>
  </si>
  <si>
    <t>Upstream_CO2_tax</t>
  </si>
  <si>
    <t>Butanol</t>
  </si>
  <si>
    <t>Acetone</t>
  </si>
  <si>
    <t>Renewable Diesel I (SuperCetane)</t>
  </si>
  <si>
    <t>Renewable Diesel II (UOP-HDO)</t>
  </si>
  <si>
    <t>Renewable Gasoline</t>
  </si>
  <si>
    <t>Sugar cane bagasse</t>
  </si>
  <si>
    <t>Petroleum coke</t>
  </si>
  <si>
    <t>GREET Transportation Fuel Cycle Analysis Model, GREET 1.8b, developed by Argonne National Laboratory, Argonne, IL, released May 8, 2008. http://www.transportation.anl.gov/software/GREET/index.html</t>
  </si>
  <si>
    <t>total_cap</t>
  </si>
  <si>
    <t>Energy Modeling System run aeo2007.d112106a.</t>
  </si>
  <si>
    <t>Prices for Woody Biomass, Methanol and Steam are taken from the AEO High A case below</t>
  </si>
  <si>
    <t>Federal Taxes (%)</t>
  </si>
  <si>
    <t>Inflation rate (%)</t>
  </si>
  <si>
    <t>Total Depreciable Capital Costs</t>
  </si>
  <si>
    <t>Land Cost ($)</t>
  </si>
  <si>
    <t>Total Non-Depreciable Capital Costs</t>
  </si>
  <si>
    <t>After Tax Nominal IRR</t>
  </si>
  <si>
    <t>After Tax Real IRR</t>
  </si>
  <si>
    <t>Decommissioning</t>
  </si>
  <si>
    <t>Fixed Operating Costs ($/year)</t>
  </si>
  <si>
    <t>Other Raw Material ($/year)</t>
  </si>
  <si>
    <t>Other Variable O&amp;M Costs (not including tax credits and incentives)</t>
  </si>
  <si>
    <t>After-Tax Nominal IRR</t>
  </si>
  <si>
    <t>G&amp;A ($/year)</t>
  </si>
  <si>
    <t>Pre Tax Nominal IRR</t>
  </si>
  <si>
    <t>Pre Tax Real IRR</t>
  </si>
  <si>
    <t>TABLE B - GDP Implicit Deflator Price Index</t>
  </si>
  <si>
    <t>Salvage Value</t>
  </si>
  <si>
    <t>Property taxes and insurance ($/year)</t>
  </si>
  <si>
    <t>Total Capital Costs</t>
  </si>
  <si>
    <t>Labor cost, $/year</t>
  </si>
  <si>
    <t>Total Fixed Operating Costs</t>
  </si>
  <si>
    <t>Carbon Capture Efficiency (%)</t>
  </si>
  <si>
    <t>Carbon Sequestration Electricity Usage (kWh/kg H2)</t>
  </si>
  <si>
    <t>CO2 sequestration capital costs ($/year)</t>
  </si>
  <si>
    <t>Energy Output (kWh/kg H2)</t>
  </si>
  <si>
    <t>Carbon Sequestration Electricity Usage</t>
  </si>
  <si>
    <t>H2A Carbon Sequestration Total Direct Capital Cost</t>
  </si>
  <si>
    <t>Feedstock Costs</t>
  </si>
  <si>
    <t>Use_Default</t>
  </si>
  <si>
    <t>Use H2A Value</t>
  </si>
  <si>
    <t>Enter Value</t>
  </si>
  <si>
    <t>Nm3</t>
  </si>
  <si>
    <t>Soutput_kgyear</t>
  </si>
  <si>
    <t>Sdepr_cap</t>
  </si>
  <si>
    <t>Sland_cost</t>
  </si>
  <si>
    <t>Other non depreciable capital costs</t>
  </si>
  <si>
    <t>Slabor_cost</t>
  </si>
  <si>
    <t>Stax_insurance</t>
  </si>
  <si>
    <t>Sfixed</t>
  </si>
  <si>
    <t>Soverhead_GA</t>
  </si>
  <si>
    <t>Stotal_tax_rate</t>
  </si>
  <si>
    <t>Snon_dep_cap</t>
  </si>
  <si>
    <t>Stotal_cap</t>
  </si>
  <si>
    <t>After-tax Real IRR (%)</t>
  </si>
  <si>
    <t>State Taxes (%)</t>
  </si>
  <si>
    <t>FTEs</t>
  </si>
  <si>
    <t>FTE_cost</t>
  </si>
  <si>
    <t>material</t>
  </si>
  <si>
    <t>ref_year</t>
  </si>
  <si>
    <t>Reference year</t>
  </si>
  <si>
    <t>Replacement Costs</t>
  </si>
  <si>
    <t>NOTE: All replacement costs are assumed to be equity financed.</t>
  </si>
  <si>
    <t>Unplanned Yearly Replacement Capital (Depreciable)</t>
  </si>
  <si>
    <t>Comments</t>
  </si>
  <si>
    <t>Source</t>
  </si>
  <si>
    <t>Information</t>
  </si>
  <si>
    <t xml:space="preserve">Enter a fixed percentage.  This input is meant to include, in the Cash Flow Analysis, a factor for unplanned capital expenditures.  </t>
  </si>
  <si>
    <t>Actual Year</t>
  </si>
  <si>
    <t>Operations Year</t>
  </si>
  <si>
    <t>Specified Yearly Replacement Costs</t>
  </si>
  <si>
    <t>Unplanned Replacement Costs</t>
  </si>
  <si>
    <t>HHV/LHV</t>
  </si>
  <si>
    <t>HHV/LHV Source</t>
  </si>
  <si>
    <t>Source Year (for original price data)</t>
  </si>
  <si>
    <t>H2a Reference Year</t>
  </si>
  <si>
    <t>title</t>
  </si>
  <si>
    <t>Energy Feedstocks, Utilities, and Byproducts</t>
  </si>
  <si>
    <t>Other Materials and Byproducts</t>
  </si>
  <si>
    <t>Cooling Water</t>
  </si>
  <si>
    <t>Demineralized Water</t>
  </si>
  <si>
    <t>Process Water</t>
  </si>
  <si>
    <t>Oxygen</t>
  </si>
  <si>
    <t>Units</t>
  </si>
  <si>
    <t>Other Inputs and Byproducts</t>
  </si>
  <si>
    <t>Select the Material</t>
  </si>
  <si>
    <t>Feed</t>
  </si>
  <si>
    <t>START_NONE_TOP</t>
  </si>
  <si>
    <t>START_NONE_FEED</t>
  </si>
  <si>
    <t>START_NONE_BYPROD</t>
  </si>
  <si>
    <t>List</t>
  </si>
  <si>
    <t>Feed_Type_List</t>
  </si>
  <si>
    <t>Feed Utility</t>
  </si>
  <si>
    <t>Total Process Emissions (metric tons/year)</t>
  </si>
  <si>
    <t>Baseline Installed Costs</t>
  </si>
  <si>
    <t>Use Scale Ratio</t>
  </si>
  <si>
    <t>Use Scale Factor</t>
  </si>
  <si>
    <t>Installed Cost (baseline)</t>
  </si>
  <si>
    <t>Default Scaling Factor Exponent</t>
  </si>
  <si>
    <t>CO2_OandMCost</t>
  </si>
  <si>
    <t>Scaling_Method_Defaults</t>
  </si>
  <si>
    <t>Table of Contents</t>
  </si>
  <si>
    <t>Upstream Energy Usage</t>
  </si>
  <si>
    <t>Production Process GHG Emissions</t>
  </si>
  <si>
    <t>Upstream GHG Emissions</t>
  </si>
  <si>
    <t>Feed Utility Byprod</t>
  </si>
  <si>
    <t>Feed or utility</t>
  </si>
  <si>
    <t>mmBTU</t>
  </si>
  <si>
    <t>GJ</t>
  </si>
  <si>
    <t>Total Yearly Replacement Costs</t>
  </si>
  <si>
    <t>Uninstalled costs</t>
  </si>
  <si>
    <t>Installation factor</t>
  </si>
  <si>
    <t>Comments:</t>
  </si>
  <si>
    <t>Data source:</t>
  </si>
  <si>
    <t>Inflated to Start-up Year</t>
  </si>
  <si>
    <t>Woody Biomass</t>
  </si>
  <si>
    <t>N/A</t>
  </si>
  <si>
    <t>TABLE A - Energy Feedstock and Utility Properties Table</t>
  </si>
  <si>
    <t>Year</t>
  </si>
  <si>
    <t>Commercial Natural Gas</t>
  </si>
  <si>
    <t>Electric Utility Natural Gas</t>
  </si>
  <si>
    <t>Electric Utility Steam Coal</t>
  </si>
  <si>
    <t>Steam</t>
  </si>
  <si>
    <t xml:space="preserve">Note:  when steam is an important input or output, the price should be externally provided and should be based on the specific characteristics of the steam needed or produced. </t>
  </si>
  <si>
    <t>Feedstock Type</t>
  </si>
  <si>
    <t>Cancelled</t>
  </si>
  <si>
    <t>Value</t>
  </si>
  <si>
    <t>acre_cost</t>
  </si>
  <si>
    <t>acres</t>
  </si>
  <si>
    <t>Lang Factor</t>
  </si>
  <si>
    <t>Approx. Uninstalled Equipment Cost</t>
  </si>
  <si>
    <t>Property tax and insurance rate (% of total capital investment per year)</t>
  </si>
  <si>
    <t>Costs must be entered in basis year dollars</t>
  </si>
  <si>
    <t xml:space="preserve">Notes </t>
  </si>
  <si>
    <t>GDP Implicit Price Deflator (Index, 2005=100), Available from Federal Reserve Bank of St. Louis (FRED): http://research.stlouisfed.org/fred2/series/GDPDEF/</t>
  </si>
  <si>
    <t>From the Bureau of Labor Statistics, Average Hourly Earnings of Chemical Manufacturing Workers (Production and Nonsupervisory Employees)  From series CEU3232500008</t>
  </si>
  <si>
    <t>Source: http://data.bls.gov/timeseries/CEU3232500008?data_tool=Xgtable</t>
  </si>
  <si>
    <t>Table C1 2010 Upstream Energy and Emissions for H2 Feedstocks: for each MJ (LHV, or as noted) of feedstock available at H2 production site.  Source: GREET1_2013, 01/20/2014 for year 2010 technologies</t>
  </si>
  <si>
    <t>84 wt% ethanol from corn and 16 wt% gasoline</t>
  </si>
  <si>
    <t>AEO_2013_Reference_Case</t>
  </si>
  <si>
    <t>AEO_2013_High_Price_Case</t>
  </si>
  <si>
    <t>AEO_2014_Reference_Case</t>
  </si>
  <si>
    <t>AEO 2013 Reference Case Values:</t>
  </si>
  <si>
    <t>2011 $/MMBtu</t>
  </si>
  <si>
    <t>Pyrolysis Oil</t>
  </si>
  <si>
    <t>Ethanol (E85)</t>
  </si>
  <si>
    <t>AEO 2013 High Oil Price Case Values (except for BioMethane and Woody Biomass):</t>
  </si>
  <si>
    <t>2012 $/MMBtu</t>
  </si>
  <si>
    <r>
      <t xml:space="preserve">Hydrogen Analysis Resource Center:  </t>
    </r>
    <r>
      <rPr>
        <b/>
        <i/>
        <sz val="12"/>
        <rFont val="Arial"/>
        <family val="2"/>
      </rPr>
      <t>Price Ratios from PNNL GCAM Model</t>
    </r>
  </si>
  <si>
    <t>From GCAM</t>
  </si>
  <si>
    <t>Ratio 2070 to 2065 Price</t>
  </si>
  <si>
    <t>AEO_2009_Reference_Case</t>
  </si>
  <si>
    <t xml:space="preserve">Discounted Values </t>
  </si>
  <si>
    <t>H2 sales (kg/year)</t>
  </si>
  <si>
    <t>Target after-tax nominal IRR</t>
  </si>
  <si>
    <t>Discounted values</t>
  </si>
  <si>
    <t>LCOE cost contribution factors</t>
  </si>
  <si>
    <t>Depr</t>
  </si>
  <si>
    <t>Principal</t>
  </si>
  <si>
    <t>Op costs</t>
  </si>
  <si>
    <t>H2 sales (kg)</t>
  </si>
  <si>
    <t>Cash from Working Capital Reserve</t>
  </si>
  <si>
    <t>Actual Year
(beginning of year)</t>
  </si>
  <si>
    <t>Tax Credit</t>
  </si>
  <si>
    <t>Tax incentives</t>
  </si>
  <si>
    <t>Tax coefficient</t>
  </si>
  <si>
    <t>Feedstock Cost</t>
  </si>
  <si>
    <t>Revenue from Hydrogen Sales</t>
  </si>
  <si>
    <t>Revenue from Byproduct Sales</t>
  </si>
  <si>
    <t>Nominal</t>
  </si>
  <si>
    <t>Parameter</t>
  </si>
  <si>
    <t>Case</t>
  </si>
  <si>
    <t>Taxes</t>
  </si>
  <si>
    <t>Price-decreasing factor</t>
  </si>
  <si>
    <t>Price-increasing factor</t>
  </si>
  <si>
    <t>Price-decreasing value</t>
  </si>
  <si>
    <t>Price-increasing value</t>
  </si>
  <si>
    <t>Importance ranking</t>
  </si>
  <si>
    <t>parameter</t>
  </si>
  <si>
    <t>level</t>
  </si>
  <si>
    <t>Chart titles</t>
  </si>
  <si>
    <t>Visualization data formatting</t>
  </si>
  <si>
    <t>Rank</t>
  </si>
  <si>
    <t>Standard Toranado</t>
  </si>
  <si>
    <t>dL0</t>
  </si>
  <si>
    <t>dL1</t>
  </si>
  <si>
    <t>dL2</t>
  </si>
  <si>
    <t>Displayed case</t>
  </si>
  <si>
    <t>Low cost price</t>
  </si>
  <si>
    <t>Default price</t>
  </si>
  <si>
    <t>High price</t>
  </si>
  <si>
    <t>Unsorted titles</t>
  </si>
  <si>
    <t>Titles</t>
  </si>
  <si>
    <t>AEO 2014 Reference Case Values:</t>
  </si>
  <si>
    <t>Results spread ($/kg)</t>
  </si>
  <si>
    <t>Simple bar chart</t>
  </si>
  <si>
    <t>Parado chart</t>
  </si>
  <si>
    <t>Expenses</t>
  </si>
  <si>
    <t>Revenues</t>
  </si>
  <si>
    <t>Title</t>
  </si>
  <si>
    <t>Unsorted</t>
  </si>
  <si>
    <t>Unsorted Ranking</t>
  </si>
  <si>
    <t>Sorted ranking</t>
  </si>
  <si>
    <t>Sorted titles</t>
  </si>
  <si>
    <t>Sorted values</t>
  </si>
  <si>
    <t>Unsorted values</t>
  </si>
  <si>
    <t>Cash for Working Capital Reserve</t>
  </si>
  <si>
    <t>Closed form formulas for calculating price of hydrogen.</t>
  </si>
  <si>
    <t>Expenses $/kg H2</t>
  </si>
  <si>
    <t>Revenues $/kg H2</t>
  </si>
  <si>
    <t>Operating Capacity Factor</t>
  </si>
  <si>
    <t>After-tax Real IRR</t>
  </si>
  <si>
    <t>Cash Flow NPV (Error if not 0)</t>
  </si>
  <si>
    <t>Cost of Hydrogen</t>
  </si>
  <si>
    <t>Base case</t>
  </si>
  <si>
    <t>Hydrogen Sales</t>
  </si>
  <si>
    <t>Byproduct Sales</t>
  </si>
  <si>
    <t>Waterfall Chart Priority</t>
  </si>
  <si>
    <t>Waterfall Chart</t>
  </si>
  <si>
    <t>Baseline</t>
  </si>
  <si>
    <t>Feedstock Consumption (% of baseline)</t>
  </si>
  <si>
    <t>Utilities Consumption (% of baseline)</t>
  </si>
  <si>
    <t>Tables to calculate equivalent price in startup year</t>
  </si>
  <si>
    <t>Cost per kg H2</t>
  </si>
  <si>
    <t>Discounted value</t>
  </si>
  <si>
    <t>Levelized and escalated cost in startup year</t>
  </si>
  <si>
    <t>Adjusted</t>
  </si>
  <si>
    <t>Real levelized cost</t>
  </si>
  <si>
    <t>Base</t>
  </si>
  <si>
    <t>Increase</t>
  </si>
  <si>
    <t>Values</t>
  </si>
  <si>
    <t>Decrease</t>
  </si>
  <si>
    <t>Revenues
 $/kg H2</t>
  </si>
  <si>
    <t>Expenses
 $/kg H2</t>
  </si>
  <si>
    <t>Grayed Titles</t>
  </si>
  <si>
    <t>Colored titles</t>
  </si>
  <si>
    <t>Enter deviation % for lowering H2 cost</t>
  </si>
  <si>
    <t>Enter deviation % for increasing H2 cost</t>
  </si>
  <si>
    <t>Base date: December 1984 for the Producer price index - chemical mfg (adjusted to 1982 base)</t>
  </si>
  <si>
    <t>Value added to match other central cases.
Use this value for all central cases</t>
  </si>
  <si>
    <t>CO2 Pump Costs</t>
  </si>
  <si>
    <t>Adjustment factor (Natural Gas Pipeline -&gt; CO2 Pipeline)</t>
  </si>
  <si>
    <t>Pipeline Control System</t>
  </si>
  <si>
    <t>CO2 Other Equipment Costs</t>
  </si>
  <si>
    <t>CO2 Surge Tank</t>
  </si>
  <si>
    <t>Operation and maintenance factor for equipment (pumps, etc.)</t>
  </si>
  <si>
    <t>Inlet Pressure</t>
  </si>
  <si>
    <t>Outlet Pressure</t>
  </si>
  <si>
    <t>psia</t>
  </si>
  <si>
    <t>Pump Power</t>
  </si>
  <si>
    <t>Pump Efficiency</t>
  </si>
  <si>
    <t>Number of Pumps (H2 Production Site + Booster Pumps)</t>
  </si>
  <si>
    <t>Electricity Costs</t>
  </si>
  <si>
    <t>$/yr (start-up year electricity cost)</t>
  </si>
  <si>
    <t>Ecomp = elec cost*Wcomp*(capacity factor*24*365)*n_pumps</t>
  </si>
  <si>
    <t>Carbon Transport Calculations</t>
  </si>
  <si>
    <t>Pipeline Temperature (°F)</t>
  </si>
  <si>
    <t>CO2 Density (kg/m3)</t>
  </si>
  <si>
    <r>
      <t>PR Equation of state:  ρ</t>
    </r>
    <r>
      <rPr>
        <vertAlign val="subscript"/>
        <sz val="10"/>
        <color theme="1"/>
        <rFont val="Calibri"/>
        <family val="2"/>
      </rPr>
      <t>CO2</t>
    </r>
    <r>
      <rPr>
        <sz val="10"/>
        <color theme="1"/>
        <rFont val="Calibri"/>
        <family val="2"/>
      </rPr>
      <t xml:space="preserve"> = denPRCO2(v</t>
    </r>
    <r>
      <rPr>
        <vertAlign val="subscript"/>
        <sz val="10"/>
        <color theme="1"/>
        <rFont val="Calibri"/>
        <family val="2"/>
      </rPr>
      <t>CO2-init</t>
    </r>
    <r>
      <rPr>
        <sz val="10"/>
        <color theme="1"/>
        <rFont val="Calibri"/>
        <family val="2"/>
      </rPr>
      <t>, P</t>
    </r>
    <r>
      <rPr>
        <vertAlign val="subscript"/>
        <sz val="10"/>
        <color theme="1"/>
        <rFont val="Calibri"/>
        <family val="2"/>
      </rPr>
      <t>ave</t>
    </r>
    <r>
      <rPr>
        <sz val="10"/>
        <color theme="1"/>
        <rFont val="Calibri"/>
        <family val="2"/>
      </rPr>
      <t>, T</t>
    </r>
    <r>
      <rPr>
        <vertAlign val="subscript"/>
        <sz val="10"/>
        <color theme="1"/>
        <rFont val="Calibri"/>
        <family val="2"/>
      </rPr>
      <t>Pipeline</t>
    </r>
    <r>
      <rPr>
        <sz val="10"/>
        <color theme="1"/>
        <rFont val="Calibri"/>
        <family val="2"/>
      </rPr>
      <t>)</t>
    </r>
  </si>
  <si>
    <t>Regional Evaluation</t>
  </si>
  <si>
    <t>Site Characterization</t>
  </si>
  <si>
    <t xml:space="preserve">Operations </t>
  </si>
  <si>
    <t>Post Injection Site Care &amp; Site Closure</t>
  </si>
  <si>
    <t>Carbon Storage (Saline) Calculations</t>
  </si>
  <si>
    <t>Expense Costs by Stage</t>
  </si>
  <si>
    <t>5/15/17:  Same information as BLS data for Chemical Mfg:  https://data.bls.gov/pdq/SurveyOutputServlet</t>
  </si>
  <si>
    <t>CEPC Inflation Adj: 2008-&gt;2005</t>
  </si>
  <si>
    <t>CO2 Pumps</t>
  </si>
  <si>
    <t>CO2 Storage Cost Breakdown (2007 USD)</t>
  </si>
  <si>
    <t xml:space="preserve">Capital Costs </t>
  </si>
  <si>
    <t>CO2 Other Equipment</t>
  </si>
  <si>
    <t>CO2 Storage</t>
  </si>
  <si>
    <t>CO2 Storage (annualized)</t>
  </si>
  <si>
    <t>Carbon Sequestration Energy Charge ($/tonne CO2)</t>
  </si>
  <si>
    <t>Carbon Sequestration O&amp;M Charge ($/tonne CO2)</t>
  </si>
  <si>
    <t>Approx Carbon Seq. Cap. Charge ($/tonne CO2)</t>
  </si>
  <si>
    <t>Inlet pressure for CO2 transport (pump suction pressure)</t>
  </si>
  <si>
    <t>Pipeline length (miles)</t>
  </si>
  <si>
    <t>Pipeline Elevation Change (ft)</t>
  </si>
  <si>
    <t>Process Design Parameters</t>
  </si>
  <si>
    <t>Process Conditions</t>
  </si>
  <si>
    <t>Other Considerations</t>
  </si>
  <si>
    <t>Finance Parameters</t>
  </si>
  <si>
    <t>Notes / References</t>
  </si>
  <si>
    <t>Ground temperature</t>
  </si>
  <si>
    <t>Pipeline Nominal Diameter (in)</t>
  </si>
  <si>
    <t>CO2_Pump_Eff</t>
  </si>
  <si>
    <t>CO2_ControlSystem</t>
  </si>
  <si>
    <t>CO2_SurgeTank</t>
  </si>
  <si>
    <t>CO2_PipeElevation</t>
  </si>
  <si>
    <t>CO2_Pipeline_Temp</t>
  </si>
  <si>
    <t>Ongoing Capital Expences</t>
  </si>
  <si>
    <t>Material Capital</t>
  </si>
  <si>
    <t>Electricity consumption</t>
  </si>
  <si>
    <t>kWh/kg H2</t>
  </si>
  <si>
    <t xml:space="preserve">Pump Fixed Cost </t>
  </si>
  <si>
    <t>Pump Variable Cost</t>
  </si>
  <si>
    <t>(Total Other Equipment Cost) * O&amp;M Factor</t>
  </si>
  <si>
    <t>Pipeline Process Control System</t>
  </si>
  <si>
    <t>Pipeline cost of $5000/mi-yr</t>
  </si>
  <si>
    <t>Miscellaneous (Surveying, engineering, supervision, etc.)</t>
  </si>
  <si>
    <t>Right of Way and Damages</t>
  </si>
  <si>
    <t>Labor</t>
  </si>
  <si>
    <t>Pipeline Capital Cost Per Mile</t>
  </si>
  <si>
    <t>n_CO2_pumps</t>
  </si>
  <si>
    <t>Pump Capital Cost</t>
  </si>
  <si>
    <r>
      <t>C</t>
    </r>
    <r>
      <rPr>
        <vertAlign val="subscript"/>
        <sz val="10"/>
        <color theme="1"/>
        <rFont val="Arial"/>
        <family val="2"/>
      </rPr>
      <t>Cost_Type</t>
    </r>
    <r>
      <rPr>
        <sz val="10"/>
        <color theme="1"/>
        <rFont val="Arial"/>
        <family val="2"/>
      </rPr>
      <t xml:space="preserve"> = a</t>
    </r>
    <r>
      <rPr>
        <vertAlign val="subscript"/>
        <sz val="10"/>
        <color theme="1"/>
        <rFont val="Arial"/>
        <family val="2"/>
      </rPr>
      <t>0</t>
    </r>
    <r>
      <rPr>
        <sz val="10"/>
        <color theme="1"/>
        <rFont val="Arial"/>
        <family val="2"/>
      </rPr>
      <t xml:space="preserve"> + L * (a</t>
    </r>
    <r>
      <rPr>
        <vertAlign val="subscript"/>
        <sz val="10"/>
        <color theme="1"/>
        <rFont val="Arial"/>
        <family val="2"/>
      </rPr>
      <t xml:space="preserve">1 </t>
    </r>
    <r>
      <rPr>
        <sz val="10"/>
        <color theme="1"/>
        <rFont val="Arial"/>
        <family val="2"/>
      </rPr>
      <t>* D</t>
    </r>
    <r>
      <rPr>
        <vertAlign val="superscript"/>
        <sz val="10"/>
        <color theme="1"/>
        <rFont val="Arial"/>
        <family val="2"/>
      </rPr>
      <t>2</t>
    </r>
    <r>
      <rPr>
        <sz val="10"/>
        <color theme="1"/>
        <rFont val="Arial"/>
        <family val="2"/>
      </rPr>
      <t xml:space="preserve"> + a</t>
    </r>
    <r>
      <rPr>
        <vertAlign val="subscript"/>
        <sz val="10"/>
        <color theme="1"/>
        <rFont val="Arial"/>
        <family val="2"/>
      </rPr>
      <t xml:space="preserve">2 </t>
    </r>
    <r>
      <rPr>
        <sz val="10"/>
        <color theme="1"/>
        <rFont val="Arial"/>
        <family val="2"/>
      </rPr>
      <t>* D + a</t>
    </r>
    <r>
      <rPr>
        <vertAlign val="subscript"/>
        <sz val="10"/>
        <color theme="1"/>
        <rFont val="Arial"/>
        <family val="2"/>
      </rPr>
      <t>3</t>
    </r>
    <r>
      <rPr>
        <sz val="10"/>
        <color theme="1"/>
        <rFont val="Arial"/>
        <family val="2"/>
      </rPr>
      <t>) based on NETL CO2 Transport Model which uses Parker (2004) UCD-ITS-RR-04-35  basis</t>
    </r>
  </si>
  <si>
    <r>
      <t>C</t>
    </r>
    <r>
      <rPr>
        <vertAlign val="subscript"/>
        <sz val="10"/>
        <color theme="1"/>
        <rFont val="Arial"/>
        <family val="2"/>
      </rPr>
      <t>pump</t>
    </r>
    <r>
      <rPr>
        <sz val="10"/>
        <color theme="1"/>
        <rFont val="Arial"/>
        <family val="2"/>
      </rPr>
      <t xml:space="preserve"> = (C</t>
    </r>
    <r>
      <rPr>
        <vertAlign val="subscript"/>
        <sz val="10"/>
        <color theme="1"/>
        <rFont val="Arial"/>
        <family val="2"/>
      </rPr>
      <t>pump_fix</t>
    </r>
    <r>
      <rPr>
        <sz val="10"/>
        <color theme="1"/>
        <rFont val="Arial"/>
        <family val="2"/>
      </rPr>
      <t xml:space="preserve"> + C</t>
    </r>
    <r>
      <rPr>
        <vertAlign val="subscript"/>
        <sz val="10"/>
        <color theme="1"/>
        <rFont val="Arial"/>
        <family val="2"/>
      </rPr>
      <t xml:space="preserve">pump_var </t>
    </r>
    <r>
      <rPr>
        <sz val="10"/>
        <color theme="1"/>
        <rFont val="Arial"/>
        <family val="2"/>
      </rPr>
      <t>* W</t>
    </r>
    <r>
      <rPr>
        <vertAlign val="subscript"/>
        <sz val="10"/>
        <color theme="1"/>
        <rFont val="Arial"/>
        <family val="2"/>
      </rPr>
      <t>pump</t>
    </r>
    <r>
      <rPr>
        <sz val="10"/>
        <color theme="1"/>
        <rFont val="Arial"/>
        <family val="2"/>
      </rPr>
      <t>)</t>
    </r>
  </si>
  <si>
    <t>Cost of $1,110/kW (2005$) from NETL CO2 Transport Model which uses McCollum &amp; Ogden (2006) UCD-ITS-RR-06-14 basis</t>
  </si>
  <si>
    <r>
      <t>W</t>
    </r>
    <r>
      <rPr>
        <vertAlign val="subscript"/>
        <sz val="10"/>
        <rFont val="Arial"/>
        <family val="2"/>
      </rPr>
      <t>pump</t>
    </r>
    <r>
      <rPr>
        <sz val="10"/>
        <rFont val="Arial"/>
        <family val="2"/>
      </rPr>
      <t xml:space="preserve"> = ((1e3 kg/t * 1e6 Pa/MPa * 1e-3 kW/W)  / (24*3600 s/day))*qmax*dPpump/(ηpump*ρCO2)   from NETL CO2 Transport Model</t>
    </r>
  </si>
  <si>
    <t>Fixed cost of $70,000 (2005$) from NETL CO2 Transport Model which uses McCollum &amp; Ogden (2006) UCD-ITS-RR-06-14 basis</t>
  </si>
  <si>
    <t>Based on NETL CO2 Transport Model which uses NETL (2010) DOE/NETL-2010/1447 basis. Original cost is in 2000$</t>
  </si>
  <si>
    <r>
      <t>a</t>
    </r>
    <r>
      <rPr>
        <vertAlign val="subscript"/>
        <sz val="10"/>
        <color theme="1"/>
        <rFont val="Arial"/>
        <family val="2"/>
      </rPr>
      <t>0</t>
    </r>
    <r>
      <rPr>
        <sz val="10"/>
        <color theme="1"/>
        <rFont val="Arial"/>
        <family val="2"/>
      </rPr>
      <t xml:space="preserve"> = 35,000 $;   a</t>
    </r>
    <r>
      <rPr>
        <vertAlign val="subscript"/>
        <sz val="10"/>
        <color theme="1"/>
        <rFont val="Arial"/>
        <family val="2"/>
      </rPr>
      <t>1</t>
    </r>
    <r>
      <rPr>
        <sz val="10"/>
        <color theme="1"/>
        <rFont val="Arial"/>
        <family val="2"/>
      </rPr>
      <t xml:space="preserve"> = 330.5 $/mi-in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687 $/mi-in;   a</t>
    </r>
    <r>
      <rPr>
        <vertAlign val="subscript"/>
        <sz val="10"/>
        <color theme="1"/>
        <rFont val="Arial"/>
        <family val="2"/>
      </rPr>
      <t xml:space="preserve">3 </t>
    </r>
    <r>
      <rPr>
        <sz val="10"/>
        <color theme="1"/>
        <rFont val="Arial"/>
        <family val="2"/>
      </rPr>
      <t>= 26,960 $/mi   (coefficient basis is 2000$)</t>
    </r>
  </si>
  <si>
    <r>
      <t>a</t>
    </r>
    <r>
      <rPr>
        <vertAlign val="subscript"/>
        <sz val="10"/>
        <color theme="1"/>
        <rFont val="Arial"/>
        <family val="2"/>
      </rPr>
      <t>0</t>
    </r>
    <r>
      <rPr>
        <sz val="10"/>
        <color theme="1"/>
        <rFont val="Arial"/>
        <family val="2"/>
      </rPr>
      <t xml:space="preserve"> = 185,000 $;   a</t>
    </r>
    <r>
      <rPr>
        <vertAlign val="subscript"/>
        <sz val="10"/>
        <color theme="1"/>
        <rFont val="Arial"/>
        <family val="2"/>
      </rPr>
      <t>1</t>
    </r>
    <r>
      <rPr>
        <sz val="10"/>
        <color theme="1"/>
        <rFont val="Arial"/>
        <family val="2"/>
      </rPr>
      <t xml:space="preserve"> = 343 $/mi-in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2,074 $/mi-in;   a</t>
    </r>
    <r>
      <rPr>
        <vertAlign val="subscript"/>
        <sz val="10"/>
        <color theme="1"/>
        <rFont val="Arial"/>
        <family val="2"/>
      </rPr>
      <t xml:space="preserve">3 </t>
    </r>
    <r>
      <rPr>
        <sz val="10"/>
        <color theme="1"/>
        <rFont val="Arial"/>
        <family val="2"/>
      </rPr>
      <t>= 170,013 $/mi   (coefficient basis is 2000$)</t>
    </r>
  </si>
  <si>
    <r>
      <t>a</t>
    </r>
    <r>
      <rPr>
        <vertAlign val="subscript"/>
        <sz val="10"/>
        <color theme="1"/>
        <rFont val="Arial"/>
        <family val="2"/>
      </rPr>
      <t>0</t>
    </r>
    <r>
      <rPr>
        <sz val="10"/>
        <color theme="1"/>
        <rFont val="Arial"/>
        <family val="2"/>
      </rPr>
      <t xml:space="preserve"> = 40,000 $;   a</t>
    </r>
    <r>
      <rPr>
        <vertAlign val="subscript"/>
        <sz val="10"/>
        <color theme="1"/>
        <rFont val="Arial"/>
        <family val="2"/>
      </rPr>
      <t>1</t>
    </r>
    <r>
      <rPr>
        <sz val="10"/>
        <color theme="1"/>
        <rFont val="Arial"/>
        <family val="2"/>
      </rPr>
      <t xml:space="preserve"> = 0 $/mi-in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577 $/mi-in;   a</t>
    </r>
    <r>
      <rPr>
        <vertAlign val="subscript"/>
        <sz val="10"/>
        <color theme="1"/>
        <rFont val="Arial"/>
        <family val="2"/>
      </rPr>
      <t xml:space="preserve">3 </t>
    </r>
    <r>
      <rPr>
        <sz val="10"/>
        <color theme="1"/>
        <rFont val="Arial"/>
        <family val="2"/>
      </rPr>
      <t>= 29,788 $/mi   (coefficient basis is 2000$)</t>
    </r>
  </si>
  <si>
    <r>
      <t>a</t>
    </r>
    <r>
      <rPr>
        <vertAlign val="subscript"/>
        <sz val="10"/>
        <color theme="1"/>
        <rFont val="Arial"/>
        <family val="2"/>
      </rPr>
      <t>0</t>
    </r>
    <r>
      <rPr>
        <sz val="10"/>
        <color theme="1"/>
        <rFont val="Arial"/>
        <family val="2"/>
      </rPr>
      <t xml:space="preserve"> = 95,000 $;   a</t>
    </r>
    <r>
      <rPr>
        <vertAlign val="subscript"/>
        <sz val="10"/>
        <color theme="1"/>
        <rFont val="Arial"/>
        <family val="2"/>
      </rPr>
      <t>1</t>
    </r>
    <r>
      <rPr>
        <sz val="10"/>
        <color theme="1"/>
        <rFont val="Arial"/>
        <family val="2"/>
      </rPr>
      <t xml:space="preserve"> = 0 $/mi-in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8,417 $/mi-in;   a</t>
    </r>
    <r>
      <rPr>
        <vertAlign val="subscript"/>
        <sz val="10"/>
        <color theme="1"/>
        <rFont val="Arial"/>
        <family val="2"/>
      </rPr>
      <t xml:space="preserve">3 </t>
    </r>
    <r>
      <rPr>
        <sz val="10"/>
        <color theme="1"/>
        <rFont val="Arial"/>
        <family val="2"/>
      </rPr>
      <t>= 7,324 $/mi   (coefficient basis is 2000$)</t>
    </r>
  </si>
  <si>
    <t>Based on NETL CO2 Transport Model which uses Bock (2003) basis. $5000/mi-yr is based in 1999$</t>
  </si>
  <si>
    <t>Operations</t>
  </si>
  <si>
    <t>Total ongoing capital expenses</t>
  </si>
  <si>
    <t>Based on NETL CO2 Saline Storage Cost Model -- P50 correlation determined (2008$) as function of CO2 flowrate for each stage of cost</t>
  </si>
  <si>
    <t>CO2 Mass Flowrate (G metric tons/year)</t>
  </si>
  <si>
    <t>Set to 0 to turn off CCS</t>
  </si>
  <si>
    <t>a</t>
  </si>
  <si>
    <t>Total transportation and storage cost (w/o capture)</t>
  </si>
  <si>
    <t>AEO_2017_Reference_Case</t>
  </si>
  <si>
    <t>Values are extrapolated based on PNNL GCAM model for years 2050-2100</t>
  </si>
  <si>
    <t>Carbon Sequestration Related Replacement Costs</t>
  </si>
  <si>
    <t>Further extrapolated to allow 2040 comission year using GCAM</t>
  </si>
  <si>
    <t>GREET.NET 2017 upstream emmissions tables</t>
  </si>
  <si>
    <t>From waste and intermediate fuels</t>
  </si>
  <si>
    <t xml:space="preserve">Biomass for Gasification Hydrogen Production </t>
  </si>
  <si>
    <t>GREET.NET, natural gas feedstock</t>
  </si>
  <si>
    <t>www.nrel.gov</t>
  </si>
  <si>
    <t>H2A Version 3</t>
  </si>
  <si>
    <t>M. Penev</t>
  </si>
  <si>
    <t>Case was ported to H2A version 3</t>
  </si>
  <si>
    <t>$(2016)/ gal</t>
  </si>
  <si>
    <t>Run Risk Analysis?</t>
  </si>
  <si>
    <t>Min factor</t>
  </si>
  <si>
    <t>Max factor</t>
  </si>
  <si>
    <t>Nominal factor</t>
  </si>
  <si>
    <t>Percentile</t>
  </si>
  <si>
    <t>Min</t>
  </si>
  <si>
    <t>Max</t>
  </si>
  <si>
    <t>Variable to plot</t>
  </si>
  <si>
    <t>Range to plot</t>
  </si>
  <si>
    <t>Variable</t>
  </si>
  <si>
    <t>max</t>
  </si>
  <si>
    <t>gain</t>
  </si>
  <si>
    <t>max-min</t>
  </si>
  <si>
    <t>Min*gain</t>
  </si>
  <si>
    <t>Max*gain</t>
  </si>
  <si>
    <t>Average</t>
  </si>
  <si>
    <t>Probability</t>
  </si>
  <si>
    <t>Cumulative probability</t>
  </si>
  <si>
    <t>Risk variable to plot</t>
  </si>
  <si>
    <t>No user interactions below this row</t>
  </si>
  <si>
    <t>Operating capacity factor</t>
  </si>
  <si>
    <t>Plant design capacity (kg of H2/day)</t>
  </si>
  <si>
    <t>After-tax real IRR (%)</t>
  </si>
  <si>
    <t>Feedstock consumption (% of most likely value)</t>
  </si>
  <si>
    <t>Utilities consumption (% of most likely value)</t>
  </si>
  <si>
    <t>Revenue from byproduct sales ($/kg)</t>
  </si>
  <si>
    <t>Salvage value ($/kg)</t>
  </si>
  <si>
    <t>Initial equity depreciable capital ($/kg)</t>
  </si>
  <si>
    <t>Yearly replacement costs ($/kg)</t>
  </si>
  <si>
    <t>Cash from working capital reserve ($/kg)</t>
  </si>
  <si>
    <t>Other non-depreciable capital costs ($/kg)</t>
  </si>
  <si>
    <t>Decommissioning costs ($/kg)</t>
  </si>
  <si>
    <t>Fixed operating cost ($/kg)</t>
  </si>
  <si>
    <t>Feedstock cost ($/kg)</t>
  </si>
  <si>
    <t>Other raw material cost ($/kg)</t>
  </si>
  <si>
    <t>Other variable operating costs ($/kg)</t>
  </si>
  <si>
    <t>Debt interest ($/kg)</t>
  </si>
  <si>
    <t>Taxes ($/kg)</t>
  </si>
  <si>
    <t>Principal payment ($/kg)</t>
  </si>
  <si>
    <t>Total fixed operating cost ($/year)</t>
  </si>
  <si>
    <t>Total capital investment ($)</t>
  </si>
  <si>
    <t>Cost of hydrogen ($/kg)</t>
  </si>
  <si>
    <t>Upstream GHG Emissions (kg/kg H2) based on GREET.NET 2017</t>
  </si>
  <si>
    <t>Michael Penev</t>
  </si>
  <si>
    <t>303 275 3880</t>
  </si>
  <si>
    <t>mike.penev@nrel.gov</t>
  </si>
  <si>
    <t>Price Conversion Factor (GJ/kWh)</t>
  </si>
  <si>
    <t>Price in Startup Year ($2016)/kWh</t>
  </si>
  <si>
    <t>NREL - updated for release</t>
  </si>
  <si>
    <t>utility</t>
  </si>
  <si>
    <t>Price Conversion Factor (GJ/mmBtu)</t>
  </si>
  <si>
    <t>Price in Startup Year ($2016)/mmBtu</t>
  </si>
  <si>
    <t>Usage (mmBtu/kg H2)</t>
  </si>
  <si>
    <t>Usage (kWh/kg H2)</t>
  </si>
  <si>
    <t>NREL - G. Saur</t>
  </si>
  <si>
    <t>Fixed Feedstock cost to reference AEO 2009 reference case</t>
  </si>
  <si>
    <t>utility Industrial Electricity Usage</t>
  </si>
  <si>
    <t>utilityIndustrial_Electricity_Usage</t>
  </si>
  <si>
    <t>NREL - D. Steward</t>
  </si>
  <si>
    <t>Ported to new model structure</t>
  </si>
  <si>
    <t>H2A version 2</t>
  </si>
  <si>
    <t>Tornado chart</t>
  </si>
  <si>
    <t>H2A version 1</t>
  </si>
  <si>
    <t>Mike Rutkowski</t>
  </si>
  <si>
    <t>MD Rutkowski, Revise Capital and Feedstock $</t>
  </si>
  <si>
    <t>MD Rutkowski</t>
  </si>
  <si>
    <t>NJ Kuehn</t>
  </si>
  <si>
    <t>US DOE/NETL MD Rutkowski</t>
  </si>
  <si>
    <t>None</t>
  </si>
  <si>
    <t>Standard fossil energy sources</t>
  </si>
  <si>
    <t>Steam reformer, quench, shift, PSA</t>
  </si>
  <si>
    <t>Steam export</t>
  </si>
  <si>
    <t>Mid USA</t>
  </si>
  <si>
    <t>Corporate ownership, 100% equity</t>
  </si>
  <si>
    <t xml:space="preserve">  Energy efficiencies for individual process steps (add rows as appropriate)</t>
  </si>
  <si>
    <t>Basis</t>
  </si>
  <si>
    <t>Reference</t>
  </si>
  <si>
    <t>SMR Efficiency</t>
  </si>
  <si>
    <t>LHV efficiency of energy in gasifier product gas coming out of gasifier divided by energy in coal fed to gasifier.</t>
  </si>
  <si>
    <t>Aspen Plus® Model</t>
  </si>
  <si>
    <t>Shift Reactor Conversion</t>
  </si>
  <si>
    <t>Molar percent of CO converted to CO2</t>
  </si>
  <si>
    <t>Haldor Topsoe commercial catalyst spec.</t>
  </si>
  <si>
    <t>PSA Hydrogen Separation</t>
  </si>
  <si>
    <t>Percent hydrogen rercovered from PSA feed gas</t>
  </si>
  <si>
    <t>UOP commercial PSA design spec.</t>
  </si>
  <si>
    <t>STREAM NUMBER</t>
  </si>
  <si>
    <t>Natural Gas</t>
  </si>
  <si>
    <t>Air</t>
  </si>
  <si>
    <t>Stack Gas</t>
  </si>
  <si>
    <t xml:space="preserve"> </t>
  </si>
  <si>
    <t xml:space="preserve">  Ar                 </t>
  </si>
  <si>
    <t xml:space="preserve">  CH4</t>
  </si>
  <si>
    <t xml:space="preserve">  C2H6</t>
  </si>
  <si>
    <t xml:space="preserve">  CO2</t>
  </si>
  <si>
    <t xml:space="preserve">  H2</t>
  </si>
  <si>
    <t xml:space="preserve">  H2O</t>
  </si>
  <si>
    <t xml:space="preserve">  N2</t>
  </si>
  <si>
    <t xml:space="preserve">  O2</t>
  </si>
  <si>
    <t>NOx</t>
  </si>
  <si>
    <t>----</t>
  </si>
  <si>
    <t>20 ppm</t>
  </si>
  <si>
    <t>Total Flow (lbmol/hr)</t>
  </si>
  <si>
    <t>Total Flow (lb/hr)</t>
  </si>
  <si>
    <t>Temperature (°F)</t>
  </si>
  <si>
    <t>Pressure (psia)</t>
  </si>
  <si>
    <t>Balance of Plant and Offsites</t>
  </si>
  <si>
    <t>;</t>
  </si>
  <si>
    <t>Steam reforming of hydrocarbons continues to be the most efficient, economical, and widely used process for production of hydrogen and hydrogen/carbon monoxide mixtures.  The purpose of this analysis is to assess the economic production of hydrogen from the steam reforming of natural gas while sequestering 90% of the carbon as CO2..</t>
  </si>
  <si>
    <t xml:space="preserve">Natural gas is fed to the plant from the pipeline at a pressure of 450 psia.  The desulfurized natural gas feedstock is mixed with process steam to be reacted over a nickel based catalyst contained inside of a system of high alloy steel tubes.  The reforming reaction is strongly endothermic, and the metallurgy of the tubes usually limits the reaction temperature to 1400-1700oF.  The flue gas path of the fired reformer is integrated with additional boiler surfaces to produce about 700,000 lb/hour steam.  Of this, about 450,000 lb/hour is superheated to 450 psia and 750°F, to be added to the incoming natural gas.  Additional steam from the boiler is used to regenerate the CO2.  After the reformer, the process gas mixture of CO and H2 passes through a heat recovery step and is fed into a water gas shift reactor to produce additional H2.  </t>
  </si>
  <si>
    <t>The Pressure Swing Adsorption (PSA) process is used for hydrogen purification, based on the ability to produce high purity hydrogen, low amounts of CO and CO2 and ease of operation.  Shifted gas is fed directly to the PSA unit where hydrogen is purified up to approximately 99.6%.  This plant utilizes a proprietary amine-based process to remove and recover 99 percent of the CO2 from the syngas stream.  From the shift reactor, gas is passed through an amine tower where it is contacted counter-currently with a circulating stream of lean aqueous amine solution.  The rich amine from the absorber is then sent to a stripper column where the amine is regenerated with a steam reboiler to remove the CO2 by fractionation.  The regenerated CO2 stream is recovered at 27 psia and 121°F and is compressed to be sent off-site.  To reach 90 percent CO2 removal, a secondary MEA treatment process is installed on the reformer stack.</t>
  </si>
  <si>
    <t>Material and energy balances in Aspen Plus®; Installed equipment costing based on grass roots estimate of commercial offering; O&amp;M collaborated with KIC</t>
  </si>
  <si>
    <t>H2A Version 1 Case Study - h2a_central_natural_gas_sequestration_current_final.xls, M. Rutkowski</t>
  </si>
  <si>
    <t>Hydrogen from Natural Gas Steam Reforming, November 2003, DOE/FE/NETL</t>
  </si>
  <si>
    <t>Carbon Dioxide</t>
  </si>
  <si>
    <t xml:space="preserve">Vapor      </t>
  </si>
  <si>
    <t xml:space="preserve">Mole Fraction                 </t>
  </si>
  <si>
    <t>Central Natural Gas Reforming with CO2 Capture and Sequestration - Current Timeframe</t>
  </si>
  <si>
    <t>Process Plant Equipment (Reformer)</t>
  </si>
  <si>
    <t>Process CO2 Removal</t>
  </si>
  <si>
    <t>Stack CO2 Removal</t>
  </si>
  <si>
    <t>in 2016 $/GJ, LHV</t>
  </si>
  <si>
    <t>NOTE: AEO Prices prior to 2015 were augmented with AEO historical data</t>
  </si>
  <si>
    <t>Enter 0 to enable constant outstanding debt.</t>
  </si>
  <si>
    <t>H2A Hydrogen Production Cash Flow Analysis Tool v3.2018</t>
  </si>
  <si>
    <t>Current Central Hydrogen from Natural Gas with CO2 Capture and Sequestration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</si>
</sst>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2">
    <numFmt numFmtId="5" formatCode="&quot;$&quot;#,##0_);\(&quot;$&quot;#,##0\)"/>
    <numFmt numFmtId="6" formatCode="&quot;$&quot;#,##0_);[Red]\(&quot;$&quot;#,##0\)"/>
    <numFmt numFmtId="7" formatCode="&quot;$&quot;#,##0.00_);\(&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0.000"/>
    <numFmt numFmtId="166" formatCode="0.0"/>
    <numFmt numFmtId="167" formatCode="0.0000"/>
    <numFmt numFmtId="168" formatCode="0.000%"/>
    <numFmt numFmtId="169" formatCode="&quot;$&quot;#,##0.00"/>
    <numFmt numFmtId="170" formatCode="&quot;$&quot;#,##0"/>
    <numFmt numFmtId="171" formatCode="#,##0.0"/>
    <numFmt numFmtId="172" formatCode="_(* #,##0_);_(* \(#,##0\);_(* &quot;-&quot;??_);_(@_)"/>
    <numFmt numFmtId="173" formatCode="General_)"/>
    <numFmt numFmtId="174" formatCode="&quot;$&quot;#,##0.0000"/>
    <numFmt numFmtId="175" formatCode="#,##0.000_);[Red]\(#,##0.000\)"/>
    <numFmt numFmtId="176" formatCode="&quot;$&quot;#,##0.000000"/>
    <numFmt numFmtId="177" formatCode="#,##0.00000"/>
    <numFmt numFmtId="178" formatCode="_(&quot;$&quot;* #,##0_);_(&quot;$&quot;* \(#,##0\);_(&quot;$&quot;* &quot;-&quot;??_);_(@_)"/>
    <numFmt numFmtId="179" formatCode="0.00_)"/>
    <numFmt numFmtId="180" formatCode="#,##0.0_);\(#,##0.0\)"/>
    <numFmt numFmtId="181" formatCode="&quot;$&quot;#,##0.00000000"/>
    <numFmt numFmtId="182" formatCode="&quot;$&quot;#,##0.000000000000"/>
    <numFmt numFmtId="183" formatCode="_(* #,##0.000_);_(* \(#,##0.000\);_(* &quot;-&quot;??_);_(@_)"/>
    <numFmt numFmtId="184" formatCode="&quot;$&quot;#,##0.000_);[Red]\(&quot;$&quot;#,##0.000\)"/>
    <numFmt numFmtId="185" formatCode="&quot;$&quot;#,##0.0000_);[Red]\(&quot;$&quot;#,##0.0000\)"/>
    <numFmt numFmtId="186" formatCode="#0.0"/>
    <numFmt numFmtId="187" formatCode="#0.00"/>
    <numFmt numFmtId="188" formatCode="0;;&quot;Constant debt&quot;"/>
  </numFmts>
  <fonts count="84" x14ac:knownFonts="1">
    <font>
      <sz val="10"/>
      <name val="Arial"/>
    </font>
    <font>
      <sz val="10"/>
      <name val="Arial"/>
      <family val="2"/>
    </font>
    <font>
      <sz val="8"/>
      <name val="Arial"/>
      <family val="2"/>
    </font>
    <font>
      <b/>
      <sz val="10"/>
      <name val="Arial"/>
      <family val="2"/>
    </font>
    <font>
      <u/>
      <sz val="10"/>
      <color indexed="12"/>
      <name val="Arial"/>
      <family val="2"/>
    </font>
    <font>
      <b/>
      <sz val="11"/>
      <name val="Arial"/>
      <family val="2"/>
    </font>
    <font>
      <i/>
      <sz val="12"/>
      <color indexed="8"/>
      <name val="Arial"/>
      <family val="2"/>
    </font>
    <font>
      <sz val="10"/>
      <color indexed="8"/>
      <name val="Arial"/>
      <family val="2"/>
    </font>
    <font>
      <b/>
      <sz val="10"/>
      <color indexed="8"/>
      <name val="Arial"/>
      <family val="2"/>
    </font>
    <font>
      <u/>
      <sz val="10"/>
      <color indexed="12"/>
      <name val="Arial"/>
      <family val="2"/>
    </font>
    <font>
      <b/>
      <sz val="10"/>
      <color indexed="23"/>
      <name val="Arial"/>
      <family val="2"/>
    </font>
    <font>
      <sz val="10"/>
      <name val="Arial"/>
      <family val="2"/>
    </font>
    <font>
      <b/>
      <sz val="12"/>
      <name val="Arial"/>
      <family val="2"/>
    </font>
    <font>
      <b/>
      <i/>
      <sz val="10"/>
      <name val="Arial"/>
      <family val="2"/>
    </font>
    <font>
      <sz val="11"/>
      <name val="Arial"/>
      <family val="2"/>
    </font>
    <font>
      <sz val="10"/>
      <name val="Courier"/>
      <family val="3"/>
    </font>
    <font>
      <b/>
      <sz val="14"/>
      <name val="Arial"/>
      <family val="2"/>
    </font>
    <font>
      <b/>
      <i/>
      <sz val="12"/>
      <name val="Arial"/>
      <family val="2"/>
    </font>
    <font>
      <i/>
      <sz val="10"/>
      <name val="Arial"/>
      <family val="2"/>
    </font>
    <font>
      <b/>
      <sz val="10"/>
      <color indexed="10"/>
      <name val="Arial"/>
      <family val="2"/>
    </font>
    <font>
      <b/>
      <u/>
      <sz val="12"/>
      <color indexed="10"/>
      <name val="Arial"/>
      <family val="2"/>
    </font>
    <font>
      <b/>
      <u/>
      <sz val="10"/>
      <name val="Arial"/>
      <family val="2"/>
    </font>
    <font>
      <sz val="10"/>
      <color indexed="10"/>
      <name val="Arial"/>
      <family val="2"/>
    </font>
    <font>
      <sz val="8"/>
      <color indexed="81"/>
      <name val="Tahoma"/>
      <family val="2"/>
    </font>
    <font>
      <b/>
      <sz val="8"/>
      <color indexed="81"/>
      <name val="Tahoma"/>
      <family val="2"/>
    </font>
    <font>
      <b/>
      <sz val="16"/>
      <name val="Arial"/>
      <family val="2"/>
    </font>
    <font>
      <b/>
      <sz val="10"/>
      <color indexed="18"/>
      <name val="Arial"/>
      <family val="2"/>
    </font>
    <font>
      <b/>
      <sz val="11"/>
      <name val="Arial"/>
      <family val="2"/>
    </font>
    <font>
      <sz val="12"/>
      <name val="Arial"/>
      <family val="2"/>
    </font>
    <font>
      <b/>
      <u/>
      <sz val="11"/>
      <name val="Arial"/>
      <family val="2"/>
    </font>
    <font>
      <sz val="10"/>
      <color indexed="9"/>
      <name val="Arial"/>
      <family val="2"/>
    </font>
    <font>
      <sz val="14"/>
      <name val="Arial Black"/>
      <family val="2"/>
    </font>
    <font>
      <sz val="10"/>
      <color indexed="12"/>
      <name val="Arial"/>
      <family val="2"/>
    </font>
    <font>
      <b/>
      <sz val="20"/>
      <name val="Arial"/>
      <family val="2"/>
    </font>
    <font>
      <sz val="10"/>
      <color indexed="23"/>
      <name val="Arial"/>
      <family val="2"/>
    </font>
    <font>
      <sz val="10"/>
      <color indexed="63"/>
      <name val="Arial"/>
      <family val="2"/>
    </font>
    <font>
      <b/>
      <sz val="12"/>
      <color indexed="23"/>
      <name val="Arial"/>
      <family val="2"/>
    </font>
    <font>
      <sz val="10"/>
      <color indexed="23"/>
      <name val="Arial"/>
      <family val="2"/>
    </font>
    <font>
      <b/>
      <sz val="14"/>
      <color indexed="23"/>
      <name val="Arial"/>
      <family val="2"/>
    </font>
    <font>
      <b/>
      <i/>
      <sz val="12"/>
      <color indexed="23"/>
      <name val="Arial"/>
      <family val="2"/>
    </font>
    <font>
      <b/>
      <sz val="12"/>
      <color indexed="12"/>
      <name val="Arial"/>
      <family val="2"/>
    </font>
    <font>
      <b/>
      <sz val="11"/>
      <color indexed="12"/>
      <name val="Arial"/>
      <family val="2"/>
    </font>
    <font>
      <sz val="12"/>
      <color indexed="12"/>
      <name val="Arial"/>
      <family val="2"/>
    </font>
    <font>
      <b/>
      <sz val="16"/>
      <color indexed="12"/>
      <name val="Arial"/>
      <family val="2"/>
    </font>
    <font>
      <b/>
      <sz val="20"/>
      <color indexed="12"/>
      <name val="Arial"/>
      <family val="2"/>
    </font>
    <font>
      <sz val="10"/>
      <color indexed="12"/>
      <name val="Arial"/>
      <family val="2"/>
    </font>
    <font>
      <u/>
      <sz val="10"/>
      <name val="Arial"/>
      <family val="2"/>
    </font>
    <font>
      <sz val="11"/>
      <name val="Arial"/>
      <family val="2"/>
    </font>
    <font>
      <b/>
      <sz val="14"/>
      <color indexed="12"/>
      <name val="Arial Black"/>
      <family val="2"/>
    </font>
    <font>
      <u/>
      <sz val="10"/>
      <name val="Arial"/>
      <family val="2"/>
    </font>
    <font>
      <sz val="14"/>
      <color indexed="12"/>
      <name val="Arial Black"/>
      <family val="2"/>
    </font>
    <font>
      <b/>
      <u/>
      <sz val="11"/>
      <color indexed="12"/>
      <name val="Arial"/>
      <family val="2"/>
    </font>
    <font>
      <b/>
      <sz val="8"/>
      <color indexed="8"/>
      <name val="Verdana"/>
      <family val="2"/>
    </font>
    <font>
      <sz val="10"/>
      <name val="Arial Narrow"/>
      <family val="2"/>
    </font>
    <font>
      <i/>
      <sz val="12"/>
      <name val="Arial"/>
      <family val="2"/>
    </font>
    <font>
      <b/>
      <sz val="9"/>
      <name val="Arial"/>
      <family val="2"/>
    </font>
    <font>
      <sz val="9"/>
      <name val="Arial"/>
      <family val="2"/>
    </font>
    <font>
      <sz val="10"/>
      <name val="Arial"/>
      <family val="2"/>
    </font>
    <font>
      <sz val="9"/>
      <color indexed="62"/>
      <name val="Arial"/>
      <family val="2"/>
    </font>
    <font>
      <sz val="12"/>
      <name val="Helv"/>
    </font>
    <font>
      <b/>
      <sz val="11"/>
      <color indexed="12"/>
      <name val="Arial"/>
      <family val="2"/>
    </font>
    <font>
      <i/>
      <sz val="9"/>
      <name val="Arial"/>
      <family val="2"/>
    </font>
    <font>
      <sz val="10"/>
      <name val="Arial"/>
      <family val="2"/>
    </font>
    <font>
      <sz val="11"/>
      <color theme="1"/>
      <name val="Calibri"/>
      <family val="2"/>
      <scheme val="minor"/>
    </font>
    <font>
      <sz val="10"/>
      <color theme="4"/>
      <name val="Arial"/>
      <family val="2"/>
    </font>
    <font>
      <sz val="10"/>
      <color rgb="FF0070C0"/>
      <name val="Arial"/>
      <family val="2"/>
    </font>
    <font>
      <sz val="10"/>
      <color rgb="FFFF0000"/>
      <name val="Arial"/>
      <family val="2"/>
    </font>
    <font>
      <b/>
      <sz val="11"/>
      <color rgb="FF000000"/>
      <name val="Arial"/>
      <family val="2"/>
    </font>
    <font>
      <sz val="9"/>
      <color indexed="81"/>
      <name val="Tahoma"/>
      <family val="2"/>
    </font>
    <font>
      <b/>
      <sz val="9"/>
      <color indexed="81"/>
      <name val="Tahoma"/>
      <family val="2"/>
    </font>
    <font>
      <sz val="10"/>
      <color theme="0" tint="-0.249977111117893"/>
      <name val="Arial"/>
      <family val="2"/>
    </font>
    <font>
      <sz val="10"/>
      <name val="Calibri"/>
      <family val="2"/>
    </font>
    <font>
      <sz val="10"/>
      <color theme="9"/>
      <name val="Arial"/>
      <family val="2"/>
    </font>
    <font>
      <sz val="10"/>
      <color theme="1"/>
      <name val="Calibri"/>
      <family val="2"/>
    </font>
    <font>
      <vertAlign val="subscript"/>
      <sz val="10"/>
      <color theme="1"/>
      <name val="Calibri"/>
      <family val="2"/>
    </font>
    <font>
      <sz val="11"/>
      <color indexed="8"/>
      <name val="Calibri"/>
      <family val="2"/>
      <scheme val="minor"/>
    </font>
    <font>
      <sz val="11"/>
      <color rgb="FFFF0000"/>
      <name val="Arial"/>
      <family val="2"/>
    </font>
    <font>
      <sz val="10"/>
      <color theme="1"/>
      <name val="Arial"/>
      <family val="2"/>
    </font>
    <font>
      <vertAlign val="subscript"/>
      <sz val="10"/>
      <color theme="1"/>
      <name val="Arial"/>
      <family val="2"/>
    </font>
    <font>
      <vertAlign val="superscript"/>
      <sz val="10"/>
      <color theme="1"/>
      <name val="Arial"/>
      <family val="2"/>
    </font>
    <font>
      <vertAlign val="subscript"/>
      <sz val="10"/>
      <name val="Arial"/>
      <family val="2"/>
    </font>
    <font>
      <sz val="10"/>
      <color theme="9" tint="-0.249977111117893"/>
      <name val="Arial"/>
      <family val="2"/>
    </font>
    <font>
      <sz val="10"/>
      <color theme="3" tint="0.59999389629810485"/>
      <name val="Arial"/>
      <family val="2"/>
    </font>
    <font>
      <b/>
      <sz val="10"/>
      <color theme="3" tint="0.59999389629810485"/>
      <name val="Arial"/>
      <family val="2"/>
    </font>
  </fonts>
  <fills count="27">
    <fill>
      <patternFill patternType="none"/>
    </fill>
    <fill>
      <patternFill patternType="gray125"/>
    </fill>
    <fill>
      <patternFill patternType="solid">
        <fgColor indexed="9"/>
        <bgColor indexed="64"/>
      </patternFill>
    </fill>
    <fill>
      <patternFill patternType="solid">
        <fgColor indexed="44"/>
        <bgColor indexed="64"/>
      </patternFill>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22"/>
        <bgColor indexed="64"/>
      </patternFill>
    </fill>
    <fill>
      <patternFill patternType="solid">
        <fgColor indexed="45"/>
        <bgColor indexed="64"/>
      </patternFill>
    </fill>
    <fill>
      <patternFill patternType="solid">
        <fgColor indexed="41"/>
        <bgColor indexed="64"/>
      </patternFill>
    </fill>
    <fill>
      <patternFill patternType="solid">
        <fgColor indexed="51"/>
        <bgColor indexed="64"/>
      </patternFill>
    </fill>
    <fill>
      <patternFill patternType="solid">
        <fgColor indexed="50"/>
        <bgColor indexed="64"/>
      </patternFill>
    </fill>
    <fill>
      <patternFill patternType="solid">
        <fgColor indexed="15"/>
        <bgColor indexed="64"/>
      </patternFill>
    </fill>
    <fill>
      <patternFill patternType="solid">
        <fgColor indexed="52"/>
        <bgColor indexed="64"/>
      </patternFill>
    </fill>
    <fill>
      <patternFill patternType="solid">
        <fgColor indexed="46"/>
        <bgColor indexed="64"/>
      </patternFill>
    </fill>
    <fill>
      <patternFill patternType="solid">
        <fgColor indexed="23"/>
        <bgColor indexed="64"/>
      </patternFill>
    </fill>
    <fill>
      <patternFill patternType="solid">
        <fgColor indexed="10"/>
        <bgColor indexed="64"/>
      </patternFill>
    </fill>
    <fill>
      <patternFill patternType="solid">
        <fgColor indexed="1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rgb="FF92D050"/>
        <bgColor indexed="64"/>
      </patternFill>
    </fill>
    <fill>
      <patternFill patternType="solid">
        <fgColor theme="6" tint="0.59999389629810485"/>
        <bgColor indexed="64"/>
      </patternFill>
    </fill>
    <fill>
      <patternFill patternType="solid">
        <fgColor theme="4" tint="0.59999389629810485"/>
        <bgColor indexed="64"/>
      </patternFill>
    </fill>
  </fills>
  <borders count="18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ck">
        <color indexed="64"/>
      </left>
      <right/>
      <top/>
      <bottom/>
      <diagonal/>
    </border>
    <border>
      <left/>
      <right style="thick">
        <color indexed="64"/>
      </right>
      <top/>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style="thick">
        <color indexed="64"/>
      </right>
      <top style="thick">
        <color indexed="64"/>
      </top>
      <bottom style="thick">
        <color indexed="64"/>
      </bottom>
      <diagonal/>
    </border>
    <border>
      <left style="thick">
        <color indexed="64"/>
      </left>
      <right style="thin">
        <color indexed="64"/>
      </right>
      <top style="thick">
        <color indexed="64"/>
      </top>
      <bottom style="thin">
        <color indexed="64"/>
      </bottom>
      <diagonal/>
    </border>
    <border>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ck">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right style="thin">
        <color indexed="64"/>
      </right>
      <top style="thick">
        <color indexed="64"/>
      </top>
      <bottom style="thick">
        <color indexed="64"/>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ck">
        <color indexed="64"/>
      </right>
      <top style="thin">
        <color indexed="64"/>
      </top>
      <bottom/>
      <diagonal/>
    </border>
    <border>
      <left style="thick">
        <color indexed="64"/>
      </left>
      <right style="thin">
        <color indexed="64"/>
      </right>
      <top/>
      <bottom style="thin">
        <color indexed="64"/>
      </bottom>
      <diagonal/>
    </border>
    <border>
      <left style="thick">
        <color indexed="64"/>
      </left>
      <right/>
      <top style="thick">
        <color indexed="64"/>
      </top>
      <bottom style="thin">
        <color indexed="64"/>
      </bottom>
      <diagonal/>
    </border>
    <border>
      <left style="thick">
        <color indexed="64"/>
      </left>
      <right style="thin">
        <color indexed="64"/>
      </right>
      <top style="thick">
        <color indexed="64"/>
      </top>
      <bottom/>
      <diagonal/>
    </border>
    <border>
      <left style="thin">
        <color indexed="64"/>
      </left>
      <right style="thin">
        <color indexed="64"/>
      </right>
      <top style="thick">
        <color indexed="64"/>
      </top>
      <bottom/>
      <diagonal/>
    </border>
    <border>
      <left style="thin">
        <color indexed="64"/>
      </left>
      <right/>
      <top style="thick">
        <color indexed="64"/>
      </top>
      <bottom/>
      <diagonal/>
    </border>
    <border>
      <left style="thin">
        <color indexed="64"/>
      </left>
      <right/>
      <top/>
      <bottom/>
      <diagonal/>
    </border>
    <border>
      <left style="thin">
        <color indexed="64"/>
      </left>
      <right style="thick">
        <color indexed="64"/>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style="medium">
        <color indexed="64"/>
      </left>
      <right style="thick">
        <color indexed="64"/>
      </right>
      <top style="thick">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style="thin">
        <color indexed="64"/>
      </top>
      <bottom style="medium">
        <color indexed="64"/>
      </bottom>
      <diagonal/>
    </border>
    <border>
      <left style="thin">
        <color indexed="64"/>
      </left>
      <right/>
      <top style="thick">
        <color indexed="64"/>
      </top>
      <bottom style="thick">
        <color indexed="64"/>
      </bottom>
      <diagonal/>
    </border>
    <border>
      <left style="medium">
        <color indexed="64"/>
      </left>
      <right style="thin">
        <color indexed="64"/>
      </right>
      <top style="medium">
        <color indexed="64"/>
      </top>
      <bottom style="thick">
        <color indexed="64"/>
      </bottom>
      <diagonal/>
    </border>
    <border>
      <left style="thin">
        <color indexed="64"/>
      </left>
      <right style="thin">
        <color indexed="64"/>
      </right>
      <top style="medium">
        <color indexed="64"/>
      </top>
      <bottom style="thick">
        <color indexed="64"/>
      </bottom>
      <diagonal/>
    </border>
    <border>
      <left style="thin">
        <color indexed="64"/>
      </left>
      <right style="medium">
        <color indexed="64"/>
      </right>
      <top style="medium">
        <color indexed="64"/>
      </top>
      <bottom style="thick">
        <color indexed="64"/>
      </bottom>
      <diagonal/>
    </border>
    <border>
      <left style="thin">
        <color indexed="64"/>
      </left>
      <right/>
      <top style="thin">
        <color indexed="64"/>
      </top>
      <bottom style="thin">
        <color indexed="64"/>
      </bottom>
      <diagonal/>
    </border>
    <border>
      <left/>
      <right style="thick">
        <color indexed="64"/>
      </right>
      <top style="medium">
        <color indexed="64"/>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top style="thick">
        <color indexed="64"/>
      </top>
      <bottom style="thin">
        <color indexed="64"/>
      </bottom>
      <diagonal/>
    </border>
    <border>
      <left style="thin">
        <color indexed="64"/>
      </left>
      <right/>
      <top style="thin">
        <color indexed="64"/>
      </top>
      <bottom style="thick">
        <color indexed="64"/>
      </bottom>
      <diagonal/>
    </border>
    <border>
      <left style="medium">
        <color indexed="64"/>
      </left>
      <right style="medium">
        <color indexed="64"/>
      </right>
      <top style="medium">
        <color indexed="64"/>
      </top>
      <bottom/>
      <diagonal/>
    </border>
    <border>
      <left style="thick">
        <color indexed="64"/>
      </left>
      <right/>
      <top style="thin">
        <color indexed="64"/>
      </top>
      <bottom style="thin">
        <color indexed="64"/>
      </bottom>
      <diagonal/>
    </border>
    <border>
      <left/>
      <right style="medium">
        <color indexed="64"/>
      </right>
      <top style="medium">
        <color indexed="64"/>
      </top>
      <bottom style="medium">
        <color indexed="64"/>
      </bottom>
      <diagonal/>
    </border>
    <border>
      <left/>
      <right/>
      <top style="thick">
        <color indexed="64"/>
      </top>
      <bottom/>
      <diagonal/>
    </border>
    <border>
      <left/>
      <right style="thick">
        <color indexed="64"/>
      </right>
      <top style="thick">
        <color indexed="64"/>
      </top>
      <bottom/>
      <diagonal/>
    </border>
    <border>
      <left style="thick">
        <color indexed="64"/>
      </left>
      <right/>
      <top/>
      <bottom style="thick">
        <color indexed="64"/>
      </bottom>
      <diagonal/>
    </border>
    <border>
      <left/>
      <right style="thin">
        <color indexed="64"/>
      </right>
      <top/>
      <bottom style="thick">
        <color indexed="64"/>
      </bottom>
      <diagonal/>
    </border>
    <border>
      <left style="thin">
        <color indexed="64"/>
      </left>
      <right style="thin">
        <color indexed="64"/>
      </right>
      <top/>
      <bottom style="thick">
        <color indexed="64"/>
      </bottom>
      <diagonal/>
    </border>
    <border>
      <left style="thin">
        <color indexed="64"/>
      </left>
      <right style="thick">
        <color indexed="64"/>
      </right>
      <top/>
      <bottom style="thick">
        <color indexed="64"/>
      </bottom>
      <diagonal/>
    </border>
    <border>
      <left style="thin">
        <color indexed="64"/>
      </left>
      <right style="thick">
        <color indexed="64"/>
      </right>
      <top style="thick">
        <color indexed="64"/>
      </top>
      <bottom/>
      <diagonal/>
    </border>
    <border>
      <left style="medium">
        <color indexed="64"/>
      </left>
      <right style="thick">
        <color indexed="64"/>
      </right>
      <top style="thick">
        <color indexed="64"/>
      </top>
      <bottom style="thick">
        <color indexed="64"/>
      </bottom>
      <diagonal/>
    </border>
    <border>
      <left style="medium">
        <color indexed="64"/>
      </left>
      <right style="thick">
        <color indexed="64"/>
      </right>
      <top style="thick">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top style="medium">
        <color indexed="64"/>
      </top>
      <bottom style="medium">
        <color indexed="64"/>
      </bottom>
      <diagonal/>
    </border>
    <border>
      <left/>
      <right/>
      <top style="medium">
        <color indexed="64"/>
      </top>
      <bottom style="medium">
        <color indexed="64"/>
      </bottom>
      <diagonal/>
    </border>
    <border>
      <left/>
      <right style="thick">
        <color indexed="64"/>
      </right>
      <top style="medium">
        <color indexed="64"/>
      </top>
      <bottom style="medium">
        <color indexed="64"/>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style="thin">
        <color indexed="64"/>
      </right>
      <top/>
      <bottom/>
      <diagonal/>
    </border>
    <border>
      <left style="thin">
        <color indexed="64"/>
      </left>
      <right style="thin">
        <color indexed="64"/>
      </right>
      <top/>
      <bottom/>
      <diagonal/>
    </border>
    <border>
      <left style="medium">
        <color indexed="64"/>
      </left>
      <right style="thick">
        <color indexed="64"/>
      </right>
      <top style="medium">
        <color indexed="64"/>
      </top>
      <bottom/>
      <diagonal/>
    </border>
    <border>
      <left style="thick">
        <color indexed="64"/>
      </left>
      <right/>
      <top style="medium">
        <color indexed="64"/>
      </top>
      <bottom style="thick">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ck">
        <color indexed="64"/>
      </bottom>
      <diagonal/>
    </border>
    <border>
      <left style="medium">
        <color indexed="64"/>
      </left>
      <right/>
      <top style="double">
        <color indexed="12"/>
      </top>
      <bottom style="double">
        <color indexed="12"/>
      </bottom>
      <diagonal/>
    </border>
    <border>
      <left/>
      <right/>
      <top style="double">
        <color indexed="12"/>
      </top>
      <bottom style="double">
        <color indexed="12"/>
      </bottom>
      <diagonal/>
    </border>
    <border>
      <left/>
      <right style="medium">
        <color indexed="64"/>
      </right>
      <top style="double">
        <color indexed="12"/>
      </top>
      <bottom style="double">
        <color indexed="12"/>
      </bottom>
      <diagonal/>
    </border>
    <border>
      <left style="medium">
        <color indexed="64"/>
      </left>
      <right/>
      <top style="double">
        <color indexed="12"/>
      </top>
      <bottom/>
      <diagonal/>
    </border>
    <border>
      <left/>
      <right/>
      <top style="double">
        <color indexed="12"/>
      </top>
      <bottom/>
      <diagonal/>
    </border>
    <border>
      <left/>
      <right style="medium">
        <color indexed="64"/>
      </right>
      <top style="double">
        <color indexed="12"/>
      </top>
      <bottom/>
      <diagonal/>
    </border>
    <border>
      <left style="thick">
        <color indexed="64"/>
      </left>
      <right style="thin">
        <color indexed="64"/>
      </right>
      <top/>
      <bottom style="thick">
        <color indexed="64"/>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ck">
        <color indexed="64"/>
      </right>
      <top/>
      <bottom style="thick">
        <color indexed="64"/>
      </bottom>
      <diagonal/>
    </border>
    <border>
      <left style="medium">
        <color indexed="64"/>
      </left>
      <right style="thin">
        <color indexed="64"/>
      </right>
      <top/>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right style="thick">
        <color indexed="64"/>
      </right>
      <top/>
      <bottom style="thick">
        <color indexed="64"/>
      </bottom>
      <diagonal/>
    </border>
    <border>
      <left/>
      <right style="thick">
        <color indexed="64"/>
      </right>
      <top style="thin">
        <color indexed="64"/>
      </top>
      <bottom style="thick">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thick">
        <color indexed="64"/>
      </bottom>
      <diagonal/>
    </border>
    <border>
      <left style="thick">
        <color indexed="64"/>
      </left>
      <right/>
      <top style="thin">
        <color indexed="64"/>
      </top>
      <bottom/>
      <diagonal/>
    </border>
    <border>
      <left/>
      <right style="thin">
        <color indexed="64"/>
      </right>
      <top style="thick">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right style="thick">
        <color indexed="64"/>
      </right>
      <top/>
      <bottom style="thin">
        <color indexed="64"/>
      </bottom>
      <diagonal/>
    </border>
    <border>
      <left style="thick">
        <color indexed="64"/>
      </left>
      <right/>
      <top/>
      <bottom style="medium">
        <color indexed="64"/>
      </bottom>
      <diagonal/>
    </border>
    <border>
      <left style="thick">
        <color indexed="64"/>
      </left>
      <right/>
      <top style="medium">
        <color indexed="64"/>
      </top>
      <bottom style="thin">
        <color indexed="64"/>
      </bottom>
      <diagonal/>
    </border>
    <border>
      <left/>
      <right style="thick">
        <color indexed="64"/>
      </right>
      <top style="medium">
        <color indexed="64"/>
      </top>
      <bottom style="thin">
        <color indexed="64"/>
      </bottom>
      <diagonal/>
    </border>
    <border>
      <left/>
      <right/>
      <top style="thin">
        <color indexed="64"/>
      </top>
      <bottom/>
      <diagonal/>
    </border>
    <border>
      <left/>
      <right style="thick">
        <color indexed="64"/>
      </right>
      <top style="thin">
        <color indexed="64"/>
      </top>
      <bottom/>
      <diagonal/>
    </border>
    <border>
      <left style="thick">
        <color indexed="64"/>
      </left>
      <right/>
      <top style="thin">
        <color indexed="64"/>
      </top>
      <bottom style="medium">
        <color indexed="64"/>
      </bottom>
      <diagonal/>
    </border>
    <border>
      <left/>
      <right style="thick">
        <color indexed="64"/>
      </right>
      <top style="thin">
        <color indexed="64"/>
      </top>
      <bottom style="medium">
        <color indexed="64"/>
      </bottom>
      <diagonal/>
    </border>
    <border>
      <left style="thin">
        <color indexed="64"/>
      </left>
      <right style="thick">
        <color indexed="64"/>
      </right>
      <top style="medium">
        <color indexed="64"/>
      </top>
      <bottom style="thin">
        <color indexed="64"/>
      </bottom>
      <diagonal/>
    </border>
    <border>
      <left style="thin">
        <color indexed="64"/>
      </left>
      <right style="thick">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ck">
        <color indexed="64"/>
      </left>
      <right/>
      <top/>
      <bottom style="thin">
        <color indexed="64"/>
      </bottom>
      <diagonal/>
    </border>
    <border>
      <left/>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style="medium">
        <color indexed="64"/>
      </left>
      <right/>
      <top/>
      <bottom style="thick">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right/>
      <top style="double">
        <color indexed="64"/>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right style="thick">
        <color indexed="64"/>
      </right>
      <top/>
      <bottom style="medium">
        <color indexed="64"/>
      </bottom>
      <diagonal/>
    </border>
    <border>
      <left/>
      <right/>
      <top/>
      <bottom style="double">
        <color indexed="12"/>
      </bottom>
      <diagonal/>
    </border>
    <border>
      <left/>
      <right style="medium">
        <color indexed="64"/>
      </right>
      <top/>
      <bottom style="double">
        <color indexed="12"/>
      </bottom>
      <diagonal/>
    </border>
    <border>
      <left style="thin">
        <color indexed="64"/>
      </left>
      <right/>
      <top/>
      <bottom style="medium">
        <color indexed="64"/>
      </bottom>
      <diagonal/>
    </border>
    <border>
      <left style="thin">
        <color indexed="64"/>
      </left>
      <right/>
      <top style="medium">
        <color indexed="64"/>
      </top>
      <bottom/>
      <diagonal/>
    </border>
    <border>
      <left style="thin">
        <color indexed="64"/>
      </left>
      <right style="medium">
        <color indexed="64"/>
      </right>
      <top style="thick">
        <color indexed="64"/>
      </top>
      <bottom style="thin">
        <color indexed="64"/>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ck">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style="thick">
        <color indexed="64"/>
      </top>
      <bottom style="thick">
        <color indexed="64"/>
      </bottom>
      <diagonal/>
    </border>
    <border>
      <left/>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ck">
        <color indexed="64"/>
      </left>
      <right style="thin">
        <color indexed="64"/>
      </right>
      <top style="thin">
        <color indexed="64"/>
      </top>
      <bottom style="medium">
        <color indexed="64"/>
      </bottom>
      <diagonal/>
    </border>
    <border>
      <left style="thick">
        <color indexed="64"/>
      </left>
      <right/>
      <top style="thin">
        <color indexed="64"/>
      </top>
      <bottom style="double">
        <color indexed="64"/>
      </bottom>
      <diagonal/>
    </border>
    <border>
      <left/>
      <right/>
      <top style="thin">
        <color indexed="64"/>
      </top>
      <bottom style="double">
        <color indexed="64"/>
      </bottom>
      <diagonal/>
    </border>
    <border>
      <left/>
      <right style="thick">
        <color indexed="64"/>
      </right>
      <top style="thin">
        <color indexed="64"/>
      </top>
      <bottom style="double">
        <color indexed="64"/>
      </bottom>
      <diagonal/>
    </border>
    <border>
      <left style="medium">
        <color indexed="64"/>
      </left>
      <right style="medium">
        <color indexed="64"/>
      </right>
      <top/>
      <bottom style="thin">
        <color indexed="64"/>
      </bottom>
      <diagonal/>
    </border>
    <border>
      <left/>
      <right style="thin">
        <color indexed="64"/>
      </right>
      <top style="thin">
        <color indexed="64"/>
      </top>
      <bottom/>
      <diagonal/>
    </border>
    <border>
      <left/>
      <right style="thin">
        <color indexed="64"/>
      </right>
      <top/>
      <bottom/>
      <diagonal/>
    </border>
  </borders>
  <cellStyleXfs count="21">
    <xf numFmtId="0" fontId="0" fillId="0" borderId="0"/>
    <xf numFmtId="43" fontId="1" fillId="0" borderId="0" applyFont="0" applyFill="0" applyBorder="0" applyAlignment="0" applyProtection="0"/>
    <xf numFmtId="43" fontId="62" fillId="0" borderId="0" applyFont="0" applyFill="0" applyBorder="0" applyAlignment="0" applyProtection="0"/>
    <xf numFmtId="44" fontId="1" fillId="0" borderId="0" applyFont="0" applyFill="0" applyBorder="0" applyAlignment="0" applyProtection="0"/>
    <xf numFmtId="44" fontId="62" fillId="0" borderId="0" applyFont="0" applyFill="0" applyBorder="0" applyAlignment="0" applyProtection="0"/>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11" fillId="0" borderId="0"/>
    <xf numFmtId="0" fontId="63" fillId="0" borderId="0"/>
    <xf numFmtId="0" fontId="63" fillId="0" borderId="0"/>
    <xf numFmtId="0" fontId="59" fillId="0" borderId="0"/>
    <xf numFmtId="0" fontId="63" fillId="0" borderId="0"/>
    <xf numFmtId="173" fontId="53" fillId="0" borderId="0"/>
    <xf numFmtId="173" fontId="53" fillId="0" borderId="0"/>
    <xf numFmtId="0" fontId="11" fillId="0" borderId="0"/>
    <xf numFmtId="0" fontId="11" fillId="0" borderId="0"/>
    <xf numFmtId="173" fontId="15" fillId="0" borderId="0"/>
    <xf numFmtId="9" fontId="1" fillId="0" borderId="0" applyFont="0" applyFill="0" applyBorder="0" applyAlignment="0" applyProtection="0"/>
    <xf numFmtId="9" fontId="11" fillId="0" borderId="0" applyFont="0" applyFill="0" applyBorder="0" applyAlignment="0" applyProtection="0"/>
    <xf numFmtId="9" fontId="62" fillId="0" borderId="0" applyFont="0" applyFill="0" applyBorder="0" applyAlignment="0" applyProtection="0"/>
    <xf numFmtId="0" fontId="75" fillId="0" borderId="0"/>
  </cellStyleXfs>
  <cellXfs count="1718">
    <xf numFmtId="0" fontId="0" fillId="0" borderId="0" xfId="0"/>
    <xf numFmtId="0" fontId="3" fillId="0" borderId="0" xfId="0" applyFont="1"/>
    <xf numFmtId="0" fontId="5" fillId="0" borderId="0" xfId="0" applyFont="1"/>
    <xf numFmtId="0" fontId="8" fillId="2" borderId="1" xfId="0" applyFont="1" applyFill="1" applyBorder="1" applyAlignment="1">
      <alignment wrapText="1"/>
    </xf>
    <xf numFmtId="0" fontId="8" fillId="2" borderId="2" xfId="0" applyFont="1" applyFill="1" applyBorder="1" applyAlignment="1">
      <alignment wrapText="1"/>
    </xf>
    <xf numFmtId="0" fontId="8" fillId="2" borderId="2" xfId="0" applyFont="1" applyFill="1" applyBorder="1" applyAlignment="1">
      <alignment horizontal="center" vertical="center" wrapText="1"/>
    </xf>
    <xf numFmtId="0" fontId="8" fillId="2" borderId="3" xfId="0" applyFont="1" applyFill="1" applyBorder="1" applyAlignment="1">
      <alignment horizontal="center" vertical="center" wrapText="1"/>
    </xf>
    <xf numFmtId="0" fontId="8" fillId="3" borderId="4" xfId="0" applyFont="1" applyFill="1" applyBorder="1" applyAlignment="1">
      <alignment vertical="center" wrapText="1"/>
    </xf>
    <xf numFmtId="0" fontId="8" fillId="3" borderId="0" xfId="0" applyFont="1" applyFill="1" applyBorder="1" applyAlignment="1">
      <alignment vertical="center" wrapText="1"/>
    </xf>
    <xf numFmtId="0" fontId="8" fillId="3" borderId="0" xfId="0" applyFont="1" applyFill="1" applyBorder="1" applyAlignment="1">
      <alignment horizontal="center" vertical="center" wrapText="1"/>
    </xf>
    <xf numFmtId="0" fontId="8" fillId="3" borderId="5" xfId="0" applyFont="1" applyFill="1" applyBorder="1" applyAlignment="1">
      <alignment horizontal="center" vertical="center" wrapText="1"/>
    </xf>
    <xf numFmtId="0" fontId="7" fillId="2" borderId="4" xfId="0" applyFont="1" applyFill="1" applyBorder="1" applyAlignment="1">
      <alignment horizontal="left" vertical="center" wrapText="1"/>
    </xf>
    <xf numFmtId="0" fontId="8" fillId="2" borderId="0" xfId="0" applyFont="1" applyFill="1" applyBorder="1" applyAlignment="1">
      <alignment horizontal="left" vertical="center" wrapText="1"/>
    </xf>
    <xf numFmtId="1" fontId="7" fillId="2" borderId="0" xfId="0" applyNumberFormat="1" applyFont="1" applyFill="1" applyBorder="1" applyAlignment="1">
      <alignment horizontal="center" vertical="center"/>
    </xf>
    <xf numFmtId="3" fontId="7" fillId="0" borderId="0" xfId="0" applyNumberFormat="1" applyFont="1" applyFill="1" applyBorder="1" applyAlignment="1">
      <alignment horizontal="center" vertical="center"/>
    </xf>
    <xf numFmtId="0" fontId="7" fillId="2" borderId="4" xfId="0" applyFont="1" applyFill="1" applyBorder="1" applyAlignment="1">
      <alignment vertical="center" wrapText="1"/>
    </xf>
    <xf numFmtId="0" fontId="8" fillId="2" borderId="0" xfId="0" applyFont="1" applyFill="1" applyBorder="1" applyAlignment="1">
      <alignment vertical="center" wrapText="1"/>
    </xf>
    <xf numFmtId="3" fontId="7" fillId="2" borderId="0" xfId="0" applyNumberFormat="1" applyFont="1" applyFill="1" applyBorder="1" applyAlignment="1">
      <alignment horizontal="center" vertical="center"/>
    </xf>
    <xf numFmtId="166" fontId="7" fillId="2" borderId="0" xfId="0" applyNumberFormat="1" applyFont="1" applyFill="1" applyBorder="1" applyAlignment="1">
      <alignment horizontal="center" vertical="center"/>
    </xf>
    <xf numFmtId="3" fontId="7" fillId="2" borderId="0" xfId="0" applyNumberFormat="1" applyFont="1" applyFill="1" applyBorder="1" applyAlignment="1">
      <alignment horizontal="center" vertical="center" wrapText="1"/>
    </xf>
    <xf numFmtId="166" fontId="7" fillId="2" borderId="5" xfId="0" applyNumberFormat="1" applyFont="1" applyFill="1" applyBorder="1" applyAlignment="1">
      <alignment horizontal="center" vertical="center" wrapText="1"/>
    </xf>
    <xf numFmtId="3" fontId="7" fillId="2" borderId="5" xfId="0" applyNumberFormat="1" applyFont="1" applyFill="1" applyBorder="1" applyAlignment="1">
      <alignment horizontal="center" vertical="center" wrapText="1"/>
    </xf>
    <xf numFmtId="3" fontId="7" fillId="2" borderId="5" xfId="0" quotePrefix="1" applyNumberFormat="1" applyFont="1" applyFill="1" applyBorder="1" applyAlignment="1">
      <alignment horizontal="center" vertical="center" wrapText="1"/>
    </xf>
    <xf numFmtId="0" fontId="8" fillId="2" borderId="0" xfId="0" applyFont="1" applyFill="1" applyBorder="1" applyAlignment="1">
      <alignment vertical="center"/>
    </xf>
    <xf numFmtId="3" fontId="7" fillId="2" borderId="0" xfId="0" quotePrefix="1" applyNumberFormat="1" applyFont="1" applyFill="1" applyBorder="1" applyAlignment="1">
      <alignment horizontal="center" vertical="center" wrapText="1"/>
    </xf>
    <xf numFmtId="0" fontId="7" fillId="2" borderId="4" xfId="0" applyFont="1" applyFill="1" applyBorder="1" applyAlignment="1">
      <alignment horizontal="left" wrapText="1"/>
    </xf>
    <xf numFmtId="0" fontId="7" fillId="2" borderId="0" xfId="0" applyFont="1" applyFill="1" applyBorder="1" applyAlignment="1">
      <alignment horizontal="left" wrapText="1"/>
    </xf>
    <xf numFmtId="0" fontId="7" fillId="2" borderId="5" xfId="0" applyFont="1" applyFill="1" applyBorder="1" applyAlignment="1">
      <alignment horizontal="left" wrapText="1"/>
    </xf>
    <xf numFmtId="10" fontId="0" fillId="0" borderId="0" xfId="0" applyNumberFormat="1"/>
    <xf numFmtId="0" fontId="0" fillId="0" borderId="0" xfId="0" applyAlignment="1">
      <alignment vertical="top" wrapText="1"/>
    </xf>
    <xf numFmtId="0" fontId="5" fillId="0" borderId="6" xfId="0" applyFont="1" applyBorder="1" applyAlignment="1">
      <alignment horizontal="center"/>
    </xf>
    <xf numFmtId="0" fontId="5" fillId="0" borderId="7" xfId="0" applyFont="1" applyBorder="1" applyAlignment="1">
      <alignment horizontal="center"/>
    </xf>
    <xf numFmtId="0" fontId="5" fillId="0" borderId="6" xfId="0" applyFont="1" applyBorder="1" applyAlignment="1">
      <alignment vertical="top" wrapText="1"/>
    </xf>
    <xf numFmtId="0" fontId="0" fillId="0" borderId="0" xfId="0" applyFill="1"/>
    <xf numFmtId="0" fontId="0" fillId="0" borderId="0" xfId="0" applyFill="1" applyAlignment="1">
      <alignment vertical="top" wrapText="1"/>
    </xf>
    <xf numFmtId="0" fontId="11" fillId="0" borderId="0" xfId="0" applyFont="1" applyAlignment="1">
      <alignment vertical="top" wrapText="1"/>
    </xf>
    <xf numFmtId="0" fontId="11" fillId="3" borderId="8" xfId="0" applyFont="1" applyFill="1" applyBorder="1" applyAlignment="1" applyProtection="1">
      <alignment horizontal="left" vertical="center" wrapText="1"/>
    </xf>
    <xf numFmtId="0" fontId="16" fillId="0" borderId="0" xfId="0" applyFont="1" applyProtection="1"/>
    <xf numFmtId="0" fontId="0" fillId="0" borderId="0" xfId="0" applyProtection="1"/>
    <xf numFmtId="0" fontId="0" fillId="0" borderId="0" xfId="0" applyFill="1" applyProtection="1"/>
    <xf numFmtId="0" fontId="11" fillId="0" borderId="0" xfId="0" applyFont="1" applyFill="1" applyBorder="1" applyAlignment="1" applyProtection="1">
      <alignment horizontal="left" vertical="center" wrapText="1"/>
    </xf>
    <xf numFmtId="0" fontId="3" fillId="0" borderId="0" xfId="0" quotePrefix="1" applyFont="1" applyFill="1" applyBorder="1" applyAlignment="1" applyProtection="1">
      <alignment horizontal="left" vertical="center"/>
    </xf>
    <xf numFmtId="0" fontId="12" fillId="4" borderId="0" xfId="0" applyFont="1" applyFill="1" applyProtection="1"/>
    <xf numFmtId="0" fontId="11" fillId="4" borderId="0" xfId="0" applyFont="1" applyFill="1" applyProtection="1"/>
    <xf numFmtId="0" fontId="11" fillId="0" borderId="0" xfId="0" applyFont="1" applyFill="1" applyProtection="1"/>
    <xf numFmtId="0" fontId="0" fillId="0" borderId="0" xfId="0" applyFill="1" applyBorder="1" applyProtection="1"/>
    <xf numFmtId="0" fontId="11" fillId="5" borderId="8" xfId="0" applyFont="1" applyFill="1" applyBorder="1" applyAlignment="1" applyProtection="1">
      <alignment horizontal="left" vertical="center" wrapText="1"/>
    </xf>
    <xf numFmtId="0" fontId="11" fillId="6" borderId="8" xfId="0" applyFont="1" applyFill="1" applyBorder="1" applyAlignment="1" applyProtection="1">
      <alignment horizontal="left" vertical="center" wrapText="1"/>
    </xf>
    <xf numFmtId="0" fontId="0" fillId="4" borderId="8" xfId="0" applyFill="1" applyBorder="1" applyProtection="1"/>
    <xf numFmtId="173" fontId="17" fillId="0" borderId="9" xfId="16" applyFont="1" applyBorder="1" applyAlignment="1" applyProtection="1"/>
    <xf numFmtId="173" fontId="17" fillId="0" borderId="10" xfId="16" applyFont="1" applyBorder="1" applyAlignment="1" applyProtection="1"/>
    <xf numFmtId="0" fontId="0" fillId="0" borderId="10" xfId="0" applyBorder="1" applyAlignment="1" applyProtection="1"/>
    <xf numFmtId="0" fontId="0" fillId="0" borderId="11" xfId="0" applyBorder="1" applyAlignment="1" applyProtection="1"/>
    <xf numFmtId="173" fontId="11" fillId="0" borderId="0" xfId="16" applyFont="1" applyProtection="1"/>
    <xf numFmtId="173" fontId="17" fillId="0" borderId="12" xfId="16" applyFont="1" applyBorder="1" applyAlignment="1" applyProtection="1"/>
    <xf numFmtId="173" fontId="3" fillId="0" borderId="13" xfId="16" applyFont="1" applyBorder="1" applyAlignment="1" applyProtection="1">
      <alignment horizontal="center"/>
    </xf>
    <xf numFmtId="173" fontId="3" fillId="0" borderId="14" xfId="16" applyFont="1" applyBorder="1" applyAlignment="1" applyProtection="1">
      <alignment horizontal="center"/>
    </xf>
    <xf numFmtId="173" fontId="3" fillId="0" borderId="15" xfId="16" applyFont="1" applyBorder="1" applyAlignment="1" applyProtection="1">
      <alignment horizontal="center"/>
    </xf>
    <xf numFmtId="173" fontId="3" fillId="0" borderId="16" xfId="16" applyFont="1" applyBorder="1" applyAlignment="1" applyProtection="1">
      <alignment horizontal="center"/>
    </xf>
    <xf numFmtId="173" fontId="11" fillId="3" borderId="17" xfId="16" applyFont="1" applyFill="1" applyBorder="1" applyProtection="1"/>
    <xf numFmtId="173" fontId="11" fillId="3" borderId="18" xfId="16" applyFont="1" applyFill="1" applyBorder="1" applyProtection="1"/>
    <xf numFmtId="170" fontId="11" fillId="3" borderId="8" xfId="16" applyNumberFormat="1" applyFont="1" applyFill="1" applyBorder="1" applyProtection="1"/>
    <xf numFmtId="170" fontId="11" fillId="3" borderId="19" xfId="16" applyNumberFormat="1" applyFont="1" applyFill="1" applyBorder="1" applyProtection="1"/>
    <xf numFmtId="173" fontId="11" fillId="3" borderId="20" xfId="16" applyFont="1" applyFill="1" applyBorder="1" applyProtection="1"/>
    <xf numFmtId="173" fontId="11" fillId="3" borderId="21" xfId="16" applyFont="1" applyFill="1" applyBorder="1" applyProtection="1"/>
    <xf numFmtId="170" fontId="11" fillId="3" borderId="22" xfId="16" applyNumberFormat="1" applyFont="1" applyFill="1" applyBorder="1" applyProtection="1"/>
    <xf numFmtId="170" fontId="11" fillId="3" borderId="23" xfId="16" applyNumberFormat="1" applyFont="1" applyFill="1" applyBorder="1" applyProtection="1"/>
    <xf numFmtId="0" fontId="17" fillId="3" borderId="24" xfId="0" applyFont="1" applyFill="1" applyBorder="1" applyProtection="1"/>
    <xf numFmtId="0" fontId="0" fillId="3" borderId="10" xfId="0" applyFill="1" applyBorder="1" applyProtection="1"/>
    <xf numFmtId="0" fontId="0" fillId="3" borderId="11" xfId="0" applyFill="1" applyBorder="1" applyProtection="1"/>
    <xf numFmtId="0" fontId="0" fillId="3" borderId="25" xfId="0" applyFill="1" applyBorder="1" applyProtection="1"/>
    <xf numFmtId="0" fontId="0" fillId="3" borderId="26" xfId="0" applyFill="1" applyBorder="1" applyAlignment="1" applyProtection="1">
      <alignment horizontal="center"/>
    </xf>
    <xf numFmtId="0" fontId="0" fillId="3" borderId="27" xfId="0" applyFill="1" applyBorder="1" applyAlignment="1" applyProtection="1">
      <alignment horizontal="center"/>
    </xf>
    <xf numFmtId="0" fontId="0" fillId="3" borderId="12" xfId="0" applyFill="1" applyBorder="1" applyProtection="1"/>
    <xf numFmtId="0" fontId="0" fillId="3" borderId="25" xfId="0" applyFill="1" applyBorder="1" applyAlignment="1" applyProtection="1">
      <alignment horizontal="center"/>
    </xf>
    <xf numFmtId="0" fontId="0" fillId="3" borderId="28" xfId="0" applyFill="1" applyBorder="1" applyProtection="1"/>
    <xf numFmtId="10" fontId="0" fillId="3" borderId="29" xfId="0" applyNumberFormat="1" applyFill="1" applyBorder="1" applyProtection="1"/>
    <xf numFmtId="10" fontId="0" fillId="3" borderId="30" xfId="0" applyNumberFormat="1" applyFill="1" applyBorder="1" applyProtection="1"/>
    <xf numFmtId="168" fontId="0" fillId="3" borderId="31" xfId="0" applyNumberFormat="1" applyFill="1" applyBorder="1" applyProtection="1"/>
    <xf numFmtId="0" fontId="0" fillId="3" borderId="32" xfId="0" applyFill="1" applyBorder="1" applyProtection="1"/>
    <xf numFmtId="10" fontId="0" fillId="3" borderId="18" xfId="0" applyNumberFormat="1" applyFill="1" applyBorder="1" applyProtection="1"/>
    <xf numFmtId="10" fontId="0" fillId="3" borderId="8" xfId="0" applyNumberFormat="1" applyFill="1" applyBorder="1" applyProtection="1"/>
    <xf numFmtId="168" fontId="0" fillId="3" borderId="19" xfId="0" applyNumberFormat="1" applyFill="1" applyBorder="1" applyProtection="1"/>
    <xf numFmtId="0" fontId="0" fillId="3" borderId="33" xfId="0" applyFill="1" applyBorder="1" applyProtection="1"/>
    <xf numFmtId="10" fontId="0" fillId="3" borderId="21" xfId="0" applyNumberFormat="1" applyFill="1" applyBorder="1" applyProtection="1"/>
    <xf numFmtId="10" fontId="0" fillId="3" borderId="22" xfId="0" applyNumberFormat="1" applyFill="1" applyBorder="1" applyProtection="1"/>
    <xf numFmtId="168" fontId="0" fillId="3" borderId="23" xfId="0" applyNumberFormat="1" applyFill="1" applyBorder="1" applyProtection="1"/>
    <xf numFmtId="0" fontId="0" fillId="3" borderId="34" xfId="0" applyFill="1" applyBorder="1" applyProtection="1"/>
    <xf numFmtId="175" fontId="0" fillId="3" borderId="13" xfId="0" applyNumberFormat="1" applyFill="1" applyBorder="1" applyProtection="1"/>
    <xf numFmtId="175" fontId="0" fillId="3" borderId="15" xfId="0" applyNumberFormat="1" applyFill="1" applyBorder="1" applyProtection="1"/>
    <xf numFmtId="175" fontId="0" fillId="3" borderId="16" xfId="0" applyNumberFormat="1" applyFill="1" applyBorder="1" applyProtection="1"/>
    <xf numFmtId="175" fontId="0" fillId="3" borderId="20" xfId="0" applyNumberFormat="1" applyFill="1" applyBorder="1" applyProtection="1"/>
    <xf numFmtId="175" fontId="0" fillId="3" borderId="22" xfId="0" applyNumberFormat="1" applyFill="1" applyBorder="1" applyProtection="1"/>
    <xf numFmtId="175" fontId="0" fillId="3" borderId="23" xfId="0" applyNumberFormat="1" applyFill="1" applyBorder="1" applyProtection="1"/>
    <xf numFmtId="0" fontId="17" fillId="3" borderId="25" xfId="0" applyFont="1" applyFill="1" applyBorder="1" applyProtection="1"/>
    <xf numFmtId="0" fontId="0" fillId="3" borderId="27" xfId="0" applyFill="1" applyBorder="1" applyProtection="1"/>
    <xf numFmtId="0" fontId="0" fillId="3" borderId="13" xfId="0" applyFill="1" applyBorder="1" applyProtection="1"/>
    <xf numFmtId="0" fontId="0" fillId="3" borderId="16" xfId="0" applyFill="1" applyBorder="1" applyAlignment="1" applyProtection="1">
      <alignment horizontal="right"/>
    </xf>
    <xf numFmtId="0" fontId="0" fillId="3" borderId="17" xfId="0" applyFill="1" applyBorder="1" applyProtection="1"/>
    <xf numFmtId="0" fontId="0" fillId="3" borderId="19" xfId="0" applyFill="1" applyBorder="1" applyAlignment="1" applyProtection="1">
      <alignment horizontal="right"/>
    </xf>
    <xf numFmtId="0" fontId="0" fillId="3" borderId="20" xfId="0" applyFill="1" applyBorder="1" applyProtection="1"/>
    <xf numFmtId="170" fontId="0" fillId="3" borderId="23" xfId="0" applyNumberFormat="1" applyFill="1" applyBorder="1" applyProtection="1"/>
    <xf numFmtId="0" fontId="17" fillId="3" borderId="9" xfId="0" applyFont="1" applyFill="1" applyBorder="1" applyProtection="1"/>
    <xf numFmtId="0" fontId="0" fillId="3" borderId="9" xfId="0" applyFill="1" applyBorder="1" applyProtection="1"/>
    <xf numFmtId="0" fontId="0" fillId="3" borderId="12" xfId="0" applyFill="1" applyBorder="1" applyAlignment="1" applyProtection="1">
      <alignment wrapText="1"/>
    </xf>
    <xf numFmtId="0" fontId="0" fillId="3" borderId="35" xfId="0" applyFill="1" applyBorder="1" applyProtection="1"/>
    <xf numFmtId="0" fontId="0" fillId="3" borderId="26" xfId="0" applyFill="1" applyBorder="1" applyProtection="1"/>
    <xf numFmtId="170" fontId="0" fillId="3" borderId="29" xfId="0" applyNumberFormat="1" applyFill="1" applyBorder="1" applyProtection="1"/>
    <xf numFmtId="170" fontId="0" fillId="3" borderId="30" xfId="0" applyNumberFormat="1" applyFill="1" applyBorder="1" applyProtection="1"/>
    <xf numFmtId="170" fontId="0" fillId="3" borderId="31" xfId="0" applyNumberFormat="1" applyFill="1" applyBorder="1" applyProtection="1"/>
    <xf numFmtId="170" fontId="0" fillId="3" borderId="28" xfId="0" applyNumberFormat="1" applyFill="1" applyBorder="1" applyProtection="1"/>
    <xf numFmtId="170" fontId="0" fillId="3" borderId="32" xfId="0" applyNumberFormat="1" applyFill="1" applyBorder="1" applyProtection="1"/>
    <xf numFmtId="170" fontId="0" fillId="3" borderId="18" xfId="0" applyNumberFormat="1" applyFill="1" applyBorder="1" applyProtection="1"/>
    <xf numFmtId="170" fontId="0" fillId="3" borderId="8" xfId="0" applyNumberFormat="1" applyFill="1" applyBorder="1" applyProtection="1"/>
    <xf numFmtId="170" fontId="0" fillId="3" borderId="19" xfId="0" applyNumberFormat="1" applyFill="1" applyBorder="1" applyProtection="1"/>
    <xf numFmtId="170" fontId="0" fillId="3" borderId="21" xfId="0" applyNumberFormat="1" applyFill="1" applyBorder="1" applyProtection="1"/>
    <xf numFmtId="170" fontId="0" fillId="3" borderId="22" xfId="0" applyNumberFormat="1" applyFill="1" applyBorder="1" applyProtection="1"/>
    <xf numFmtId="170" fontId="0" fillId="3" borderId="33" xfId="0" applyNumberFormat="1" applyFill="1" applyBorder="1" applyProtection="1"/>
    <xf numFmtId="170" fontId="0" fillId="0" borderId="0" xfId="0" applyNumberFormat="1" applyFill="1" applyBorder="1" applyProtection="1"/>
    <xf numFmtId="170" fontId="0" fillId="0" borderId="0" xfId="0" applyNumberFormat="1" applyProtection="1"/>
    <xf numFmtId="0" fontId="3" fillId="3" borderId="13" xfId="0" applyFont="1" applyFill="1" applyBorder="1" applyProtection="1"/>
    <xf numFmtId="0" fontId="3" fillId="3" borderId="15" xfId="0" applyFont="1" applyFill="1" applyBorder="1" applyProtection="1"/>
    <xf numFmtId="0" fontId="3" fillId="3" borderId="16" xfId="0" applyFont="1" applyFill="1" applyBorder="1" applyAlignment="1" applyProtection="1">
      <alignment wrapText="1"/>
    </xf>
    <xf numFmtId="5" fontId="1" fillId="3" borderId="19" xfId="3" applyNumberFormat="1" applyFill="1" applyBorder="1" applyProtection="1"/>
    <xf numFmtId="0" fontId="0" fillId="3" borderId="36" xfId="0" applyFill="1" applyBorder="1" applyProtection="1"/>
    <xf numFmtId="170" fontId="0" fillId="3" borderId="37" xfId="0" applyNumberFormat="1" applyFill="1" applyBorder="1" applyProtection="1"/>
    <xf numFmtId="5" fontId="1" fillId="3" borderId="38" xfId="3" applyNumberFormat="1" applyFill="1" applyBorder="1" applyProtection="1"/>
    <xf numFmtId="0" fontId="3" fillId="3" borderId="25" xfId="0" applyFont="1" applyFill="1" applyBorder="1" applyProtection="1"/>
    <xf numFmtId="170" fontId="3" fillId="3" borderId="26" xfId="0" applyNumberFormat="1" applyFont="1" applyFill="1" applyBorder="1" applyProtection="1"/>
    <xf numFmtId="5" fontId="3" fillId="3" borderId="27" xfId="3" applyNumberFormat="1" applyFont="1" applyFill="1" applyBorder="1" applyProtection="1"/>
    <xf numFmtId="0" fontId="3" fillId="0" borderId="0" xfId="0" applyFont="1" applyFill="1" applyBorder="1" applyProtection="1"/>
    <xf numFmtId="170" fontId="3" fillId="0" borderId="0" xfId="0" applyNumberFormat="1" applyFont="1" applyFill="1" applyBorder="1" applyProtection="1"/>
    <xf numFmtId="5" fontId="3" fillId="0" borderId="0" xfId="3" applyNumberFormat="1" applyFont="1" applyFill="1" applyBorder="1" applyProtection="1"/>
    <xf numFmtId="0" fontId="3" fillId="3" borderId="20" xfId="0" applyFont="1" applyFill="1" applyBorder="1" applyAlignment="1" applyProtection="1">
      <alignment wrapText="1"/>
    </xf>
    <xf numFmtId="0" fontId="3" fillId="3" borderId="23" xfId="0" applyFont="1" applyFill="1" applyBorder="1" applyAlignment="1" applyProtection="1">
      <alignment wrapText="1"/>
    </xf>
    <xf numFmtId="0" fontId="0" fillId="3" borderId="39" xfId="0" applyFill="1" applyBorder="1" applyProtection="1"/>
    <xf numFmtId="170" fontId="3" fillId="3" borderId="27" xfId="0" applyNumberFormat="1" applyFont="1" applyFill="1" applyBorder="1" applyProtection="1"/>
    <xf numFmtId="173" fontId="16" fillId="0" borderId="0" xfId="16" applyFont="1" applyAlignment="1" applyProtection="1">
      <alignment horizontal="left"/>
    </xf>
    <xf numFmtId="173" fontId="11" fillId="0" borderId="0" xfId="16" applyFont="1" applyFill="1" applyBorder="1" applyProtection="1"/>
    <xf numFmtId="173" fontId="7" fillId="0" borderId="0" xfId="16" applyFont="1" applyFill="1" applyProtection="1"/>
    <xf numFmtId="173" fontId="19" fillId="0" borderId="0" xfId="16" applyFont="1" applyProtection="1"/>
    <xf numFmtId="173" fontId="20" fillId="0" borderId="0" xfId="16" applyFont="1" applyAlignment="1" applyProtection="1">
      <alignment horizontal="left"/>
    </xf>
    <xf numFmtId="173" fontId="11" fillId="0" borderId="17" xfId="16" applyFont="1" applyBorder="1" applyAlignment="1" applyProtection="1">
      <alignment wrapText="1"/>
    </xf>
    <xf numFmtId="173" fontId="11" fillId="0" borderId="17" xfId="16" applyFont="1" applyBorder="1" applyProtection="1"/>
    <xf numFmtId="164" fontId="11" fillId="3" borderId="19" xfId="16" applyNumberFormat="1" applyFont="1" applyFill="1" applyBorder="1" applyAlignment="1" applyProtection="1">
      <alignment horizontal="center"/>
    </xf>
    <xf numFmtId="173" fontId="11" fillId="0" borderId="36" xfId="16" applyFont="1" applyBorder="1" applyProtection="1"/>
    <xf numFmtId="164" fontId="11" fillId="3" borderId="38" xfId="16" applyNumberFormat="1" applyFont="1" applyFill="1" applyBorder="1" applyAlignment="1" applyProtection="1">
      <alignment horizontal="center"/>
    </xf>
    <xf numFmtId="0" fontId="19" fillId="0" borderId="0" xfId="0" applyFont="1" applyFill="1" applyBorder="1" applyAlignment="1" applyProtection="1">
      <alignment horizontal="left" vertical="center"/>
    </xf>
    <xf numFmtId="173" fontId="11" fillId="0" borderId="36" xfId="16" applyFont="1" applyBorder="1" applyAlignment="1" applyProtection="1">
      <alignment wrapText="1"/>
    </xf>
    <xf numFmtId="165" fontId="11" fillId="3" borderId="38" xfId="16" applyNumberFormat="1" applyFont="1" applyFill="1" applyBorder="1" applyAlignment="1" applyProtection="1">
      <alignment horizontal="center"/>
    </xf>
    <xf numFmtId="173" fontId="11" fillId="0" borderId="20" xfId="16" applyFont="1" applyBorder="1" applyProtection="1"/>
    <xf numFmtId="173" fontId="11" fillId="0" borderId="0" xfId="16" applyFont="1" applyBorder="1" applyProtection="1"/>
    <xf numFmtId="173" fontId="11" fillId="0" borderId="0" xfId="16" applyFont="1" applyFill="1" applyProtection="1"/>
    <xf numFmtId="0" fontId="17" fillId="0" borderId="10" xfId="0" applyFont="1" applyBorder="1" applyAlignment="1" applyProtection="1">
      <alignment wrapText="1"/>
    </xf>
    <xf numFmtId="173" fontId="11" fillId="0" borderId="11" xfId="16" applyFont="1" applyBorder="1" applyProtection="1"/>
    <xf numFmtId="10" fontId="11" fillId="0" borderId="0" xfId="17" applyNumberFormat="1" applyFont="1" applyFill="1" applyBorder="1" applyProtection="1"/>
    <xf numFmtId="173" fontId="3" fillId="0" borderId="40" xfId="16" applyFont="1" applyBorder="1" applyAlignment="1" applyProtection="1">
      <alignment horizontal="center"/>
    </xf>
    <xf numFmtId="164" fontId="11" fillId="3" borderId="31" xfId="16" applyNumberFormat="1" applyFont="1" applyFill="1" applyBorder="1" applyProtection="1"/>
    <xf numFmtId="164" fontId="11" fillId="3" borderId="19" xfId="16" applyNumberFormat="1" applyFont="1" applyFill="1" applyBorder="1" applyProtection="1"/>
    <xf numFmtId="173" fontId="17" fillId="0" borderId="9" xfId="16" applyFont="1" applyBorder="1" applyAlignment="1" applyProtection="1">
      <alignment horizontal="left"/>
    </xf>
    <xf numFmtId="173" fontId="21" fillId="0" borderId="17" xfId="16" applyFont="1" applyBorder="1" applyAlignment="1" applyProtection="1">
      <alignment horizontal="left"/>
    </xf>
    <xf numFmtId="173" fontId="11" fillId="0" borderId="19" xfId="16" applyFont="1" applyBorder="1" applyProtection="1"/>
    <xf numFmtId="173" fontId="11" fillId="0" borderId="17" xfId="16" applyFont="1" applyBorder="1" applyAlignment="1" applyProtection="1">
      <alignment horizontal="left" wrapText="1"/>
    </xf>
    <xf numFmtId="3" fontId="11" fillId="3" borderId="19" xfId="16" applyNumberFormat="1" applyFont="1" applyFill="1" applyBorder="1" applyProtection="1"/>
    <xf numFmtId="173" fontId="11" fillId="0" borderId="17" xfId="16" applyFont="1" applyBorder="1" applyAlignment="1" applyProtection="1">
      <alignment horizontal="left"/>
    </xf>
    <xf numFmtId="0" fontId="11" fillId="0" borderId="17" xfId="0" applyFont="1" applyFill="1" applyBorder="1" applyAlignment="1" applyProtection="1">
      <alignment horizontal="left" vertical="center"/>
    </xf>
    <xf numFmtId="2" fontId="11" fillId="3" borderId="19" xfId="16" applyNumberFormat="1" applyFont="1" applyFill="1" applyBorder="1" applyProtection="1"/>
    <xf numFmtId="173" fontId="11" fillId="0" borderId="19" xfId="16" applyFont="1" applyFill="1" applyBorder="1" applyProtection="1"/>
    <xf numFmtId="1" fontId="11" fillId="3" borderId="19" xfId="16" applyNumberFormat="1" applyFont="1" applyFill="1" applyBorder="1" applyProtection="1"/>
    <xf numFmtId="173" fontId="22" fillId="0" borderId="0" xfId="16" applyFont="1" applyFill="1" applyProtection="1"/>
    <xf numFmtId="0" fontId="0" fillId="0" borderId="0" xfId="0" applyBorder="1" applyProtection="1"/>
    <xf numFmtId="9" fontId="11" fillId="3" borderId="19" xfId="16" applyNumberFormat="1" applyFont="1" applyFill="1" applyBorder="1" applyProtection="1"/>
    <xf numFmtId="9" fontId="11" fillId="3" borderId="7" xfId="16" applyNumberFormat="1" applyFont="1" applyFill="1" applyBorder="1" applyProtection="1"/>
    <xf numFmtId="164" fontId="11" fillId="0" borderId="19" xfId="16" applyNumberFormat="1" applyFont="1" applyFill="1" applyBorder="1" applyProtection="1"/>
    <xf numFmtId="173" fontId="21" fillId="0" borderId="17" xfId="16" applyFont="1" applyBorder="1" applyProtection="1"/>
    <xf numFmtId="9" fontId="11" fillId="0" borderId="19" xfId="16" applyNumberFormat="1" applyFont="1" applyFill="1" applyBorder="1" applyProtection="1"/>
    <xf numFmtId="10" fontId="11" fillId="3" borderId="19" xfId="16" applyNumberFormat="1" applyFont="1" applyFill="1" applyBorder="1" applyProtection="1"/>
    <xf numFmtId="7" fontId="11" fillId="0" borderId="0" xfId="3" applyNumberFormat="1" applyFont="1" applyFill="1" applyBorder="1" applyProtection="1"/>
    <xf numFmtId="1" fontId="11" fillId="3" borderId="19" xfId="16" applyNumberFormat="1" applyFont="1" applyFill="1" applyBorder="1" applyAlignment="1" applyProtection="1">
      <alignment horizontal="right"/>
    </xf>
    <xf numFmtId="170" fontId="11" fillId="3" borderId="19" xfId="16" applyNumberFormat="1" applyFont="1" applyFill="1" applyBorder="1" applyAlignment="1" applyProtection="1">
      <alignment horizontal="right"/>
    </xf>
    <xf numFmtId="173" fontId="11" fillId="0" borderId="20" xfId="16" applyFont="1" applyBorder="1" applyAlignment="1" applyProtection="1">
      <alignment wrapText="1"/>
    </xf>
    <xf numFmtId="0" fontId="0" fillId="0" borderId="10" xfId="0" applyBorder="1" applyAlignment="1" applyProtection="1">
      <alignment wrapText="1"/>
    </xf>
    <xf numFmtId="173" fontId="3" fillId="0" borderId="0" xfId="16" applyFont="1" applyFill="1" applyBorder="1" applyAlignment="1" applyProtection="1">
      <alignment horizontal="center" wrapText="1"/>
    </xf>
    <xf numFmtId="173" fontId="11" fillId="3" borderId="13" xfId="16" applyFont="1" applyFill="1" applyBorder="1" applyProtection="1"/>
    <xf numFmtId="173" fontId="11" fillId="3" borderId="15" xfId="16" applyFont="1" applyFill="1" applyBorder="1" applyProtection="1"/>
    <xf numFmtId="165" fontId="11" fillId="3" borderId="15" xfId="16" applyNumberFormat="1" applyFont="1" applyFill="1" applyBorder="1" applyProtection="1"/>
    <xf numFmtId="170" fontId="11" fillId="3" borderId="15" xfId="16" applyNumberFormat="1" applyFont="1" applyFill="1" applyBorder="1" applyProtection="1"/>
    <xf numFmtId="6" fontId="11" fillId="3" borderId="15" xfId="16" applyNumberFormat="1" applyFont="1" applyFill="1" applyBorder="1" applyProtection="1"/>
    <xf numFmtId="164" fontId="1" fillId="3" borderId="15" xfId="17" applyNumberFormat="1" applyFill="1" applyBorder="1" applyProtection="1"/>
    <xf numFmtId="173" fontId="11" fillId="3" borderId="8" xfId="16" applyFont="1" applyFill="1" applyBorder="1" applyProtection="1"/>
    <xf numFmtId="165" fontId="11" fillId="3" borderId="8" xfId="16" applyNumberFormat="1" applyFont="1" applyFill="1" applyBorder="1" applyProtection="1"/>
    <xf numFmtId="6" fontId="11" fillId="3" borderId="8" xfId="16" applyNumberFormat="1" applyFont="1" applyFill="1" applyBorder="1" applyProtection="1"/>
    <xf numFmtId="164" fontId="1" fillId="3" borderId="8" xfId="17" applyNumberFormat="1" applyFill="1" applyBorder="1" applyProtection="1"/>
    <xf numFmtId="173" fontId="11" fillId="3" borderId="22" xfId="16" applyFont="1" applyFill="1" applyBorder="1" applyProtection="1"/>
    <xf numFmtId="6" fontId="11" fillId="3" borderId="22" xfId="16" applyNumberFormat="1" applyFont="1" applyFill="1" applyBorder="1" applyProtection="1"/>
    <xf numFmtId="173" fontId="11" fillId="0" borderId="0" xfId="16" applyFont="1" applyAlignment="1" applyProtection="1">
      <alignment horizontal="right"/>
    </xf>
    <xf numFmtId="170" fontId="11" fillId="0" borderId="0" xfId="16" applyNumberFormat="1" applyFont="1" applyFill="1" applyProtection="1"/>
    <xf numFmtId="0" fontId="17" fillId="0" borderId="11" xfId="0" applyFont="1" applyBorder="1" applyAlignment="1" applyProtection="1">
      <alignment wrapText="1"/>
    </xf>
    <xf numFmtId="173" fontId="11" fillId="3" borderId="17" xfId="16" applyFont="1" applyFill="1" applyBorder="1" applyAlignment="1" applyProtection="1">
      <alignment horizontal="right"/>
    </xf>
    <xf numFmtId="10" fontId="11" fillId="3" borderId="8" xfId="16" applyNumberFormat="1" applyFont="1" applyFill="1" applyBorder="1" applyProtection="1"/>
    <xf numFmtId="169" fontId="11" fillId="3" borderId="19" xfId="16" applyNumberFormat="1" applyFont="1" applyFill="1" applyBorder="1" applyAlignment="1" applyProtection="1">
      <alignment horizontal="right"/>
    </xf>
    <xf numFmtId="173" fontId="11" fillId="3" borderId="20" xfId="16" applyFont="1" applyFill="1" applyBorder="1" applyAlignment="1" applyProtection="1">
      <alignment horizontal="right" wrapText="1"/>
    </xf>
    <xf numFmtId="10" fontId="11" fillId="3" borderId="22" xfId="16" applyNumberFormat="1" applyFont="1" applyFill="1" applyBorder="1" applyProtection="1"/>
    <xf numFmtId="169" fontId="11" fillId="3" borderId="23" xfId="16" applyNumberFormat="1" applyFont="1" applyFill="1" applyBorder="1" applyAlignment="1" applyProtection="1">
      <alignment horizontal="right"/>
    </xf>
    <xf numFmtId="173" fontId="17" fillId="0" borderId="46" xfId="16" applyFont="1" applyFill="1" applyBorder="1" applyAlignment="1" applyProtection="1"/>
    <xf numFmtId="0" fontId="0" fillId="0" borderId="47" xfId="0" applyBorder="1" applyAlignment="1" applyProtection="1">
      <alignment wrapText="1"/>
    </xf>
    <xf numFmtId="173" fontId="17" fillId="0" borderId="9" xfId="16" applyFont="1" applyFill="1" applyBorder="1" applyAlignment="1" applyProtection="1">
      <alignment wrapText="1"/>
    </xf>
    <xf numFmtId="0" fontId="17" fillId="0" borderId="9" xfId="0" applyFont="1" applyBorder="1" applyAlignment="1" applyProtection="1">
      <alignment wrapText="1"/>
    </xf>
    <xf numFmtId="173" fontId="3" fillId="0" borderId="48" xfId="16" applyFont="1" applyFill="1" applyBorder="1" applyAlignment="1" applyProtection="1">
      <alignment horizontal="center"/>
    </xf>
    <xf numFmtId="173" fontId="11" fillId="3" borderId="49" xfId="16" applyFont="1" applyFill="1" applyBorder="1" applyProtection="1"/>
    <xf numFmtId="169" fontId="11" fillId="3" borderId="17" xfId="16" applyNumberFormat="1" applyFont="1" applyFill="1" applyBorder="1" applyProtection="1"/>
    <xf numFmtId="169" fontId="11" fillId="3" borderId="8" xfId="16" applyNumberFormat="1" applyFont="1" applyFill="1" applyBorder="1" applyProtection="1"/>
    <xf numFmtId="173" fontId="11" fillId="3" borderId="50" xfId="16" applyFont="1" applyFill="1" applyBorder="1" applyProtection="1"/>
    <xf numFmtId="0" fontId="0" fillId="0" borderId="0" xfId="0" applyAlignment="1" applyProtection="1">
      <alignment wrapText="1"/>
      <protection locked="0"/>
    </xf>
    <xf numFmtId="0" fontId="0" fillId="0" borderId="0" xfId="0" applyProtection="1">
      <protection locked="0"/>
    </xf>
    <xf numFmtId="0" fontId="11" fillId="0" borderId="0" xfId="0" applyFont="1" applyFill="1" applyProtection="1">
      <protection locked="0"/>
    </xf>
    <xf numFmtId="0" fontId="3" fillId="0" borderId="0" xfId="0" applyFont="1" applyFill="1" applyProtection="1"/>
    <xf numFmtId="0" fontId="3" fillId="0" borderId="0" xfId="0" applyFont="1" applyFill="1" applyProtection="1">
      <protection locked="0"/>
    </xf>
    <xf numFmtId="170" fontId="0" fillId="0" borderId="0" xfId="0" applyNumberFormat="1" applyAlignment="1" applyProtection="1">
      <alignment wrapText="1"/>
      <protection locked="0"/>
    </xf>
    <xf numFmtId="170" fontId="0" fillId="3" borderId="15" xfId="0" applyNumberFormat="1" applyFill="1" applyBorder="1" applyAlignment="1" applyProtection="1">
      <alignment horizontal="center" vertical="center" wrapText="1"/>
    </xf>
    <xf numFmtId="170" fontId="11" fillId="3" borderId="15" xfId="0" applyNumberFormat="1" applyFont="1" applyFill="1" applyBorder="1" applyAlignment="1" applyProtection="1">
      <alignment horizontal="center" vertical="center" wrapText="1"/>
    </xf>
    <xf numFmtId="170" fontId="0" fillId="3" borderId="8" xfId="0" applyNumberFormat="1" applyFill="1" applyBorder="1" applyAlignment="1" applyProtection="1">
      <alignment horizontal="center" vertical="center" wrapText="1"/>
    </xf>
    <xf numFmtId="170" fontId="11" fillId="3" borderId="8" xfId="0" applyNumberFormat="1" applyFont="1" applyFill="1" applyBorder="1" applyAlignment="1" applyProtection="1">
      <alignment horizontal="center" vertical="center" wrapText="1"/>
    </xf>
    <xf numFmtId="170" fontId="0" fillId="3" borderId="22" xfId="0" applyNumberFormat="1" applyFill="1" applyBorder="1" applyAlignment="1" applyProtection="1">
      <alignment horizontal="center" vertical="center" wrapText="1"/>
    </xf>
    <xf numFmtId="170" fontId="11" fillId="3" borderId="22" xfId="0" applyNumberFormat="1" applyFont="1" applyFill="1" applyBorder="1" applyAlignment="1" applyProtection="1">
      <alignment horizontal="center" vertical="center" wrapText="1"/>
    </xf>
    <xf numFmtId="0" fontId="0" fillId="0" borderId="0" xfId="0" quotePrefix="1" applyProtection="1">
      <protection locked="0"/>
    </xf>
    <xf numFmtId="0" fontId="0" fillId="0" borderId="0" xfId="0" applyBorder="1"/>
    <xf numFmtId="0" fontId="26" fillId="0" borderId="25" xfId="0" applyFont="1" applyBorder="1" applyAlignment="1" applyProtection="1">
      <alignment wrapText="1"/>
    </xf>
    <xf numFmtId="0" fontId="26" fillId="0" borderId="51" xfId="0" applyFont="1" applyFill="1" applyBorder="1" applyAlignment="1" applyProtection="1">
      <alignment horizontal="center" wrapText="1"/>
    </xf>
    <xf numFmtId="0" fontId="26" fillId="0" borderId="52" xfId="0" applyFont="1" applyFill="1" applyBorder="1" applyAlignment="1" applyProtection="1">
      <alignment horizontal="center" wrapText="1"/>
    </xf>
    <xf numFmtId="0" fontId="26" fillId="0" borderId="53" xfId="0" applyFont="1" applyFill="1" applyBorder="1" applyAlignment="1" applyProtection="1">
      <alignment horizontal="center" wrapText="1"/>
    </xf>
    <xf numFmtId="0" fontId="26" fillId="0" borderId="54" xfId="0" applyFont="1" applyFill="1" applyBorder="1" applyAlignment="1" applyProtection="1">
      <alignment horizontal="center" wrapText="1"/>
    </xf>
    <xf numFmtId="173" fontId="3" fillId="0" borderId="0" xfId="16" applyFont="1" applyAlignment="1" applyProtection="1">
      <alignment vertical="top" wrapText="1"/>
    </xf>
    <xf numFmtId="0" fontId="11" fillId="3" borderId="8" xfId="16" applyNumberFormat="1" applyFont="1" applyFill="1" applyBorder="1" applyProtection="1"/>
    <xf numFmtId="0" fontId="28" fillId="0" borderId="10" xfId="0" applyFont="1" applyBorder="1" applyAlignment="1" applyProtection="1">
      <alignment wrapText="1"/>
    </xf>
    <xf numFmtId="0" fontId="28" fillId="0" borderId="10" xfId="0" quotePrefix="1" applyFont="1" applyBorder="1" applyAlignment="1" applyProtection="1">
      <alignment wrapText="1"/>
    </xf>
    <xf numFmtId="169" fontId="11" fillId="3" borderId="18" xfId="16" applyNumberFormat="1" applyFont="1" applyFill="1" applyBorder="1" applyProtection="1"/>
    <xf numFmtId="0" fontId="17" fillId="0" borderId="25" xfId="0" applyFont="1" applyBorder="1" applyAlignment="1" applyProtection="1">
      <alignment wrapText="1"/>
    </xf>
    <xf numFmtId="169" fontId="11" fillId="3" borderId="55" xfId="16" applyNumberFormat="1" applyFont="1" applyFill="1" applyBorder="1" applyProtection="1"/>
    <xf numFmtId="169" fontId="11" fillId="3" borderId="19" xfId="16" applyNumberFormat="1" applyFont="1" applyFill="1" applyBorder="1" applyProtection="1"/>
    <xf numFmtId="173" fontId="11" fillId="0" borderId="56" xfId="16" applyFont="1" applyBorder="1" applyProtection="1"/>
    <xf numFmtId="173" fontId="3" fillId="0" borderId="34" xfId="16" applyFont="1" applyFill="1" applyBorder="1" applyAlignment="1" applyProtection="1">
      <alignment horizontal="center" wrapText="1"/>
    </xf>
    <xf numFmtId="173" fontId="3" fillId="7" borderId="34" xfId="16" applyFont="1" applyFill="1" applyBorder="1" applyAlignment="1" applyProtection="1">
      <alignment horizontal="center" wrapText="1"/>
    </xf>
    <xf numFmtId="169" fontId="11" fillId="7" borderId="17" xfId="16" applyNumberFormat="1" applyFont="1" applyFill="1" applyBorder="1" applyProtection="1"/>
    <xf numFmtId="174" fontId="11" fillId="7" borderId="17" xfId="16" applyNumberFormat="1" applyFont="1" applyFill="1" applyBorder="1" applyProtection="1"/>
    <xf numFmtId="174" fontId="11" fillId="7" borderId="20" xfId="16" applyNumberFormat="1" applyFont="1" applyFill="1" applyBorder="1" applyProtection="1"/>
    <xf numFmtId="0" fontId="0" fillId="6" borderId="0" xfId="0" applyFill="1" applyBorder="1" applyAlignment="1">
      <alignment horizontal="left" vertical="top" wrapText="1"/>
    </xf>
    <xf numFmtId="170" fontId="0" fillId="3" borderId="57" xfId="0" applyNumberFormat="1" applyFill="1" applyBorder="1" applyAlignment="1">
      <alignment vertical="top" wrapText="1"/>
    </xf>
    <xf numFmtId="7" fontId="0" fillId="3" borderId="57" xfId="0" applyNumberFormat="1" applyFill="1" applyBorder="1" applyAlignment="1">
      <alignment vertical="top" wrapText="1"/>
    </xf>
    <xf numFmtId="170" fontId="0" fillId="3" borderId="57" xfId="0" applyNumberFormat="1" applyFill="1" applyBorder="1" applyAlignment="1">
      <alignment horizontal="right" vertical="top" wrapText="1"/>
    </xf>
    <xf numFmtId="0" fontId="3" fillId="7" borderId="1" xfId="0" applyFont="1" applyFill="1" applyBorder="1" applyProtection="1"/>
    <xf numFmtId="0" fontId="0" fillId="7" borderId="2" xfId="0" applyFill="1" applyBorder="1" applyProtection="1"/>
    <xf numFmtId="9" fontId="0" fillId="7" borderId="2" xfId="17" applyFont="1" applyFill="1" applyBorder="1" applyProtection="1"/>
    <xf numFmtId="0" fontId="0" fillId="7" borderId="4" xfId="0" applyFill="1" applyBorder="1"/>
    <xf numFmtId="0" fontId="0" fillId="7" borderId="0" xfId="0" applyFill="1" applyBorder="1"/>
    <xf numFmtId="0" fontId="4" fillId="7" borderId="4" xfId="5" applyFill="1" applyBorder="1" applyAlignment="1" applyProtection="1"/>
    <xf numFmtId="0" fontId="0" fillId="7" borderId="4" xfId="0" applyFill="1" applyBorder="1" applyAlignment="1" applyProtection="1">
      <alignment horizontal="left"/>
    </xf>
    <xf numFmtId="43" fontId="0" fillId="7" borderId="0" xfId="1" applyFont="1" applyFill="1" applyBorder="1"/>
    <xf numFmtId="0" fontId="0" fillId="7" borderId="58" xfId="0" applyFill="1" applyBorder="1"/>
    <xf numFmtId="43" fontId="0" fillId="7" borderId="59" xfId="1" applyFont="1" applyFill="1" applyBorder="1"/>
    <xf numFmtId="0" fontId="3" fillId="7" borderId="1" xfId="0" applyFont="1" applyFill="1" applyBorder="1"/>
    <xf numFmtId="0" fontId="0" fillId="7" borderId="2" xfId="0" applyFill="1" applyBorder="1"/>
    <xf numFmtId="0" fontId="3" fillId="7" borderId="4" xfId="0" applyFont="1" applyFill="1" applyBorder="1"/>
    <xf numFmtId="0" fontId="0" fillId="7" borderId="59" xfId="0" applyFill="1" applyBorder="1"/>
    <xf numFmtId="0" fontId="0" fillId="0" borderId="0" xfId="0" applyFill="1" applyBorder="1"/>
    <xf numFmtId="0" fontId="0" fillId="8" borderId="13" xfId="0" applyFill="1" applyBorder="1"/>
    <xf numFmtId="0" fontId="0" fillId="8" borderId="15" xfId="0" applyFill="1" applyBorder="1" applyAlignment="1">
      <alignment horizontal="center" wrapText="1"/>
    </xf>
    <xf numFmtId="0" fontId="0" fillId="8" borderId="15" xfId="0" applyFill="1" applyBorder="1"/>
    <xf numFmtId="0" fontId="0" fillId="8" borderId="60" xfId="0" applyFill="1" applyBorder="1"/>
    <xf numFmtId="0" fontId="0" fillId="8" borderId="17" xfId="0" applyFill="1" applyBorder="1"/>
    <xf numFmtId="0" fontId="0" fillId="8" borderId="8" xfId="0" applyFill="1" applyBorder="1"/>
    <xf numFmtId="0" fontId="0" fillId="8" borderId="55" xfId="0" applyFill="1" applyBorder="1"/>
    <xf numFmtId="0" fontId="0" fillId="8" borderId="55" xfId="0" applyFill="1" applyBorder="1" applyAlignment="1">
      <alignment horizontal="center"/>
    </xf>
    <xf numFmtId="0" fontId="0" fillId="8" borderId="17" xfId="0" applyFill="1" applyBorder="1" applyAlignment="1">
      <alignment wrapText="1"/>
    </xf>
    <xf numFmtId="0" fontId="0" fillId="8" borderId="20" xfId="0" applyFill="1" applyBorder="1"/>
    <xf numFmtId="0" fontId="0" fillId="8" borderId="22" xfId="0" applyFill="1" applyBorder="1"/>
    <xf numFmtId="0" fontId="0" fillId="8" borderId="61" xfId="0" applyFill="1" applyBorder="1"/>
    <xf numFmtId="0" fontId="0" fillId="9" borderId="8" xfId="0" applyFill="1" applyBorder="1"/>
    <xf numFmtId="0" fontId="0" fillId="9" borderId="4" xfId="0" applyFill="1" applyBorder="1"/>
    <xf numFmtId="0" fontId="0" fillId="4" borderId="8" xfId="0" applyFill="1" applyBorder="1"/>
    <xf numFmtId="0" fontId="0" fillId="4" borderId="4" xfId="0" applyFill="1" applyBorder="1"/>
    <xf numFmtId="0" fontId="0" fillId="10" borderId="8" xfId="0" applyFill="1" applyBorder="1"/>
    <xf numFmtId="0" fontId="0" fillId="10" borderId="4" xfId="0" applyFill="1" applyBorder="1"/>
    <xf numFmtId="0" fontId="0" fillId="11" borderId="8" xfId="0" applyFill="1" applyBorder="1"/>
    <xf numFmtId="0" fontId="0" fillId="11" borderId="4" xfId="0" applyFill="1" applyBorder="1"/>
    <xf numFmtId="0" fontId="0" fillId="12" borderId="8" xfId="0" applyFill="1" applyBorder="1"/>
    <xf numFmtId="0" fontId="0" fillId="12" borderId="4" xfId="0" applyFill="1" applyBorder="1"/>
    <xf numFmtId="43" fontId="0" fillId="9" borderId="0" xfId="0" applyNumberFormat="1" applyFill="1"/>
    <xf numFmtId="43" fontId="0" fillId="9" borderId="57" xfId="0" applyNumberFormat="1" applyFill="1" applyBorder="1"/>
    <xf numFmtId="43" fontId="0" fillId="4" borderId="0" xfId="0" applyNumberFormat="1" applyFill="1"/>
    <xf numFmtId="43" fontId="0" fillId="4" borderId="57" xfId="0" applyNumberFormat="1" applyFill="1" applyBorder="1"/>
    <xf numFmtId="43" fontId="0" fillId="11" borderId="0" xfId="0" applyNumberFormat="1" applyFill="1"/>
    <xf numFmtId="43" fontId="0" fillId="11" borderId="57" xfId="0" applyNumberFormat="1" applyFill="1" applyBorder="1"/>
    <xf numFmtId="43" fontId="0" fillId="12" borderId="0" xfId="0" applyNumberFormat="1" applyFill="1"/>
    <xf numFmtId="43" fontId="0" fillId="12" borderId="57" xfId="0" applyNumberFormat="1" applyFill="1" applyBorder="1"/>
    <xf numFmtId="43" fontId="0" fillId="10" borderId="0" xfId="0" applyNumberFormat="1" applyFill="1"/>
    <xf numFmtId="43" fontId="0" fillId="10" borderId="57" xfId="0" applyNumberFormat="1" applyFill="1" applyBorder="1"/>
    <xf numFmtId="0" fontId="0" fillId="13" borderId="4" xfId="0" applyFill="1" applyBorder="1"/>
    <xf numFmtId="43" fontId="0" fillId="12" borderId="62" xfId="0" applyNumberFormat="1" applyFill="1" applyBorder="1"/>
    <xf numFmtId="0" fontId="0" fillId="7" borderId="0" xfId="0" applyFill="1"/>
    <xf numFmtId="43" fontId="0" fillId="0" borderId="0" xfId="0" applyNumberFormat="1" applyFill="1"/>
    <xf numFmtId="0" fontId="0" fillId="13" borderId="8" xfId="0" applyFill="1" applyBorder="1"/>
    <xf numFmtId="43" fontId="0" fillId="14" borderId="0" xfId="1" applyFont="1" applyFill="1" applyBorder="1"/>
    <xf numFmtId="0" fontId="0" fillId="14" borderId="0" xfId="0" applyFill="1"/>
    <xf numFmtId="2" fontId="7" fillId="14" borderId="0" xfId="0" applyNumberFormat="1" applyFont="1" applyFill="1" applyBorder="1" applyAlignment="1" applyProtection="1">
      <alignment wrapText="1"/>
    </xf>
    <xf numFmtId="43" fontId="0" fillId="14" borderId="62" xfId="0" applyNumberFormat="1" applyFill="1" applyBorder="1"/>
    <xf numFmtId="0" fontId="0" fillId="14" borderId="4" xfId="0" applyFill="1" applyBorder="1"/>
    <xf numFmtId="0" fontId="11" fillId="14" borderId="63" xfId="0" applyFont="1" applyFill="1" applyBorder="1" applyProtection="1"/>
    <xf numFmtId="0" fontId="11" fillId="14" borderId="17" xfId="0" applyFont="1" applyFill="1" applyBorder="1" applyProtection="1"/>
    <xf numFmtId="0" fontId="1" fillId="0" borderId="0" xfId="0" applyFont="1"/>
    <xf numFmtId="0" fontId="1" fillId="7" borderId="0" xfId="0" applyFont="1" applyFill="1"/>
    <xf numFmtId="0" fontId="1" fillId="4" borderId="0" xfId="0" applyFont="1" applyFill="1"/>
    <xf numFmtId="0" fontId="1" fillId="9" borderId="0" xfId="0" applyFont="1" applyFill="1"/>
    <xf numFmtId="0" fontId="1" fillId="11" borderId="0" xfId="0" applyFont="1" applyFill="1"/>
    <xf numFmtId="0" fontId="1" fillId="12" borderId="0" xfId="0" applyFont="1" applyFill="1"/>
    <xf numFmtId="0" fontId="1" fillId="10" borderId="0" xfId="0" applyFont="1" applyFill="1"/>
    <xf numFmtId="164" fontId="12" fillId="0" borderId="64" xfId="16" applyNumberFormat="1" applyFont="1" applyFill="1" applyBorder="1" applyProtection="1"/>
    <xf numFmtId="0" fontId="0" fillId="3" borderId="15" xfId="0" applyFill="1" applyBorder="1" applyAlignment="1" applyProtection="1">
      <alignment horizontal="right" vertical="center" wrapText="1"/>
    </xf>
    <xf numFmtId="0" fontId="0" fillId="3" borderId="8" xfId="0" applyFill="1" applyBorder="1" applyAlignment="1" applyProtection="1">
      <alignment horizontal="right" vertical="center" wrapText="1"/>
    </xf>
    <xf numFmtId="0" fontId="0" fillId="3" borderId="22" xfId="0" applyFill="1" applyBorder="1" applyAlignment="1" applyProtection="1">
      <alignment horizontal="right" vertical="center" wrapText="1"/>
    </xf>
    <xf numFmtId="0" fontId="31" fillId="0" borderId="0" xfId="0" applyFont="1"/>
    <xf numFmtId="173" fontId="3" fillId="0" borderId="17" xfId="16" applyFont="1" applyBorder="1" applyAlignment="1" applyProtection="1">
      <alignment wrapText="1"/>
    </xf>
    <xf numFmtId="0" fontId="25" fillId="2" borderId="0" xfId="0" applyFont="1" applyFill="1" applyBorder="1" applyAlignment="1">
      <alignment horizontal="center" vertical="top" wrapText="1"/>
    </xf>
    <xf numFmtId="0" fontId="0" fillId="2" borderId="0" xfId="0" applyFill="1" applyBorder="1" applyAlignment="1">
      <alignment vertical="top" wrapText="1"/>
    </xf>
    <xf numFmtId="0" fontId="0" fillId="2" borderId="5" xfId="0" applyFill="1" applyBorder="1" applyAlignment="1">
      <alignment vertical="top" wrapText="1"/>
    </xf>
    <xf numFmtId="0" fontId="0" fillId="2" borderId="4" xfId="0" applyFill="1" applyBorder="1" applyAlignment="1">
      <alignment vertical="top" wrapText="1"/>
    </xf>
    <xf numFmtId="0" fontId="11" fillId="2" borderId="4" xfId="0" applyFont="1" applyFill="1" applyBorder="1" applyAlignment="1">
      <alignment vertical="top" wrapText="1"/>
    </xf>
    <xf numFmtId="0" fontId="1" fillId="2" borderId="4" xfId="0" applyFont="1" applyFill="1" applyBorder="1" applyAlignment="1">
      <alignment vertical="top" wrapText="1"/>
    </xf>
    <xf numFmtId="0" fontId="3" fillId="2" borderId="4" xfId="0" applyFont="1" applyFill="1" applyBorder="1" applyAlignment="1">
      <alignment vertical="top" wrapText="1"/>
    </xf>
    <xf numFmtId="0" fontId="11" fillId="2" borderId="0" xfId="0" applyFont="1" applyFill="1" applyBorder="1" applyAlignment="1">
      <alignment vertical="top" wrapText="1"/>
    </xf>
    <xf numFmtId="0" fontId="0" fillId="2" borderId="0" xfId="0" applyFill="1" applyAlignment="1">
      <alignment vertical="top" wrapText="1"/>
    </xf>
    <xf numFmtId="0" fontId="5" fillId="2" borderId="4" xfId="0" applyFont="1" applyFill="1" applyBorder="1" applyAlignment="1">
      <alignment vertical="top" wrapText="1"/>
    </xf>
    <xf numFmtId="0" fontId="0" fillId="2" borderId="4" xfId="0" applyFill="1" applyBorder="1" applyAlignment="1">
      <alignment horizontal="center" vertical="top" wrapText="1"/>
    </xf>
    <xf numFmtId="0" fontId="0" fillId="2" borderId="0" xfId="0" applyFill="1" applyBorder="1" applyAlignment="1">
      <alignment horizontal="center" vertical="top" wrapText="1"/>
    </xf>
    <xf numFmtId="170" fontId="0" fillId="2" borderId="0" xfId="0" applyNumberFormat="1" applyFill="1" applyBorder="1" applyAlignment="1">
      <alignment horizontal="center" vertical="top" wrapText="1"/>
    </xf>
    <xf numFmtId="0" fontId="0" fillId="2" borderId="5" xfId="0" applyFill="1" applyBorder="1" applyAlignment="1">
      <alignment vertical="top"/>
    </xf>
    <xf numFmtId="0" fontId="0" fillId="2" borderId="0" xfId="0" applyFill="1"/>
    <xf numFmtId="0" fontId="3" fillId="2" borderId="4" xfId="0" applyFont="1" applyFill="1" applyBorder="1" applyAlignment="1">
      <alignment horizontal="left" vertical="top" wrapText="1"/>
    </xf>
    <xf numFmtId="0" fontId="0" fillId="2" borderId="0" xfId="0" applyFill="1" applyAlignment="1">
      <alignment horizontal="center" vertical="top"/>
    </xf>
    <xf numFmtId="3" fontId="0" fillId="2" borderId="0" xfId="0" applyNumberFormat="1" applyFill="1" applyAlignment="1">
      <alignment horizontal="center" vertical="top"/>
    </xf>
    <xf numFmtId="0" fontId="5" fillId="2" borderId="58" xfId="0" applyFont="1" applyFill="1" applyBorder="1" applyAlignment="1">
      <alignment vertical="top" wrapText="1"/>
    </xf>
    <xf numFmtId="0" fontId="13" fillId="2" borderId="24" xfId="0" applyFont="1" applyFill="1" applyBorder="1" applyAlignment="1" applyProtection="1">
      <alignment horizontal="left"/>
    </xf>
    <xf numFmtId="3" fontId="3" fillId="2" borderId="65" xfId="0" applyNumberFormat="1" applyFont="1" applyFill="1" applyBorder="1" applyAlignment="1" applyProtection="1">
      <alignment vertical="center" wrapText="1"/>
    </xf>
    <xf numFmtId="0" fontId="3" fillId="2" borderId="65" xfId="0" applyFont="1" applyFill="1" applyBorder="1" applyAlignment="1" applyProtection="1">
      <alignment horizontal="left" vertical="center" wrapText="1"/>
    </xf>
    <xf numFmtId="0" fontId="11" fillId="2" borderId="65" xfId="0" applyFont="1" applyFill="1" applyBorder="1" applyAlignment="1" applyProtection="1">
      <alignment horizontal="left" vertical="center" wrapText="1"/>
    </xf>
    <xf numFmtId="0" fontId="0" fillId="2" borderId="66" xfId="0" applyFill="1" applyBorder="1" applyProtection="1"/>
    <xf numFmtId="0" fontId="13" fillId="2" borderId="25" xfId="0" applyFont="1" applyFill="1" applyBorder="1" applyAlignment="1" applyProtection="1">
      <alignment horizontal="left"/>
    </xf>
    <xf numFmtId="3" fontId="3" fillId="2" borderId="42" xfId="0" applyNumberFormat="1" applyFont="1" applyFill="1" applyBorder="1" applyAlignment="1" applyProtection="1">
      <alignment vertical="center" wrapText="1"/>
    </xf>
    <xf numFmtId="0" fontId="3" fillId="2" borderId="26" xfId="0" applyFont="1" applyFill="1" applyBorder="1" applyAlignment="1" applyProtection="1">
      <alignment horizontal="left" vertical="center" wrapText="1"/>
    </xf>
    <xf numFmtId="0" fontId="3" fillId="2" borderId="27" xfId="0" applyFont="1" applyFill="1" applyBorder="1" applyAlignment="1" applyProtection="1">
      <alignment vertical="center"/>
    </xf>
    <xf numFmtId="0" fontId="11" fillId="2" borderId="67" xfId="0" applyFont="1" applyFill="1" applyBorder="1" applyAlignment="1" applyProtection="1">
      <alignment wrapText="1"/>
    </xf>
    <xf numFmtId="0" fontId="11" fillId="2" borderId="68" xfId="0" applyFont="1" applyFill="1" applyBorder="1" applyAlignment="1" applyProtection="1">
      <alignment wrapText="1"/>
      <protection locked="0"/>
    </xf>
    <xf numFmtId="0" fontId="11" fillId="2" borderId="69" xfId="0" applyFont="1" applyFill="1" applyBorder="1" applyAlignment="1" applyProtection="1">
      <alignment wrapText="1"/>
      <protection locked="0"/>
    </xf>
    <xf numFmtId="0" fontId="3" fillId="2" borderId="70" xfId="0" applyFont="1" applyFill="1" applyBorder="1" applyAlignment="1" applyProtection="1">
      <alignment wrapText="1"/>
    </xf>
    <xf numFmtId="0" fontId="3" fillId="2" borderId="25" xfId="0" applyFont="1" applyFill="1" applyBorder="1" applyAlignment="1" applyProtection="1">
      <alignment horizontal="center"/>
    </xf>
    <xf numFmtId="0" fontId="3" fillId="2" borderId="69" xfId="0" applyFont="1" applyFill="1" applyBorder="1" applyAlignment="1" applyProtection="1">
      <alignment horizontal="center" wrapText="1"/>
    </xf>
    <xf numFmtId="0" fontId="3" fillId="2" borderId="26" xfId="0" applyFont="1" applyFill="1" applyBorder="1" applyAlignment="1" applyProtection="1">
      <alignment horizontal="center" wrapText="1"/>
    </xf>
    <xf numFmtId="0" fontId="3" fillId="2" borderId="26" xfId="0" applyFont="1" applyFill="1" applyBorder="1" applyAlignment="1" applyProtection="1">
      <alignment wrapText="1"/>
    </xf>
    <xf numFmtId="0" fontId="3" fillId="2" borderId="27" xfId="0" applyFont="1" applyFill="1" applyBorder="1" applyAlignment="1" applyProtection="1">
      <alignment wrapText="1"/>
    </xf>
    <xf numFmtId="0" fontId="3" fillId="2" borderId="41" xfId="0" applyFont="1" applyFill="1" applyBorder="1" applyAlignment="1" applyProtection="1">
      <alignment horizontal="center"/>
    </xf>
    <xf numFmtId="0" fontId="3" fillId="2" borderId="42" xfId="0" applyFont="1" applyFill="1" applyBorder="1" applyAlignment="1" applyProtection="1">
      <alignment horizontal="center" wrapText="1"/>
    </xf>
    <xf numFmtId="0" fontId="3" fillId="2" borderId="42" xfId="0" applyFont="1" applyFill="1" applyBorder="1" applyAlignment="1" applyProtection="1">
      <alignment wrapText="1"/>
    </xf>
    <xf numFmtId="0" fontId="3" fillId="2" borderId="71" xfId="0" applyFont="1" applyFill="1" applyBorder="1" applyAlignment="1" applyProtection="1">
      <alignment wrapText="1"/>
    </xf>
    <xf numFmtId="170" fontId="11" fillId="2" borderId="15" xfId="0" applyNumberFormat="1" applyFont="1" applyFill="1" applyBorder="1" applyAlignment="1" applyProtection="1">
      <alignment horizontal="right" vertical="center" wrapText="1"/>
      <protection locked="0"/>
    </xf>
    <xf numFmtId="171" fontId="11" fillId="2" borderId="15" xfId="0" applyNumberFormat="1" applyFont="1" applyFill="1" applyBorder="1" applyAlignment="1" applyProtection="1">
      <alignment horizontal="right" vertical="center" wrapText="1"/>
      <protection locked="0"/>
    </xf>
    <xf numFmtId="3" fontId="11" fillId="2" borderId="15" xfId="0" applyNumberFormat="1" applyFont="1" applyFill="1" applyBorder="1" applyAlignment="1" applyProtection="1">
      <alignment horizontal="right" vertical="center" wrapText="1"/>
      <protection locked="0"/>
    </xf>
    <xf numFmtId="3" fontId="11" fillId="2" borderId="16" xfId="0" applyNumberFormat="1" applyFont="1" applyFill="1" applyBorder="1" applyAlignment="1" applyProtection="1">
      <alignment horizontal="right" vertical="center" wrapText="1"/>
      <protection locked="0"/>
    </xf>
    <xf numFmtId="170" fontId="11" fillId="2" borderId="8" xfId="0" applyNumberFormat="1" applyFont="1" applyFill="1" applyBorder="1" applyAlignment="1" applyProtection="1">
      <alignment horizontal="right" vertical="center" wrapText="1"/>
      <protection locked="0"/>
    </xf>
    <xf numFmtId="171" fontId="11" fillId="2" borderId="8" xfId="0" applyNumberFormat="1" applyFont="1" applyFill="1" applyBorder="1" applyAlignment="1" applyProtection="1">
      <alignment horizontal="right" vertical="center" wrapText="1"/>
      <protection locked="0"/>
    </xf>
    <xf numFmtId="3" fontId="11" fillId="2" borderId="8" xfId="0" applyNumberFormat="1" applyFont="1" applyFill="1" applyBorder="1" applyAlignment="1" applyProtection="1">
      <alignment horizontal="right" vertical="center" wrapText="1"/>
      <protection locked="0"/>
    </xf>
    <xf numFmtId="3" fontId="11" fillId="2" borderId="19" xfId="0" applyNumberFormat="1" applyFont="1" applyFill="1" applyBorder="1" applyAlignment="1" applyProtection="1">
      <alignment horizontal="right" vertical="center" wrapText="1"/>
      <protection locked="0"/>
    </xf>
    <xf numFmtId="170" fontId="11" fillId="2" borderId="22" xfId="0" applyNumberFormat="1" applyFont="1" applyFill="1" applyBorder="1" applyAlignment="1" applyProtection="1">
      <alignment horizontal="right" vertical="center" wrapText="1"/>
      <protection locked="0"/>
    </xf>
    <xf numFmtId="171" fontId="11" fillId="2" borderId="22" xfId="0" applyNumberFormat="1" applyFont="1" applyFill="1" applyBorder="1" applyAlignment="1" applyProtection="1">
      <alignment horizontal="right" vertical="center" wrapText="1"/>
      <protection locked="0"/>
    </xf>
    <xf numFmtId="3" fontId="11" fillId="2" borderId="22" xfId="0" applyNumberFormat="1" applyFont="1" applyFill="1" applyBorder="1" applyAlignment="1" applyProtection="1">
      <alignment horizontal="right" vertical="center" wrapText="1"/>
      <protection locked="0"/>
    </xf>
    <xf numFmtId="3" fontId="11" fillId="2" borderId="23" xfId="0" applyNumberFormat="1" applyFont="1" applyFill="1" applyBorder="1" applyAlignment="1" applyProtection="1">
      <alignment horizontal="right" vertical="center" wrapText="1"/>
      <protection locked="0"/>
    </xf>
    <xf numFmtId="0" fontId="5" fillId="0" borderId="9" xfId="0" applyFont="1" applyBorder="1" applyAlignment="1">
      <alignment vertical="top"/>
    </xf>
    <xf numFmtId="0" fontId="0" fillId="0" borderId="10" xfId="0" applyBorder="1" applyAlignment="1">
      <alignment vertical="top"/>
    </xf>
    <xf numFmtId="0" fontId="0" fillId="0" borderId="72" xfId="0" applyBorder="1" applyAlignment="1">
      <alignment vertical="top"/>
    </xf>
    <xf numFmtId="173" fontId="17" fillId="0" borderId="72" xfId="16" applyFont="1" applyFill="1" applyBorder="1" applyAlignment="1" applyProtection="1">
      <alignment wrapText="1"/>
    </xf>
    <xf numFmtId="173" fontId="17" fillId="0" borderId="73" xfId="16" applyFont="1" applyFill="1" applyBorder="1" applyAlignment="1" applyProtection="1">
      <alignment wrapText="1"/>
    </xf>
    <xf numFmtId="173" fontId="17" fillId="0" borderId="74" xfId="16" applyFont="1" applyFill="1" applyBorder="1" applyAlignment="1" applyProtection="1">
      <alignment wrapText="1"/>
    </xf>
    <xf numFmtId="173" fontId="12" fillId="3" borderId="75" xfId="16" applyFont="1" applyFill="1" applyBorder="1" applyAlignment="1" applyProtection="1">
      <alignment wrapText="1"/>
    </xf>
    <xf numFmtId="0" fontId="12" fillId="3" borderId="76" xfId="0" applyFont="1" applyFill="1" applyBorder="1" applyAlignment="1" applyProtection="1">
      <alignment wrapText="1"/>
    </xf>
    <xf numFmtId="0" fontId="12" fillId="3" borderId="75" xfId="0" applyFont="1" applyFill="1" applyBorder="1" applyAlignment="1" applyProtection="1">
      <alignment wrapText="1"/>
    </xf>
    <xf numFmtId="0" fontId="12" fillId="3" borderId="76" xfId="0" quotePrefix="1" applyFont="1" applyFill="1" applyBorder="1" applyAlignment="1" applyProtection="1">
      <alignment wrapText="1"/>
    </xf>
    <xf numFmtId="0" fontId="17" fillId="3" borderId="76" xfId="0" applyFont="1" applyFill="1" applyBorder="1" applyAlignment="1" applyProtection="1">
      <alignment wrapText="1"/>
    </xf>
    <xf numFmtId="0" fontId="17" fillId="3" borderId="77" xfId="0" applyFont="1" applyFill="1" applyBorder="1" applyAlignment="1" applyProtection="1">
      <alignment wrapText="1"/>
    </xf>
    <xf numFmtId="173" fontId="12" fillId="3" borderId="78" xfId="16" applyFont="1" applyFill="1" applyBorder="1" applyAlignment="1" applyProtection="1">
      <alignment wrapText="1"/>
    </xf>
    <xf numFmtId="0" fontId="12" fillId="3" borderId="79" xfId="0" applyFont="1" applyFill="1" applyBorder="1" applyAlignment="1" applyProtection="1">
      <alignment wrapText="1"/>
    </xf>
    <xf numFmtId="0" fontId="12" fillId="3" borderId="78" xfId="0" applyFont="1" applyFill="1" applyBorder="1" applyAlignment="1" applyProtection="1">
      <alignment wrapText="1"/>
    </xf>
    <xf numFmtId="0" fontId="12" fillId="3" borderId="79" xfId="0" quotePrefix="1" applyFont="1" applyFill="1" applyBorder="1" applyAlignment="1" applyProtection="1">
      <alignment wrapText="1"/>
    </xf>
    <xf numFmtId="0" fontId="17" fillId="3" borderId="79" xfId="0" applyFont="1" applyFill="1" applyBorder="1" applyAlignment="1" applyProtection="1">
      <alignment wrapText="1"/>
    </xf>
    <xf numFmtId="0" fontId="17" fillId="3" borderId="80" xfId="0" applyFont="1" applyFill="1" applyBorder="1" applyAlignment="1" applyProtection="1">
      <alignment wrapText="1"/>
    </xf>
    <xf numFmtId="173" fontId="12" fillId="3" borderId="81" xfId="16" applyFont="1" applyFill="1" applyBorder="1" applyAlignment="1" applyProtection="1">
      <alignment wrapText="1"/>
    </xf>
    <xf numFmtId="0" fontId="12" fillId="3" borderId="2" xfId="0" applyFont="1" applyFill="1" applyBorder="1" applyAlignment="1" applyProtection="1">
      <alignment wrapText="1"/>
    </xf>
    <xf numFmtId="0" fontId="12" fillId="3" borderId="81" xfId="0" applyFont="1" applyFill="1" applyBorder="1" applyAlignment="1" applyProtection="1">
      <alignment wrapText="1"/>
    </xf>
    <xf numFmtId="0" fontId="12" fillId="3" borderId="2" xfId="0" quotePrefix="1" applyFont="1" applyFill="1" applyBorder="1" applyAlignment="1" applyProtection="1">
      <alignment wrapText="1"/>
    </xf>
    <xf numFmtId="0" fontId="17" fillId="3" borderId="2" xfId="0" applyFont="1" applyFill="1" applyBorder="1" applyAlignment="1" applyProtection="1">
      <alignment wrapText="1"/>
    </xf>
    <xf numFmtId="0" fontId="17" fillId="3" borderId="82" xfId="0" applyFont="1" applyFill="1" applyBorder="1" applyAlignment="1" applyProtection="1">
      <alignment wrapText="1"/>
    </xf>
    <xf numFmtId="0" fontId="17" fillId="0" borderId="41" xfId="0" applyFont="1" applyFill="1" applyBorder="1" applyAlignment="1" applyProtection="1">
      <alignment wrapText="1"/>
    </xf>
    <xf numFmtId="0" fontId="17" fillId="0" borderId="13" xfId="0" applyFont="1" applyFill="1" applyBorder="1" applyAlignment="1" applyProtection="1">
      <alignment wrapText="1"/>
    </xf>
    <xf numFmtId="0" fontId="17" fillId="0" borderId="17" xfId="0" applyFont="1" applyFill="1" applyBorder="1" applyAlignment="1" applyProtection="1">
      <alignment wrapText="1"/>
    </xf>
    <xf numFmtId="0" fontId="17" fillId="0" borderId="20" xfId="0" applyFont="1" applyFill="1" applyBorder="1" applyAlignment="1" applyProtection="1">
      <alignment wrapText="1"/>
    </xf>
    <xf numFmtId="0" fontId="17" fillId="0" borderId="83" xfId="0" applyFont="1" applyFill="1" applyBorder="1" applyAlignment="1" applyProtection="1">
      <alignment wrapText="1"/>
    </xf>
    <xf numFmtId="0" fontId="17" fillId="3" borderId="42" xfId="0" applyFont="1" applyFill="1" applyBorder="1" applyAlignment="1" applyProtection="1">
      <alignment wrapText="1"/>
    </xf>
    <xf numFmtId="0" fontId="17" fillId="3" borderId="71" xfId="0" applyFont="1" applyFill="1" applyBorder="1" applyAlignment="1" applyProtection="1">
      <alignment wrapText="1"/>
    </xf>
    <xf numFmtId="0" fontId="17" fillId="3" borderId="15" xfId="0" applyFont="1" applyFill="1" applyBorder="1" applyAlignment="1" applyProtection="1">
      <alignment wrapText="1"/>
    </xf>
    <xf numFmtId="0" fontId="17" fillId="3" borderId="16" xfId="0" applyFont="1" applyFill="1" applyBorder="1" applyAlignment="1" applyProtection="1">
      <alignment wrapText="1"/>
    </xf>
    <xf numFmtId="0" fontId="17" fillId="3" borderId="8" xfId="0" applyFont="1" applyFill="1" applyBorder="1" applyAlignment="1" applyProtection="1">
      <alignment wrapText="1"/>
    </xf>
    <xf numFmtId="0" fontId="17" fillId="3" borderId="19" xfId="0" applyFont="1" applyFill="1" applyBorder="1" applyAlignment="1" applyProtection="1">
      <alignment wrapText="1"/>
    </xf>
    <xf numFmtId="0" fontId="17" fillId="3" borderId="22" xfId="0" applyFont="1" applyFill="1" applyBorder="1" applyAlignment="1" applyProtection="1">
      <alignment wrapText="1"/>
    </xf>
    <xf numFmtId="0" fontId="17" fillId="3" borderId="23" xfId="0" applyFont="1" applyFill="1" applyBorder="1" applyAlignment="1" applyProtection="1">
      <alignment wrapText="1"/>
    </xf>
    <xf numFmtId="0" fontId="17" fillId="3" borderId="84" xfId="0" applyFont="1" applyFill="1" applyBorder="1" applyAlignment="1" applyProtection="1">
      <alignment wrapText="1"/>
    </xf>
    <xf numFmtId="0" fontId="17" fillId="3" borderId="45" xfId="0" applyFont="1" applyFill="1" applyBorder="1" applyAlignment="1" applyProtection="1">
      <alignment wrapText="1"/>
    </xf>
    <xf numFmtId="173" fontId="17" fillId="0" borderId="6" xfId="16" applyFont="1" applyFill="1" applyBorder="1" applyAlignment="1" applyProtection="1">
      <alignment wrapText="1"/>
    </xf>
    <xf numFmtId="173" fontId="17" fillId="3" borderId="10" xfId="16" applyFont="1" applyFill="1" applyBorder="1" applyAlignment="1" applyProtection="1">
      <alignment wrapText="1"/>
    </xf>
    <xf numFmtId="173" fontId="11" fillId="3" borderId="11" xfId="16" applyFont="1" applyFill="1" applyBorder="1" applyProtection="1"/>
    <xf numFmtId="173" fontId="17" fillId="3" borderId="22" xfId="16" applyFont="1" applyFill="1" applyBorder="1" applyAlignment="1" applyProtection="1">
      <alignment wrapText="1"/>
    </xf>
    <xf numFmtId="173" fontId="11" fillId="3" borderId="23" xfId="16" applyFont="1" applyFill="1" applyBorder="1" applyProtection="1"/>
    <xf numFmtId="173" fontId="17" fillId="3" borderId="0" xfId="16" applyFont="1" applyFill="1" applyBorder="1" applyAlignment="1" applyProtection="1">
      <alignment wrapText="1"/>
    </xf>
    <xf numFmtId="173" fontId="11" fillId="3" borderId="7" xfId="16" applyFont="1" applyFill="1" applyBorder="1" applyProtection="1"/>
    <xf numFmtId="173" fontId="5" fillId="3" borderId="0" xfId="16" applyFont="1" applyFill="1" applyAlignment="1" applyProtection="1">
      <alignment horizontal="center" vertical="center"/>
    </xf>
    <xf numFmtId="173" fontId="17" fillId="0" borderId="85" xfId="16" applyFont="1" applyFill="1" applyBorder="1" applyAlignment="1" applyProtection="1">
      <alignment wrapText="1"/>
    </xf>
    <xf numFmtId="0" fontId="17" fillId="3" borderId="47" xfId="0" applyFont="1" applyFill="1" applyBorder="1" applyAlignment="1" applyProtection="1">
      <alignment wrapText="1"/>
    </xf>
    <xf numFmtId="0" fontId="17" fillId="3" borderId="56" xfId="0" applyFont="1" applyFill="1" applyBorder="1" applyAlignment="1" applyProtection="1">
      <alignment wrapText="1"/>
    </xf>
    <xf numFmtId="0" fontId="17" fillId="0" borderId="86" xfId="0" applyFont="1" applyFill="1" applyBorder="1" applyAlignment="1" applyProtection="1">
      <alignment wrapText="1"/>
    </xf>
    <xf numFmtId="173" fontId="17" fillId="0" borderId="86" xfId="16" applyFont="1" applyFill="1" applyBorder="1" applyAlignment="1" applyProtection="1">
      <alignment wrapText="1"/>
    </xf>
    <xf numFmtId="173" fontId="17" fillId="3" borderId="47" xfId="16" applyFont="1" applyFill="1" applyBorder="1" applyAlignment="1" applyProtection="1">
      <alignment wrapText="1"/>
    </xf>
    <xf numFmtId="173" fontId="11" fillId="3" borderId="56" xfId="16" applyFont="1" applyFill="1" applyBorder="1" applyProtection="1"/>
    <xf numFmtId="2" fontId="12" fillId="3" borderId="86" xfId="16" applyNumberFormat="1" applyFont="1" applyFill="1" applyBorder="1" applyAlignment="1" applyProtection="1">
      <alignment wrapText="1"/>
    </xf>
    <xf numFmtId="2" fontId="12" fillId="3" borderId="47" xfId="16" applyNumberFormat="1" applyFont="1" applyFill="1" applyBorder="1" applyAlignment="1" applyProtection="1">
      <alignment wrapText="1"/>
    </xf>
    <xf numFmtId="2" fontId="12" fillId="3" borderId="56" xfId="16" applyNumberFormat="1" applyFont="1" applyFill="1" applyBorder="1" applyAlignment="1" applyProtection="1">
      <alignment wrapText="1"/>
    </xf>
    <xf numFmtId="173" fontId="17" fillId="0" borderId="75" xfId="16" applyFont="1" applyBorder="1" applyProtection="1"/>
    <xf numFmtId="173" fontId="11" fillId="0" borderId="76" xfId="16" applyFont="1" applyBorder="1" applyProtection="1"/>
    <xf numFmtId="173" fontId="3" fillId="0" borderId="16" xfId="16" applyFont="1" applyBorder="1" applyAlignment="1" applyProtection="1">
      <alignment horizontal="center" wrapText="1"/>
    </xf>
    <xf numFmtId="173" fontId="33" fillId="0" borderId="0" xfId="16" applyFont="1" applyAlignment="1" applyProtection="1">
      <alignment horizontal="left"/>
    </xf>
    <xf numFmtId="0" fontId="5" fillId="0" borderId="4" xfId="0" applyFont="1" applyFill="1" applyBorder="1" applyAlignment="1">
      <alignment vertical="top" wrapText="1"/>
    </xf>
    <xf numFmtId="0" fontId="11" fillId="0" borderId="0" xfId="0" applyFont="1" applyFill="1" applyBorder="1" applyAlignment="1">
      <alignment vertical="top" wrapText="1"/>
    </xf>
    <xf numFmtId="0" fontId="0" fillId="0" borderId="0" xfId="0" applyFill="1" applyBorder="1" applyAlignment="1">
      <alignment vertical="top" wrapText="1"/>
    </xf>
    <xf numFmtId="0" fontId="11" fillId="0" borderId="5" xfId="0" applyFont="1" applyFill="1" applyBorder="1" applyAlignment="1">
      <alignment vertical="top" wrapText="1"/>
    </xf>
    <xf numFmtId="0" fontId="5" fillId="0" borderId="0" xfId="0" applyFont="1" applyFill="1" applyBorder="1" applyAlignment="1">
      <alignment vertical="top" wrapText="1"/>
    </xf>
    <xf numFmtId="0" fontId="5" fillId="0" borderId="4" xfId="0" applyFont="1" applyFill="1" applyBorder="1" applyAlignment="1">
      <alignment vertical="center" wrapText="1"/>
    </xf>
    <xf numFmtId="0" fontId="11" fillId="0" borderId="0" xfId="0" applyFont="1" applyFill="1" applyBorder="1" applyAlignment="1">
      <alignment vertical="center" wrapText="1"/>
    </xf>
    <xf numFmtId="0" fontId="0" fillId="0" borderId="0" xfId="0" applyFill="1" applyBorder="1" applyAlignment="1">
      <alignment vertical="center" wrapText="1"/>
    </xf>
    <xf numFmtId="0" fontId="11" fillId="0" borderId="0" xfId="0" applyFont="1" applyFill="1" applyBorder="1" applyAlignment="1">
      <alignment horizontal="center" vertical="center" wrapText="1"/>
    </xf>
    <xf numFmtId="0" fontId="5" fillId="0" borderId="0" xfId="0" applyFont="1" applyFill="1" applyBorder="1" applyAlignment="1">
      <alignment vertical="center" wrapText="1"/>
    </xf>
    <xf numFmtId="0" fontId="5" fillId="0" borderId="4" xfId="0" applyFont="1" applyFill="1" applyBorder="1" applyAlignment="1">
      <alignment horizontal="left" vertical="top" wrapText="1"/>
    </xf>
    <xf numFmtId="0" fontId="0" fillId="0" borderId="59" xfId="0" applyFill="1" applyBorder="1"/>
    <xf numFmtId="0" fontId="0" fillId="0" borderId="87" xfId="0" applyFill="1" applyBorder="1"/>
    <xf numFmtId="0" fontId="5" fillId="3" borderId="57" xfId="0" applyFont="1" applyFill="1" applyBorder="1" applyAlignment="1">
      <alignment vertical="center" wrapText="1"/>
    </xf>
    <xf numFmtId="0" fontId="5" fillId="0" borderId="4" xfId="0" applyFont="1" applyFill="1" applyBorder="1" applyAlignment="1">
      <alignment horizontal="right" vertical="center" wrapText="1"/>
    </xf>
    <xf numFmtId="0" fontId="5" fillId="0" borderId="4" xfId="0" applyFont="1" applyFill="1" applyBorder="1" applyAlignment="1">
      <alignment horizontal="right" vertical="top" wrapText="1"/>
    </xf>
    <xf numFmtId="0" fontId="0" fillId="0" borderId="0" xfId="0" applyFill="1" applyBorder="1" applyAlignment="1">
      <alignment horizontal="center" vertical="top" wrapText="1"/>
    </xf>
    <xf numFmtId="0" fontId="0" fillId="0" borderId="5" xfId="0" applyFill="1" applyBorder="1"/>
    <xf numFmtId="0" fontId="0" fillId="0" borderId="4" xfId="0" applyFill="1" applyBorder="1" applyAlignment="1">
      <alignment horizontal="center" vertical="top" wrapText="1"/>
    </xf>
    <xf numFmtId="0" fontId="5" fillId="0" borderId="58" xfId="0" applyFont="1" applyFill="1" applyBorder="1" applyAlignment="1">
      <alignment vertical="center" wrapText="1"/>
    </xf>
    <xf numFmtId="0" fontId="0" fillId="0" borderId="59" xfId="0" applyFill="1" applyBorder="1" applyAlignment="1">
      <alignment horizontal="center" vertical="top" wrapText="1"/>
    </xf>
    <xf numFmtId="170" fontId="5" fillId="3" borderId="57" xfId="0" applyNumberFormat="1" applyFont="1" applyFill="1" applyBorder="1" applyAlignment="1">
      <alignment horizontal="right" vertical="top" wrapText="1"/>
    </xf>
    <xf numFmtId="0" fontId="27" fillId="3" borderId="57" xfId="0" applyFont="1" applyFill="1" applyBorder="1" applyAlignment="1">
      <alignment vertical="top" wrapText="1"/>
    </xf>
    <xf numFmtId="0" fontId="3" fillId="3" borderId="57" xfId="0" applyFont="1" applyFill="1" applyBorder="1" applyAlignment="1">
      <alignment horizontal="center" vertical="top" wrapText="1"/>
    </xf>
    <xf numFmtId="170" fontId="14" fillId="3" borderId="57" xfId="0" applyNumberFormat="1" applyFont="1" applyFill="1" applyBorder="1" applyAlignment="1">
      <alignment horizontal="center" vertical="center" wrapText="1"/>
    </xf>
    <xf numFmtId="0" fontId="14" fillId="3" borderId="88" xfId="0" applyFont="1" applyFill="1" applyBorder="1" applyAlignment="1">
      <alignment vertical="center" wrapText="1"/>
    </xf>
    <xf numFmtId="0" fontId="3" fillId="3" borderId="4" xfId="0" applyFont="1" applyFill="1" applyBorder="1" applyAlignment="1">
      <alignment horizontal="center" vertical="top" wrapText="1"/>
    </xf>
    <xf numFmtId="0" fontId="3" fillId="3" borderId="0" xfId="0" applyFont="1" applyFill="1" applyBorder="1" applyAlignment="1">
      <alignment horizontal="center" vertical="top" wrapText="1"/>
    </xf>
    <xf numFmtId="170" fontId="3" fillId="3" borderId="0" xfId="0" applyNumberFormat="1" applyFont="1" applyFill="1" applyBorder="1" applyAlignment="1">
      <alignment horizontal="center" vertical="top" wrapText="1"/>
    </xf>
    <xf numFmtId="0" fontId="3" fillId="3" borderId="5" xfId="0" applyFont="1" applyFill="1" applyBorder="1" applyAlignment="1">
      <alignment vertical="top"/>
    </xf>
    <xf numFmtId="170" fontId="14" fillId="3" borderId="89" xfId="0" applyNumberFormat="1" applyFont="1" applyFill="1" applyBorder="1" applyAlignment="1">
      <alignment vertical="center" wrapText="1"/>
    </xf>
    <xf numFmtId="0" fontId="11" fillId="0" borderId="0" xfId="0" applyFont="1"/>
    <xf numFmtId="0" fontId="34" fillId="0" borderId="0" xfId="0" applyFont="1" applyFill="1" applyAlignment="1">
      <alignment vertical="top" wrapText="1"/>
    </xf>
    <xf numFmtId="0" fontId="34" fillId="15" borderId="0" xfId="0" applyFont="1" applyFill="1" applyAlignment="1">
      <alignment vertical="top" wrapText="1"/>
    </xf>
    <xf numFmtId="0" fontId="34" fillId="15" borderId="0" xfId="0" applyFont="1" applyFill="1"/>
    <xf numFmtId="0" fontId="34" fillId="15" borderId="5" xfId="0" applyFont="1" applyFill="1" applyBorder="1" applyAlignment="1">
      <alignment vertical="top" wrapText="1"/>
    </xf>
    <xf numFmtId="0" fontId="34" fillId="15" borderId="0" xfId="0" applyFont="1" applyFill="1" applyAlignment="1">
      <alignment vertical="top"/>
    </xf>
    <xf numFmtId="42" fontId="11" fillId="3" borderId="22" xfId="0" applyNumberFormat="1" applyFont="1" applyFill="1" applyBorder="1" applyAlignment="1" applyProtection="1">
      <alignment wrapText="1"/>
      <protection locked="0"/>
    </xf>
    <xf numFmtId="164" fontId="0" fillId="5" borderId="57" xfId="0" applyNumberFormat="1" applyFill="1" applyBorder="1" applyAlignment="1">
      <alignment vertical="top" wrapText="1"/>
    </xf>
    <xf numFmtId="0" fontId="0" fillId="4" borderId="0" xfId="0" applyFill="1" applyBorder="1" applyAlignment="1">
      <alignment vertical="top" wrapText="1"/>
    </xf>
    <xf numFmtId="0" fontId="0" fillId="4" borderId="0" xfId="0" applyFill="1" applyAlignment="1">
      <alignment vertical="top" wrapText="1"/>
    </xf>
    <xf numFmtId="9" fontId="1" fillId="5" borderId="57" xfId="17" applyFill="1" applyBorder="1" applyAlignment="1">
      <alignment vertical="top" wrapText="1"/>
    </xf>
    <xf numFmtId="0" fontId="0" fillId="6" borderId="5" xfId="0" applyFill="1" applyBorder="1" applyAlignment="1">
      <alignment vertical="top" wrapText="1"/>
    </xf>
    <xf numFmtId="0" fontId="0" fillId="6" borderId="0" xfId="0" applyFill="1" applyBorder="1" applyAlignment="1">
      <alignment vertical="top" wrapText="1"/>
    </xf>
    <xf numFmtId="7" fontId="0" fillId="5" borderId="57" xfId="0" applyNumberFormat="1" applyFill="1" applyBorder="1" applyAlignment="1">
      <alignment vertical="top" wrapText="1"/>
    </xf>
    <xf numFmtId="9" fontId="11" fillId="5" borderId="57" xfId="17" applyFont="1" applyFill="1" applyBorder="1" applyAlignment="1">
      <alignment vertical="top" wrapText="1"/>
    </xf>
    <xf numFmtId="0" fontId="14" fillId="5" borderId="89" xfId="0" applyFont="1" applyFill="1" applyBorder="1" applyAlignment="1">
      <alignment horizontal="right" vertical="top" wrapText="1"/>
    </xf>
    <xf numFmtId="170" fontId="0" fillId="4" borderId="0" xfId="0" applyNumberFormat="1" applyFill="1" applyBorder="1" applyAlignment="1">
      <alignment horizontal="right" vertical="top" wrapText="1"/>
    </xf>
    <xf numFmtId="0" fontId="0" fillId="6" borderId="0" xfId="0" applyFill="1"/>
    <xf numFmtId="176" fontId="14" fillId="3" borderId="57" xfId="0" applyNumberFormat="1" applyFont="1" applyFill="1" applyBorder="1" applyAlignment="1">
      <alignment horizontal="right" vertical="top" wrapText="1"/>
    </xf>
    <xf numFmtId="170" fontId="0" fillId="5" borderId="15" xfId="0" applyNumberFormat="1" applyFill="1" applyBorder="1" applyAlignment="1" applyProtection="1">
      <alignment horizontal="center" vertical="center" wrapText="1"/>
      <protection locked="0"/>
    </xf>
    <xf numFmtId="170" fontId="0" fillId="5" borderId="8" xfId="0" applyNumberFormat="1" applyFill="1" applyBorder="1" applyAlignment="1" applyProtection="1">
      <alignment horizontal="center" vertical="center" wrapText="1"/>
      <protection locked="0"/>
    </xf>
    <xf numFmtId="170" fontId="0" fillId="5" borderId="22" xfId="0" applyNumberFormat="1" applyFill="1" applyBorder="1" applyAlignment="1" applyProtection="1">
      <alignment horizontal="center" vertical="center" wrapText="1"/>
      <protection locked="0"/>
    </xf>
    <xf numFmtId="0" fontId="36" fillId="2" borderId="20" xfId="0" applyFont="1" applyFill="1" applyBorder="1" applyAlignment="1" applyProtection="1">
      <protection locked="0"/>
    </xf>
    <xf numFmtId="0" fontId="36" fillId="2" borderId="22" xfId="0" applyFont="1" applyFill="1" applyBorder="1" applyAlignment="1" applyProtection="1">
      <alignment horizontal="right" wrapText="1"/>
      <protection locked="0"/>
    </xf>
    <xf numFmtId="0" fontId="39" fillId="2" borderId="90" xfId="0" applyFont="1" applyFill="1" applyBorder="1" applyAlignment="1" applyProtection="1">
      <alignment horizontal="left" vertical="center"/>
      <protection locked="0"/>
    </xf>
    <xf numFmtId="0" fontId="37" fillId="2" borderId="90" xfId="0" applyFont="1" applyFill="1" applyBorder="1" applyProtection="1">
      <protection locked="0"/>
    </xf>
    <xf numFmtId="0" fontId="10" fillId="2" borderId="15" xfId="0" applyFont="1" applyFill="1" applyBorder="1" applyAlignment="1" applyProtection="1">
      <alignment horizontal="center" wrapText="1"/>
      <protection locked="0"/>
    </xf>
    <xf numFmtId="0" fontId="3" fillId="0" borderId="0" xfId="0" applyFont="1" applyFill="1" applyBorder="1" applyAlignment="1">
      <alignment vertical="top" wrapText="1"/>
    </xf>
    <xf numFmtId="0" fontId="40" fillId="2" borderId="91" xfId="0" applyFont="1" applyFill="1" applyBorder="1" applyAlignment="1">
      <alignment vertical="top" wrapText="1"/>
    </xf>
    <xf numFmtId="0" fontId="10" fillId="2" borderId="92" xfId="0" applyFont="1" applyFill="1" applyBorder="1" applyAlignment="1">
      <alignment vertical="top" wrapText="1"/>
    </xf>
    <xf numFmtId="0" fontId="37" fillId="2" borderId="92" xfId="0" applyFont="1" applyFill="1" applyBorder="1" applyAlignment="1">
      <alignment vertical="top" wrapText="1"/>
    </xf>
    <xf numFmtId="0" fontId="36" fillId="2" borderId="92" xfId="0" applyFont="1" applyFill="1" applyBorder="1" applyAlignment="1">
      <alignment vertical="top" wrapText="1"/>
    </xf>
    <xf numFmtId="0" fontId="37" fillId="2" borderId="93" xfId="0" applyFont="1" applyFill="1" applyBorder="1" applyAlignment="1">
      <alignment vertical="top" wrapText="1"/>
    </xf>
    <xf numFmtId="0" fontId="32" fillId="2" borderId="0" xfId="0" applyFont="1" applyFill="1" applyBorder="1" applyAlignment="1">
      <alignment vertical="top" wrapText="1"/>
    </xf>
    <xf numFmtId="0" fontId="32" fillId="2" borderId="5" xfId="0" applyFont="1" applyFill="1" applyBorder="1" applyAlignment="1">
      <alignment vertical="top" wrapText="1"/>
    </xf>
    <xf numFmtId="0" fontId="40" fillId="2" borderId="94" xfId="0" applyFont="1" applyFill="1" applyBorder="1" applyAlignment="1">
      <alignment vertical="top" wrapText="1"/>
    </xf>
    <xf numFmtId="0" fontId="32" fillId="2" borderId="95" xfId="0" applyFont="1" applyFill="1" applyBorder="1" applyAlignment="1">
      <alignment vertical="top" wrapText="1"/>
    </xf>
    <xf numFmtId="0" fontId="40" fillId="2" borderId="95" xfId="0" applyFont="1" applyFill="1" applyBorder="1" applyAlignment="1">
      <alignment vertical="top" wrapText="1"/>
    </xf>
    <xf numFmtId="0" fontId="32" fillId="2" borderId="96" xfId="0" applyFont="1" applyFill="1" applyBorder="1" applyAlignment="1">
      <alignment vertical="top" wrapText="1"/>
    </xf>
    <xf numFmtId="3" fontId="0" fillId="3" borderId="62" xfId="0" applyNumberFormat="1" applyFill="1" applyBorder="1" applyAlignment="1">
      <alignment vertical="top" wrapText="1"/>
    </xf>
    <xf numFmtId="0" fontId="42" fillId="2" borderId="95" xfId="0" applyFont="1" applyFill="1" applyBorder="1" applyAlignment="1">
      <alignment vertical="top" wrapText="1"/>
    </xf>
    <xf numFmtId="0" fontId="43" fillId="2" borderId="4" xfId="0" applyFont="1" applyFill="1" applyBorder="1" applyAlignment="1">
      <alignment horizontal="center" vertical="center" wrapText="1"/>
    </xf>
    <xf numFmtId="0" fontId="43" fillId="2" borderId="0" xfId="0" applyFont="1" applyFill="1" applyBorder="1" applyAlignment="1">
      <alignment horizontal="center" vertical="top" wrapText="1"/>
    </xf>
    <xf numFmtId="0" fontId="41" fillId="2" borderId="94" xfId="0" applyFont="1" applyFill="1" applyBorder="1" applyAlignment="1">
      <alignment wrapText="1"/>
    </xf>
    <xf numFmtId="0" fontId="32" fillId="2" borderId="95" xfId="0" applyFont="1" applyFill="1" applyBorder="1" applyAlignment="1">
      <alignment horizontal="center" vertical="top" wrapText="1"/>
    </xf>
    <xf numFmtId="0" fontId="32" fillId="2" borderId="96" xfId="0" applyFont="1" applyFill="1" applyBorder="1" applyAlignment="1">
      <alignment vertical="top"/>
    </xf>
    <xf numFmtId="170" fontId="0" fillId="3" borderId="62" xfId="0" applyNumberFormat="1" applyFill="1" applyBorder="1" applyAlignment="1">
      <alignment vertical="top" wrapText="1"/>
    </xf>
    <xf numFmtId="0" fontId="45" fillId="2" borderId="95" xfId="0" applyFont="1" applyFill="1" applyBorder="1" applyAlignment="1">
      <alignment horizontal="center" vertical="top" wrapText="1"/>
    </xf>
    <xf numFmtId="0" fontId="45" fillId="2" borderId="96" xfId="0" applyFont="1" applyFill="1" applyBorder="1"/>
    <xf numFmtId="170" fontId="0" fillId="2" borderId="0" xfId="0" applyNumberFormat="1" applyFill="1" applyBorder="1" applyAlignment="1">
      <alignment vertical="top" wrapText="1"/>
    </xf>
    <xf numFmtId="0" fontId="36" fillId="2" borderId="41" xfId="0" applyFont="1" applyFill="1" applyBorder="1" applyAlignment="1" applyProtection="1">
      <alignment horizontal="right" wrapText="1"/>
      <protection locked="0"/>
    </xf>
    <xf numFmtId="0" fontId="10" fillId="2" borderId="42" xfId="0" applyFont="1" applyFill="1" applyBorder="1" applyAlignment="1" applyProtection="1">
      <alignment horizontal="center" wrapText="1"/>
      <protection locked="0"/>
    </xf>
    <xf numFmtId="0" fontId="11" fillId="2" borderId="97" xfId="0" applyFont="1" applyFill="1" applyBorder="1" applyAlignment="1" applyProtection="1">
      <alignment horizontal="left" wrapText="1"/>
      <protection locked="0"/>
    </xf>
    <xf numFmtId="42" fontId="11" fillId="3" borderId="69" xfId="0" applyNumberFormat="1" applyFont="1" applyFill="1" applyBorder="1" applyAlignment="1" applyProtection="1">
      <alignment wrapText="1"/>
      <protection locked="0"/>
    </xf>
    <xf numFmtId="42" fontId="11" fillId="3" borderId="98" xfId="0" applyNumberFormat="1" applyFont="1" applyFill="1" applyBorder="1" applyAlignment="1" applyProtection="1">
      <alignment wrapText="1"/>
      <protection locked="0"/>
    </xf>
    <xf numFmtId="2" fontId="11" fillId="2" borderId="69" xfId="0" applyNumberFormat="1" applyFont="1" applyFill="1" applyBorder="1" applyAlignment="1" applyProtection="1">
      <alignment wrapText="1"/>
      <protection locked="0"/>
    </xf>
    <xf numFmtId="0" fontId="10" fillId="2" borderId="71" xfId="0" applyFont="1" applyFill="1" applyBorder="1" applyAlignment="1" applyProtection="1">
      <alignment horizontal="center" wrapText="1"/>
      <protection locked="0"/>
    </xf>
    <xf numFmtId="172" fontId="3" fillId="2" borderId="69" xfId="0" applyNumberFormat="1" applyFont="1" applyFill="1" applyBorder="1" applyAlignment="1" applyProtection="1">
      <alignment wrapText="1"/>
      <protection locked="0"/>
    </xf>
    <xf numFmtId="0" fontId="11" fillId="2" borderId="70" xfId="0" applyFont="1" applyFill="1" applyBorder="1" applyAlignment="1" applyProtection="1">
      <alignment wrapText="1"/>
      <protection locked="0"/>
    </xf>
    <xf numFmtId="0" fontId="11" fillId="6" borderId="99" xfId="0" applyFont="1" applyFill="1" applyBorder="1" applyAlignment="1" applyProtection="1">
      <alignment wrapText="1"/>
      <protection locked="0"/>
    </xf>
    <xf numFmtId="0" fontId="11" fillId="6" borderId="100" xfId="0" applyFont="1" applyFill="1" applyBorder="1" applyAlignment="1" applyProtection="1">
      <alignment wrapText="1"/>
      <protection locked="0"/>
    </xf>
    <xf numFmtId="0" fontId="11" fillId="6" borderId="101" xfId="0" applyFont="1" applyFill="1" applyBorder="1" applyAlignment="1" applyProtection="1">
      <alignment wrapText="1"/>
      <protection locked="0"/>
    </xf>
    <xf numFmtId="0" fontId="0" fillId="3" borderId="98" xfId="0" applyFill="1" applyBorder="1"/>
    <xf numFmtId="0" fontId="11" fillId="6" borderId="102" xfId="0" applyFont="1" applyFill="1" applyBorder="1" applyAlignment="1" applyProtection="1">
      <alignment wrapText="1"/>
      <protection locked="0"/>
    </xf>
    <xf numFmtId="0" fontId="11" fillId="6" borderId="18" xfId="0" applyFont="1" applyFill="1" applyBorder="1" applyAlignment="1" applyProtection="1">
      <alignment wrapText="1"/>
      <protection locked="0"/>
    </xf>
    <xf numFmtId="0" fontId="11" fillId="6" borderId="103" xfId="0" applyFont="1" applyFill="1" applyBorder="1" applyAlignment="1" applyProtection="1">
      <alignment wrapText="1"/>
      <protection locked="0"/>
    </xf>
    <xf numFmtId="10" fontId="11" fillId="3" borderId="57" xfId="0" applyNumberFormat="1" applyFont="1" applyFill="1" applyBorder="1" applyAlignment="1" applyProtection="1">
      <alignment wrapText="1"/>
      <protection locked="0"/>
    </xf>
    <xf numFmtId="0" fontId="17" fillId="3" borderId="0" xfId="0" applyFont="1" applyFill="1" applyBorder="1" applyAlignment="1" applyProtection="1">
      <alignment wrapText="1"/>
    </xf>
    <xf numFmtId="0" fontId="17" fillId="3" borderId="7" xfId="0" applyFont="1" applyFill="1" applyBorder="1" applyAlignment="1" applyProtection="1">
      <alignment wrapText="1"/>
    </xf>
    <xf numFmtId="0" fontId="17" fillId="0" borderId="6" xfId="0" applyFont="1" applyFill="1" applyBorder="1" applyAlignment="1" applyProtection="1">
      <alignment wrapText="1"/>
    </xf>
    <xf numFmtId="173" fontId="17" fillId="0" borderId="104" xfId="16" applyFont="1" applyFill="1" applyBorder="1" applyAlignment="1" applyProtection="1">
      <alignment wrapText="1"/>
    </xf>
    <xf numFmtId="2" fontId="12" fillId="3" borderId="78" xfId="16" applyNumberFormat="1" applyFont="1" applyFill="1" applyBorder="1" applyAlignment="1" applyProtection="1">
      <alignment wrapText="1"/>
    </xf>
    <xf numFmtId="2" fontId="12" fillId="3" borderId="79" xfId="16" applyNumberFormat="1" applyFont="1" applyFill="1" applyBorder="1" applyAlignment="1" applyProtection="1">
      <alignment wrapText="1"/>
    </xf>
    <xf numFmtId="2" fontId="12" fillId="3" borderId="80" xfId="16" applyNumberFormat="1" applyFont="1" applyFill="1" applyBorder="1" applyAlignment="1" applyProtection="1">
      <alignment wrapText="1"/>
    </xf>
    <xf numFmtId="0" fontId="9" fillId="2" borderId="0" xfId="5" applyFont="1" applyFill="1" applyBorder="1" applyAlignment="1" applyProtection="1">
      <alignment horizontal="left" vertical="top" wrapText="1"/>
    </xf>
    <xf numFmtId="0" fontId="0" fillId="0" borderId="0" xfId="0" applyBorder="1" applyAlignment="1">
      <alignment horizontal="left" vertical="top" wrapText="1"/>
    </xf>
    <xf numFmtId="0" fontId="5" fillId="0" borderId="0" xfId="0" applyFont="1" applyAlignment="1"/>
    <xf numFmtId="0" fontId="0" fillId="0" borderId="0" xfId="0" applyAlignment="1"/>
    <xf numFmtId="0" fontId="0" fillId="0" borderId="0" xfId="0" applyFill="1" applyAlignment="1"/>
    <xf numFmtId="165" fontId="7" fillId="2" borderId="0" xfId="0" applyNumberFormat="1" applyFont="1" applyFill="1" applyBorder="1" applyAlignment="1">
      <alignment horizontal="center" vertical="center"/>
    </xf>
    <xf numFmtId="166" fontId="7" fillId="0" borderId="5" xfId="0" applyNumberFormat="1" applyFont="1" applyFill="1" applyBorder="1" applyAlignment="1">
      <alignment horizontal="center" vertical="center" wrapText="1"/>
    </xf>
    <xf numFmtId="1" fontId="7" fillId="2" borderId="0" xfId="0" applyNumberFormat="1" applyFont="1" applyFill="1" applyBorder="1" applyAlignment="1">
      <alignment horizontal="center" vertical="center" wrapText="1"/>
    </xf>
    <xf numFmtId="2" fontId="7" fillId="2" borderId="0" xfId="0" applyNumberFormat="1" applyFont="1" applyFill="1" applyBorder="1" applyAlignment="1">
      <alignment horizontal="center" vertical="center"/>
    </xf>
    <xf numFmtId="2" fontId="7" fillId="2" borderId="5" xfId="0" applyNumberFormat="1" applyFont="1" applyFill="1" applyBorder="1" applyAlignment="1">
      <alignment horizontal="center" vertical="center" wrapText="1"/>
    </xf>
    <xf numFmtId="0" fontId="5" fillId="3" borderId="57" xfId="0" applyFont="1" applyFill="1" applyBorder="1" applyAlignment="1">
      <alignment horizontal="left" vertical="center" wrapText="1"/>
    </xf>
    <xf numFmtId="0" fontId="5" fillId="0" borderId="4" xfId="0" applyFont="1" applyFill="1" applyBorder="1" applyAlignment="1">
      <alignment horizontal="left" vertical="center" wrapText="1"/>
    </xf>
    <xf numFmtId="0" fontId="0" fillId="0" borderId="0" xfId="0" applyAlignment="1">
      <alignment horizontal="center"/>
    </xf>
    <xf numFmtId="0" fontId="3" fillId="0" borderId="0" xfId="0" applyFont="1" applyAlignment="1">
      <alignment horizontal="center"/>
    </xf>
    <xf numFmtId="3" fontId="0" fillId="0" borderId="0" xfId="0" applyNumberFormat="1" applyAlignment="1">
      <alignment horizontal="center"/>
    </xf>
    <xf numFmtId="177" fontId="0" fillId="0" borderId="0" xfId="0" applyNumberFormat="1" applyAlignment="1">
      <alignment horizontal="center"/>
    </xf>
    <xf numFmtId="0" fontId="0" fillId="6" borderId="5" xfId="0" applyFill="1" applyBorder="1" applyAlignment="1">
      <alignment horizontal="left" vertical="top" wrapText="1"/>
    </xf>
    <xf numFmtId="0" fontId="38" fillId="2" borderId="13" xfId="0" applyFont="1" applyFill="1" applyBorder="1" applyAlignment="1">
      <alignment vertical="top" wrapText="1"/>
    </xf>
    <xf numFmtId="0" fontId="14" fillId="0" borderId="63" xfId="0" applyFont="1" applyBorder="1" applyAlignment="1">
      <alignment vertical="top" wrapText="1"/>
    </xf>
    <xf numFmtId="3" fontId="0" fillId="5" borderId="57" xfId="0" applyNumberFormat="1" applyFill="1" applyBorder="1" applyAlignment="1">
      <alignment vertical="top" wrapText="1"/>
    </xf>
    <xf numFmtId="0" fontId="0" fillId="0" borderId="98" xfId="0" applyBorder="1" applyAlignment="1">
      <alignment vertical="top" wrapText="1"/>
    </xf>
    <xf numFmtId="0" fontId="0" fillId="0" borderId="108" xfId="0" applyBorder="1" applyAlignment="1">
      <alignment vertical="top" wrapText="1"/>
    </xf>
    <xf numFmtId="0" fontId="14" fillId="0" borderId="109" xfId="0" applyFont="1" applyBorder="1" applyAlignment="1">
      <alignment vertical="top" wrapText="1"/>
    </xf>
    <xf numFmtId="3" fontId="14" fillId="3" borderId="8" xfId="0" applyNumberFormat="1" applyFont="1" applyFill="1" applyBorder="1" applyAlignment="1">
      <alignment vertical="top" wrapText="1"/>
    </xf>
    <xf numFmtId="2" fontId="14" fillId="3" borderId="8" xfId="0" applyNumberFormat="1" applyFont="1" applyFill="1" applyBorder="1" applyAlignment="1">
      <alignment vertical="top" wrapText="1"/>
    </xf>
    <xf numFmtId="167" fontId="14" fillId="3" borderId="22" xfId="0" applyNumberFormat="1" applyFont="1" applyFill="1" applyBorder="1" applyAlignment="1">
      <alignment vertical="top" wrapText="1"/>
    </xf>
    <xf numFmtId="0" fontId="0" fillId="0" borderId="65" xfId="0" applyBorder="1" applyAlignment="1">
      <alignment vertical="top" wrapText="1"/>
    </xf>
    <xf numFmtId="0" fontId="0" fillId="0" borderId="66" xfId="0" applyBorder="1" applyAlignment="1">
      <alignment vertical="top" wrapText="1"/>
    </xf>
    <xf numFmtId="0" fontId="0" fillId="0" borderId="7" xfId="0" applyBorder="1" applyAlignment="1">
      <alignment vertical="top" wrapText="1"/>
    </xf>
    <xf numFmtId="0" fontId="0" fillId="0" borderId="90" xfId="0" applyBorder="1" applyAlignment="1">
      <alignment vertical="top" wrapText="1"/>
    </xf>
    <xf numFmtId="0" fontId="0" fillId="0" borderId="110" xfId="0" applyBorder="1" applyAlignment="1">
      <alignment vertical="top" wrapText="1"/>
    </xf>
    <xf numFmtId="2" fontId="0" fillId="0" borderId="0" xfId="0" applyNumberFormat="1" applyBorder="1" applyAlignment="1">
      <alignment vertical="top" wrapText="1"/>
    </xf>
    <xf numFmtId="0" fontId="0" fillId="0" borderId="90" xfId="0" applyBorder="1"/>
    <xf numFmtId="0" fontId="19" fillId="3" borderId="111" xfId="0" applyFont="1" applyFill="1" applyBorder="1" applyAlignment="1" applyProtection="1">
      <alignment horizontal="left" vertical="center"/>
    </xf>
    <xf numFmtId="173" fontId="11" fillId="0" borderId="112" xfId="16" applyFont="1" applyBorder="1" applyAlignment="1" applyProtection="1">
      <alignment wrapText="1"/>
    </xf>
    <xf numFmtId="165" fontId="11" fillId="3" borderId="113" xfId="16" applyNumberFormat="1" applyFont="1" applyFill="1" applyBorder="1" applyProtection="1"/>
    <xf numFmtId="173" fontId="11" fillId="0" borderId="114" xfId="16" applyFont="1" applyBorder="1" applyProtection="1"/>
    <xf numFmtId="173" fontId="11" fillId="0" borderId="115" xfId="16" applyFont="1" applyBorder="1" applyAlignment="1" applyProtection="1">
      <alignment wrapText="1"/>
    </xf>
    <xf numFmtId="165" fontId="11" fillId="3" borderId="98" xfId="16" applyNumberFormat="1" applyFont="1" applyFill="1" applyBorder="1" applyProtection="1"/>
    <xf numFmtId="173" fontId="11" fillId="0" borderId="116" xfId="16" applyFont="1" applyBorder="1" applyProtection="1"/>
    <xf numFmtId="173" fontId="11" fillId="0" borderId="117" xfId="16" applyFont="1" applyBorder="1" applyAlignment="1" applyProtection="1">
      <alignment wrapText="1"/>
    </xf>
    <xf numFmtId="165" fontId="11" fillId="3" borderId="118" xfId="16" applyNumberFormat="1" applyFont="1" applyFill="1" applyBorder="1" applyProtection="1"/>
    <xf numFmtId="173" fontId="11" fillId="0" borderId="119" xfId="16" applyFont="1" applyBorder="1" applyProtection="1"/>
    <xf numFmtId="165" fontId="3" fillId="0" borderId="0" xfId="16" applyNumberFormat="1" applyFont="1" applyFill="1" applyBorder="1" applyProtection="1"/>
    <xf numFmtId="0" fontId="3" fillId="0" borderId="58" xfId="0" applyFont="1" applyBorder="1"/>
    <xf numFmtId="0" fontId="3" fillId="0" borderId="59" xfId="0" applyFont="1" applyFill="1" applyBorder="1" applyProtection="1"/>
    <xf numFmtId="0" fontId="3" fillId="0" borderId="87" xfId="0" applyFont="1" applyFill="1" applyBorder="1" applyProtection="1"/>
    <xf numFmtId="173" fontId="11" fillId="0" borderId="106" xfId="16" applyFont="1" applyBorder="1" applyProtection="1"/>
    <xf numFmtId="170" fontId="11" fillId="0" borderId="107" xfId="16" applyNumberFormat="1" applyFont="1" applyFill="1" applyBorder="1" applyAlignment="1" applyProtection="1">
      <alignment horizontal="center"/>
    </xf>
    <xf numFmtId="173" fontId="11" fillId="0" borderId="98" xfId="16" applyFont="1" applyBorder="1" applyProtection="1"/>
    <xf numFmtId="173" fontId="11" fillId="0" borderId="108" xfId="16" applyFont="1" applyBorder="1" applyProtection="1"/>
    <xf numFmtId="173" fontId="11" fillId="0" borderId="120" xfId="16" applyFont="1" applyBorder="1" applyProtection="1"/>
    <xf numFmtId="173" fontId="11" fillId="0" borderId="111" xfId="16" applyFont="1" applyBorder="1" applyProtection="1"/>
    <xf numFmtId="173" fontId="5" fillId="0" borderId="40" xfId="16" applyFont="1" applyBorder="1" applyProtection="1"/>
    <xf numFmtId="173" fontId="4" fillId="0" borderId="63" xfId="5" applyNumberFormat="1" applyBorder="1" applyAlignment="1" applyProtection="1"/>
    <xf numFmtId="173" fontId="4" fillId="0" borderId="109" xfId="5" applyNumberFormat="1" applyBorder="1" applyAlignment="1" applyProtection="1"/>
    <xf numFmtId="0" fontId="14" fillId="0" borderId="121" xfId="0" applyFont="1" applyBorder="1" applyAlignment="1">
      <alignment vertical="top" wrapText="1"/>
    </xf>
    <xf numFmtId="167" fontId="14" fillId="3" borderId="37" xfId="0" applyNumberFormat="1" applyFont="1" applyFill="1" applyBorder="1" applyAlignment="1">
      <alignment vertical="top" wrapText="1"/>
    </xf>
    <xf numFmtId="0" fontId="17" fillId="0" borderId="10" xfId="0" quotePrefix="1" applyFont="1" applyBorder="1" applyAlignment="1" applyProtection="1">
      <alignment wrapText="1"/>
    </xf>
    <xf numFmtId="173" fontId="3" fillId="0" borderId="40" xfId="16" applyFont="1" applyFill="1" applyBorder="1" applyAlignment="1" applyProtection="1">
      <alignment horizontal="center" wrapText="1"/>
    </xf>
    <xf numFmtId="0" fontId="12" fillId="3" borderId="122" xfId="0" applyFont="1" applyFill="1" applyBorder="1" applyAlignment="1" applyProtection="1">
      <alignment wrapText="1"/>
    </xf>
    <xf numFmtId="0" fontId="12" fillId="3" borderId="123" xfId="0" applyFont="1" applyFill="1" applyBorder="1" applyAlignment="1" applyProtection="1">
      <alignment wrapText="1"/>
    </xf>
    <xf numFmtId="0" fontId="12" fillId="3" borderId="124" xfId="0" applyFont="1" applyFill="1" applyBorder="1" applyAlignment="1" applyProtection="1">
      <alignment wrapText="1"/>
    </xf>
    <xf numFmtId="173" fontId="3" fillId="0" borderId="107" xfId="16" applyFont="1" applyFill="1" applyBorder="1" applyAlignment="1" applyProtection="1">
      <alignment horizontal="center" wrapText="1"/>
    </xf>
    <xf numFmtId="169" fontId="11" fillId="3" borderId="108" xfId="16" applyNumberFormat="1" applyFont="1" applyFill="1" applyBorder="1" applyProtection="1"/>
    <xf numFmtId="173" fontId="3" fillId="0" borderId="125" xfId="16" applyFont="1" applyFill="1" applyBorder="1" applyAlignment="1" applyProtection="1">
      <alignment horizontal="center" wrapText="1"/>
    </xf>
    <xf numFmtId="0" fontId="12" fillId="3" borderId="77" xfId="0" quotePrefix="1" applyFont="1" applyFill="1" applyBorder="1" applyAlignment="1" applyProtection="1">
      <alignment horizontal="left" wrapText="1"/>
    </xf>
    <xf numFmtId="0" fontId="12" fillId="3" borderId="80" xfId="0" quotePrefix="1" applyFont="1" applyFill="1" applyBorder="1" applyAlignment="1" applyProtection="1">
      <alignment wrapText="1"/>
    </xf>
    <xf numFmtId="0" fontId="12" fillId="3" borderId="80" xfId="0" quotePrefix="1" applyFont="1" applyFill="1" applyBorder="1" applyAlignment="1" applyProtection="1">
      <alignment horizontal="center" wrapText="1"/>
    </xf>
    <xf numFmtId="0" fontId="3" fillId="0" borderId="3" xfId="0" applyFont="1" applyBorder="1" applyAlignment="1">
      <alignment wrapText="1"/>
    </xf>
    <xf numFmtId="0" fontId="3" fillId="0" borderId="87" xfId="0" applyFont="1" applyBorder="1"/>
    <xf numFmtId="0" fontId="3" fillId="0" borderId="59" xfId="0" applyFont="1" applyBorder="1"/>
    <xf numFmtId="0" fontId="0" fillId="0" borderId="113" xfId="0" applyBorder="1"/>
    <xf numFmtId="0" fontId="0" fillId="0" borderId="98" xfId="0" applyBorder="1"/>
    <xf numFmtId="0" fontId="0" fillId="0" borderId="116" xfId="0" applyBorder="1"/>
    <xf numFmtId="0" fontId="11" fillId="2" borderId="4" xfId="0" applyFont="1" applyFill="1" applyBorder="1" applyAlignment="1">
      <alignment horizontal="left" vertical="top" wrapText="1"/>
    </xf>
    <xf numFmtId="173" fontId="17" fillId="0" borderId="76" xfId="16" applyFont="1" applyBorder="1" applyAlignment="1" applyProtection="1">
      <alignment horizontal="left"/>
    </xf>
    <xf numFmtId="164" fontId="12" fillId="0" borderId="76" xfId="16" applyNumberFormat="1" applyFont="1" applyFill="1" applyBorder="1" applyProtection="1"/>
    <xf numFmtId="173" fontId="11" fillId="0" borderId="6" xfId="16" applyFont="1" applyBorder="1" applyAlignment="1" applyProtection="1">
      <alignment wrapText="1"/>
    </xf>
    <xf numFmtId="173" fontId="3" fillId="0" borderId="6" xfId="16" applyFont="1" applyBorder="1" applyAlignment="1" applyProtection="1">
      <alignment wrapText="1"/>
    </xf>
    <xf numFmtId="173" fontId="11" fillId="0" borderId="67" xfId="16" applyFont="1" applyBorder="1" applyAlignment="1" applyProtection="1">
      <alignment wrapText="1"/>
    </xf>
    <xf numFmtId="0" fontId="0" fillId="0" borderId="77" xfId="0" applyBorder="1"/>
    <xf numFmtId="173" fontId="5" fillId="0" borderId="78" xfId="16" applyFont="1" applyBorder="1" applyAlignment="1" applyProtection="1">
      <alignment vertical="center" wrapText="1"/>
    </xf>
    <xf numFmtId="173" fontId="5" fillId="0" borderId="79" xfId="16" applyFont="1" applyBorder="1" applyAlignment="1" applyProtection="1">
      <alignment horizontal="center" vertical="center" wrapText="1"/>
    </xf>
    <xf numFmtId="165" fontId="5" fillId="0" borderId="79" xfId="16" applyNumberFormat="1" applyFont="1" applyFill="1" applyBorder="1" applyAlignment="1" applyProtection="1">
      <alignment horizontal="center" vertical="center" wrapText="1"/>
    </xf>
    <xf numFmtId="165" fontId="5" fillId="0" borderId="80" xfId="16" applyNumberFormat="1" applyFont="1" applyFill="1" applyBorder="1" applyAlignment="1" applyProtection="1">
      <alignment horizontal="center" vertical="center" wrapText="1"/>
    </xf>
    <xf numFmtId="173" fontId="11" fillId="3" borderId="0" xfId="16" applyFont="1" applyFill="1" applyBorder="1" applyAlignment="1" applyProtection="1">
      <alignment horizontal="center"/>
    </xf>
    <xf numFmtId="173" fontId="11" fillId="3" borderId="7" xfId="16" applyFont="1" applyFill="1" applyBorder="1" applyAlignment="1" applyProtection="1">
      <alignment horizontal="center"/>
    </xf>
    <xf numFmtId="165" fontId="11" fillId="3" borderId="0" xfId="16" applyNumberFormat="1" applyFont="1" applyFill="1" applyBorder="1" applyAlignment="1" applyProtection="1">
      <alignment horizontal="center"/>
    </xf>
    <xf numFmtId="165" fontId="11" fillId="0" borderId="2" xfId="16" applyNumberFormat="1" applyFont="1" applyFill="1" applyBorder="1" applyAlignment="1" applyProtection="1">
      <alignment horizontal="center"/>
    </xf>
    <xf numFmtId="173" fontId="11" fillId="0" borderId="2" xfId="16" applyFont="1" applyFill="1" applyBorder="1" applyAlignment="1" applyProtection="1">
      <alignment horizontal="center"/>
    </xf>
    <xf numFmtId="173" fontId="11" fillId="0" borderId="82" xfId="16" applyFont="1" applyFill="1" applyBorder="1" applyAlignment="1" applyProtection="1">
      <alignment horizontal="center"/>
    </xf>
    <xf numFmtId="173" fontId="11" fillId="0" borderId="63" xfId="16" applyFont="1" applyFill="1" applyBorder="1" applyAlignment="1" applyProtection="1">
      <alignment horizontal="right"/>
    </xf>
    <xf numFmtId="173" fontId="11" fillId="0" borderId="63" xfId="16" applyFont="1" applyFill="1" applyBorder="1" applyAlignment="1" applyProtection="1">
      <alignment horizontal="right" wrapText="1"/>
    </xf>
    <xf numFmtId="173" fontId="3" fillId="0" borderId="109" xfId="16" applyFont="1" applyFill="1" applyBorder="1" applyProtection="1"/>
    <xf numFmtId="173" fontId="17" fillId="0" borderId="77" xfId="16" applyFont="1" applyBorder="1" applyAlignment="1" applyProtection="1">
      <alignment horizontal="left"/>
    </xf>
    <xf numFmtId="165" fontId="3" fillId="0" borderId="7" xfId="16" applyNumberFormat="1" applyFont="1" applyFill="1" applyBorder="1" applyProtection="1"/>
    <xf numFmtId="0" fontId="0" fillId="0" borderId="9" xfId="0" applyBorder="1"/>
    <xf numFmtId="0" fontId="0" fillId="0" borderId="11" xfId="0" applyBorder="1"/>
    <xf numFmtId="0" fontId="5" fillId="0" borderId="40" xfId="0" applyFont="1" applyBorder="1" applyAlignment="1">
      <alignment vertical="top" wrapText="1"/>
    </xf>
    <xf numFmtId="0" fontId="5" fillId="0" borderId="106" xfId="0" applyFont="1" applyBorder="1" applyAlignment="1">
      <alignment vertical="top" wrapText="1"/>
    </xf>
    <xf numFmtId="0" fontId="5" fillId="0" borderId="106" xfId="0" applyFont="1" applyBorder="1" applyAlignment="1">
      <alignment horizontal="left" vertical="top" wrapText="1"/>
    </xf>
    <xf numFmtId="0" fontId="5" fillId="0" borderId="106" xfId="0" applyFont="1" applyBorder="1" applyAlignment="1">
      <alignment horizontal="right" vertical="top" wrapText="1"/>
    </xf>
    <xf numFmtId="0" fontId="5" fillId="0" borderId="106" xfId="0" applyFont="1" applyBorder="1" applyAlignment="1">
      <alignment horizontal="center" vertical="top" wrapText="1"/>
    </xf>
    <xf numFmtId="0" fontId="5" fillId="0" borderId="48" xfId="0" applyFont="1" applyFill="1" applyBorder="1" applyAlignment="1">
      <alignment vertical="top" wrapText="1"/>
    </xf>
    <xf numFmtId="0" fontId="5" fillId="0" borderId="40" xfId="0" applyFont="1" applyFill="1" applyBorder="1" applyAlignment="1">
      <alignment vertical="top" wrapText="1"/>
    </xf>
    <xf numFmtId="0" fontId="5" fillId="0" borderId="107" xfId="0" applyFont="1" applyFill="1" applyBorder="1" applyAlignment="1">
      <alignment vertical="top" wrapText="1"/>
    </xf>
    <xf numFmtId="0" fontId="0" fillId="0" borderId="98" xfId="0" applyFill="1" applyBorder="1" applyAlignment="1">
      <alignment horizontal="left" vertical="top" wrapText="1"/>
    </xf>
    <xf numFmtId="2" fontId="0" fillId="0" borderId="49" xfId="0" applyNumberFormat="1" applyFill="1" applyBorder="1" applyAlignment="1">
      <alignment horizontal="center" vertical="top"/>
    </xf>
    <xf numFmtId="0" fontId="0" fillId="0" borderId="63" xfId="0" applyBorder="1"/>
    <xf numFmtId="0" fontId="0" fillId="0" borderId="108" xfId="0" applyBorder="1"/>
    <xf numFmtId="0" fontId="0" fillId="6" borderId="98" xfId="0" applyFill="1" applyBorder="1" applyAlignment="1">
      <alignment horizontal="left" vertical="top" wrapText="1"/>
    </xf>
    <xf numFmtId="0" fontId="0" fillId="6" borderId="98" xfId="0" quotePrefix="1" applyFill="1" applyBorder="1" applyAlignment="1">
      <alignment horizontal="left" vertical="top" wrapText="1"/>
    </xf>
    <xf numFmtId="173" fontId="3" fillId="0" borderId="76" xfId="16" applyFont="1" applyBorder="1" applyAlignment="1" applyProtection="1">
      <alignment horizontal="center"/>
    </xf>
    <xf numFmtId="0" fontId="3" fillId="0" borderId="76" xfId="0" applyFont="1" applyFill="1" applyBorder="1" applyAlignment="1" applyProtection="1">
      <alignment horizontal="center"/>
    </xf>
    <xf numFmtId="0" fontId="3" fillId="0" borderId="77" xfId="0" applyFont="1" applyFill="1" applyBorder="1" applyAlignment="1" applyProtection="1">
      <alignment horizontal="center"/>
    </xf>
    <xf numFmtId="2" fontId="11" fillId="3" borderId="113" xfId="16" applyNumberFormat="1" applyFont="1" applyFill="1" applyBorder="1" applyAlignment="1" applyProtection="1">
      <alignment horizontal="center" vertical="center" wrapText="1"/>
    </xf>
    <xf numFmtId="2" fontId="11" fillId="3" borderId="128" xfId="16" applyNumberFormat="1" applyFont="1" applyFill="1" applyBorder="1" applyAlignment="1" applyProtection="1">
      <alignment horizontal="center" vertical="center" wrapText="1"/>
    </xf>
    <xf numFmtId="3" fontId="11" fillId="3" borderId="98" xfId="16" applyNumberFormat="1" applyFont="1" applyFill="1" applyBorder="1" applyAlignment="1" applyProtection="1">
      <alignment horizontal="center" vertical="center" wrapText="1"/>
    </xf>
    <xf numFmtId="3" fontId="11" fillId="3" borderId="108" xfId="16" applyNumberFormat="1" applyFont="1" applyFill="1" applyBorder="1" applyAlignment="1" applyProtection="1">
      <alignment horizontal="center" vertical="center" wrapText="1"/>
    </xf>
    <xf numFmtId="2" fontId="11" fillId="3" borderId="98" xfId="16" applyNumberFormat="1" applyFont="1" applyFill="1" applyBorder="1" applyAlignment="1" applyProtection="1">
      <alignment horizontal="center" vertical="center" wrapText="1"/>
    </xf>
    <xf numFmtId="2" fontId="11" fillId="3" borderId="108" xfId="16" applyNumberFormat="1" applyFont="1" applyFill="1" applyBorder="1" applyAlignment="1" applyProtection="1">
      <alignment horizontal="center" vertical="center" wrapText="1"/>
    </xf>
    <xf numFmtId="3" fontId="11" fillId="3" borderId="120" xfId="16" applyNumberFormat="1" applyFont="1" applyFill="1" applyBorder="1" applyAlignment="1" applyProtection="1">
      <alignment horizontal="center" vertical="center" wrapText="1"/>
    </xf>
    <xf numFmtId="3" fontId="11" fillId="3" borderId="111" xfId="16" applyNumberFormat="1" applyFont="1" applyFill="1" applyBorder="1" applyAlignment="1" applyProtection="1">
      <alignment horizontal="center" vertical="center" wrapText="1"/>
    </xf>
    <xf numFmtId="173" fontId="3" fillId="0" borderId="127" xfId="16" applyFont="1" applyBorder="1" applyAlignment="1" applyProtection="1">
      <alignment wrapText="1"/>
    </xf>
    <xf numFmtId="173" fontId="11" fillId="0" borderId="63" xfId="16" applyFont="1" applyBorder="1" applyAlignment="1" applyProtection="1">
      <alignment wrapText="1"/>
    </xf>
    <xf numFmtId="173" fontId="11" fillId="0" borderId="109" xfId="16" applyFont="1" applyBorder="1" applyAlignment="1" applyProtection="1">
      <alignment wrapText="1"/>
    </xf>
    <xf numFmtId="165" fontId="3" fillId="0" borderId="113" xfId="16" applyNumberFormat="1" applyFont="1" applyFill="1" applyBorder="1" applyAlignment="1" applyProtection="1">
      <alignment horizontal="center"/>
    </xf>
    <xf numFmtId="165" fontId="3" fillId="0" borderId="128" xfId="16" applyNumberFormat="1" applyFont="1" applyFill="1" applyBorder="1" applyAlignment="1" applyProtection="1">
      <alignment horizontal="center"/>
    </xf>
    <xf numFmtId="165" fontId="11" fillId="3" borderId="98" xfId="16" applyNumberFormat="1" applyFont="1" applyFill="1" applyBorder="1" applyAlignment="1" applyProtection="1">
      <alignment horizontal="center"/>
    </xf>
    <xf numFmtId="173" fontId="11" fillId="0" borderId="121" xfId="16" applyFont="1" applyBorder="1" applyAlignment="1" applyProtection="1">
      <alignment wrapText="1"/>
    </xf>
    <xf numFmtId="0" fontId="3" fillId="0" borderId="86" xfId="0" applyFont="1" applyBorder="1"/>
    <xf numFmtId="165" fontId="11" fillId="3" borderId="129" xfId="16" applyNumberFormat="1" applyFont="1" applyFill="1" applyBorder="1" applyAlignment="1" applyProtection="1">
      <alignment horizontal="center"/>
    </xf>
    <xf numFmtId="165" fontId="0" fillId="3" borderId="47" xfId="0" applyNumberFormat="1" applyFill="1" applyBorder="1" applyAlignment="1">
      <alignment horizontal="center"/>
    </xf>
    <xf numFmtId="11" fontId="11" fillId="3" borderId="98" xfId="16" applyNumberFormat="1" applyFont="1" applyFill="1" applyBorder="1" applyAlignment="1" applyProtection="1">
      <alignment horizontal="center"/>
    </xf>
    <xf numFmtId="11" fontId="11" fillId="3" borderId="129" xfId="16" applyNumberFormat="1" applyFont="1" applyFill="1" applyBorder="1" applyAlignment="1" applyProtection="1">
      <alignment horizontal="center"/>
    </xf>
    <xf numFmtId="11" fontId="0" fillId="3" borderId="47" xfId="0" applyNumberFormat="1" applyFill="1" applyBorder="1" applyAlignment="1">
      <alignment horizontal="center"/>
    </xf>
    <xf numFmtId="165" fontId="11" fillId="3" borderId="108" xfId="16" applyNumberFormat="1" applyFont="1" applyFill="1" applyBorder="1" applyAlignment="1" applyProtection="1">
      <alignment horizontal="center"/>
    </xf>
    <xf numFmtId="165" fontId="11" fillId="3" borderId="130" xfId="16" applyNumberFormat="1" applyFont="1" applyFill="1" applyBorder="1" applyAlignment="1" applyProtection="1">
      <alignment horizontal="center"/>
    </xf>
    <xf numFmtId="165" fontId="0" fillId="3" borderId="56" xfId="0" applyNumberFormat="1" applyFill="1" applyBorder="1" applyAlignment="1">
      <alignment horizontal="center"/>
    </xf>
    <xf numFmtId="165" fontId="11" fillId="3" borderId="120" xfId="16" applyNumberFormat="1" applyFont="1" applyFill="1" applyBorder="1" applyAlignment="1" applyProtection="1">
      <alignment horizontal="center"/>
    </xf>
    <xf numFmtId="11" fontId="11" fillId="3" borderId="120" xfId="16" applyNumberFormat="1" applyFont="1" applyFill="1" applyBorder="1" applyAlignment="1" applyProtection="1">
      <alignment horizontal="center"/>
    </xf>
    <xf numFmtId="165" fontId="11" fillId="3" borderId="111" xfId="16" applyNumberFormat="1" applyFont="1" applyFill="1" applyBorder="1" applyAlignment="1" applyProtection="1">
      <alignment horizontal="center"/>
    </xf>
    <xf numFmtId="11" fontId="11" fillId="3" borderId="0" xfId="16" applyNumberFormat="1" applyFont="1" applyFill="1" applyBorder="1" applyProtection="1"/>
    <xf numFmtId="11" fontId="11" fillId="3" borderId="7" xfId="16" applyNumberFormat="1" applyFont="1" applyFill="1" applyBorder="1" applyProtection="1"/>
    <xf numFmtId="11" fontId="11" fillId="3" borderId="90" xfId="16" applyNumberFormat="1" applyFont="1" applyFill="1" applyBorder="1" applyProtection="1"/>
    <xf numFmtId="11" fontId="11" fillId="3" borderId="110" xfId="16" applyNumberFormat="1" applyFont="1" applyFill="1" applyBorder="1" applyProtection="1"/>
    <xf numFmtId="165" fontId="11" fillId="3" borderId="0" xfId="16" applyNumberFormat="1" applyFont="1" applyFill="1" applyBorder="1" applyAlignment="1" applyProtection="1">
      <alignment horizontal="center" wrapText="1"/>
    </xf>
    <xf numFmtId="165" fontId="3" fillId="3" borderId="0" xfId="16" applyNumberFormat="1" applyFont="1" applyFill="1" applyBorder="1" applyAlignment="1" applyProtection="1">
      <alignment horizontal="center" wrapText="1"/>
    </xf>
    <xf numFmtId="173" fontId="17" fillId="0" borderId="24" xfId="16" applyFont="1" applyBorder="1" applyProtection="1"/>
    <xf numFmtId="173" fontId="11" fillId="0" borderId="65" xfId="16" applyFont="1" applyBorder="1" applyProtection="1"/>
    <xf numFmtId="0" fontId="3" fillId="0" borderId="65" xfId="0" applyFont="1" applyBorder="1"/>
    <xf numFmtId="0" fontId="3" fillId="0" borderId="65" xfId="0" applyFont="1" applyFill="1" applyBorder="1" applyProtection="1"/>
    <xf numFmtId="0" fontId="3" fillId="0" borderId="66" xfId="0" applyFont="1" applyFill="1" applyBorder="1" applyProtection="1"/>
    <xf numFmtId="0" fontId="0" fillId="0" borderId="7" xfId="0" applyBorder="1"/>
    <xf numFmtId="2" fontId="11" fillId="3" borderId="113" xfId="16" applyNumberFormat="1" applyFont="1" applyFill="1" applyBorder="1" applyAlignment="1" applyProtection="1">
      <alignment vertical="center" wrapText="1"/>
    </xf>
    <xf numFmtId="3" fontId="11" fillId="3" borderId="98" xfId="16" applyNumberFormat="1" applyFont="1" applyFill="1" applyBorder="1" applyAlignment="1" applyProtection="1">
      <alignment vertical="center" wrapText="1"/>
    </xf>
    <xf numFmtId="2" fontId="11" fillId="3" borderId="98" xfId="16" applyNumberFormat="1" applyFont="1" applyFill="1" applyBorder="1" applyAlignment="1" applyProtection="1">
      <alignment vertical="center" wrapText="1"/>
    </xf>
    <xf numFmtId="3" fontId="11" fillId="3" borderId="120" xfId="16" applyNumberFormat="1" applyFont="1" applyFill="1" applyBorder="1" applyAlignment="1" applyProtection="1">
      <alignment vertical="center" wrapText="1"/>
    </xf>
    <xf numFmtId="11" fontId="0" fillId="3" borderId="113" xfId="0" applyNumberFormat="1" applyFill="1" applyBorder="1"/>
    <xf numFmtId="165" fontId="0" fillId="3" borderId="128" xfId="0" applyNumberFormat="1" applyFill="1" applyBorder="1"/>
    <xf numFmtId="2" fontId="0" fillId="3" borderId="98" xfId="0" applyNumberFormat="1" applyFill="1" applyBorder="1"/>
    <xf numFmtId="2" fontId="0" fillId="3" borderId="108" xfId="0" applyNumberFormat="1" applyFill="1" applyBorder="1"/>
    <xf numFmtId="0" fontId="0" fillId="3" borderId="108" xfId="0" applyFill="1" applyBorder="1"/>
    <xf numFmtId="11" fontId="0" fillId="3" borderId="120" xfId="0" applyNumberFormat="1" applyFill="1" applyBorder="1"/>
    <xf numFmtId="165" fontId="0" fillId="3" borderId="111" xfId="0" applyNumberFormat="1" applyFill="1" applyBorder="1"/>
    <xf numFmtId="173" fontId="3" fillId="0" borderId="75" xfId="16" applyFont="1" applyBorder="1" applyAlignment="1" applyProtection="1">
      <alignment wrapText="1"/>
    </xf>
    <xf numFmtId="173" fontId="5" fillId="0" borderId="76" xfId="16" applyFont="1" applyFill="1" applyBorder="1" applyAlignment="1" applyProtection="1">
      <alignment horizontal="center" wrapText="1"/>
    </xf>
    <xf numFmtId="173" fontId="5" fillId="0" borderId="76" xfId="16" applyFont="1" applyBorder="1" applyAlignment="1" applyProtection="1">
      <alignment horizontal="center" vertical="center" wrapText="1"/>
    </xf>
    <xf numFmtId="165" fontId="5" fillId="0" borderId="76" xfId="16" applyNumberFormat="1" applyFont="1" applyFill="1" applyBorder="1" applyAlignment="1" applyProtection="1">
      <alignment horizontal="center" vertical="center" wrapText="1"/>
    </xf>
    <xf numFmtId="165" fontId="5" fillId="0" borderId="77" xfId="16" applyNumberFormat="1" applyFont="1" applyFill="1" applyBorder="1" applyAlignment="1" applyProtection="1">
      <alignment horizontal="center" vertical="center" wrapText="1"/>
    </xf>
    <xf numFmtId="173" fontId="11" fillId="0" borderId="127" xfId="16" applyFont="1" applyBorder="1" applyAlignment="1" applyProtection="1">
      <alignment wrapText="1"/>
    </xf>
    <xf numFmtId="165" fontId="11" fillId="3" borderId="113" xfId="16" applyNumberFormat="1" applyFont="1" applyFill="1" applyBorder="1" applyAlignment="1" applyProtection="1">
      <alignment horizontal="center" wrapText="1"/>
    </xf>
    <xf numFmtId="165" fontId="11" fillId="3" borderId="113" xfId="16" applyNumberFormat="1" applyFont="1" applyFill="1" applyBorder="1" applyAlignment="1" applyProtection="1">
      <alignment horizontal="center"/>
    </xf>
    <xf numFmtId="173" fontId="11" fillId="3" borderId="113" xfId="16" applyFont="1" applyFill="1" applyBorder="1" applyAlignment="1" applyProtection="1">
      <alignment horizontal="center"/>
    </xf>
    <xf numFmtId="165" fontId="11" fillId="3" borderId="98" xfId="16" applyNumberFormat="1" applyFont="1" applyFill="1" applyBorder="1" applyAlignment="1" applyProtection="1">
      <alignment horizontal="center" wrapText="1"/>
    </xf>
    <xf numFmtId="173" fontId="11" fillId="3" borderId="98" xfId="16" applyFont="1" applyFill="1" applyBorder="1" applyAlignment="1" applyProtection="1">
      <alignment horizontal="center"/>
    </xf>
    <xf numFmtId="173" fontId="11" fillId="3" borderId="108" xfId="16" applyFont="1" applyFill="1" applyBorder="1" applyAlignment="1" applyProtection="1">
      <alignment horizontal="center"/>
    </xf>
    <xf numFmtId="173" fontId="11" fillId="0" borderId="131" xfId="16" applyFont="1" applyBorder="1" applyAlignment="1" applyProtection="1">
      <alignment wrapText="1"/>
    </xf>
    <xf numFmtId="165" fontId="11" fillId="3" borderId="118" xfId="16" applyNumberFormat="1" applyFont="1" applyFill="1" applyBorder="1" applyAlignment="1" applyProtection="1">
      <alignment horizontal="center" wrapText="1"/>
    </xf>
    <xf numFmtId="165" fontId="11" fillId="3" borderId="118" xfId="16" applyNumberFormat="1" applyFont="1" applyFill="1" applyBorder="1" applyAlignment="1" applyProtection="1">
      <alignment horizontal="center"/>
    </xf>
    <xf numFmtId="173" fontId="11" fillId="3" borderId="118" xfId="16" applyFont="1" applyFill="1" applyBorder="1" applyAlignment="1" applyProtection="1">
      <alignment horizontal="center"/>
    </xf>
    <xf numFmtId="173" fontId="5" fillId="0" borderId="81" xfId="16" applyFont="1" applyFill="1" applyBorder="1" applyAlignment="1" applyProtection="1">
      <alignment wrapText="1"/>
    </xf>
    <xf numFmtId="165" fontId="3" fillId="0" borderId="2" xfId="16" applyNumberFormat="1" applyFont="1" applyFill="1" applyBorder="1" applyAlignment="1" applyProtection="1">
      <alignment horizontal="center" wrapText="1"/>
    </xf>
    <xf numFmtId="165" fontId="11" fillId="3" borderId="120" xfId="16" applyNumberFormat="1" applyFont="1" applyFill="1" applyBorder="1" applyAlignment="1" applyProtection="1">
      <alignment horizontal="center" wrapText="1"/>
    </xf>
    <xf numFmtId="173" fontId="11" fillId="3" borderId="120" xfId="16" applyFont="1" applyFill="1" applyBorder="1" applyAlignment="1" applyProtection="1">
      <alignment horizontal="center"/>
    </xf>
    <xf numFmtId="173" fontId="11" fillId="3" borderId="111" xfId="16" applyFont="1" applyFill="1" applyBorder="1" applyAlignment="1" applyProtection="1">
      <alignment horizontal="center"/>
    </xf>
    <xf numFmtId="11" fontId="11" fillId="0" borderId="0" xfId="16" applyNumberFormat="1" applyFont="1" applyFill="1" applyBorder="1" applyProtection="1"/>
    <xf numFmtId="11" fontId="11" fillId="0" borderId="7" xfId="16" applyNumberFormat="1" applyFont="1" applyFill="1" applyBorder="1" applyProtection="1"/>
    <xf numFmtId="173" fontId="3" fillId="0" borderId="6" xfId="16" applyFont="1" applyFill="1" applyBorder="1" applyAlignment="1" applyProtection="1">
      <alignment wrapText="1"/>
    </xf>
    <xf numFmtId="173" fontId="3" fillId="0" borderId="63" xfId="16" applyFont="1" applyFill="1" applyBorder="1" applyAlignment="1" applyProtection="1">
      <alignment wrapText="1"/>
    </xf>
    <xf numFmtId="165" fontId="11" fillId="0" borderId="98" xfId="16" applyNumberFormat="1" applyFont="1" applyFill="1" applyBorder="1" applyAlignment="1" applyProtection="1">
      <alignment horizontal="center"/>
    </xf>
    <xf numFmtId="11" fontId="11" fillId="0" borderId="98" xfId="16" applyNumberFormat="1" applyFont="1" applyFill="1" applyBorder="1" applyAlignment="1" applyProtection="1">
      <alignment horizontal="center"/>
    </xf>
    <xf numFmtId="165" fontId="11" fillId="0" borderId="108" xfId="16" applyNumberFormat="1" applyFont="1" applyFill="1" applyBorder="1" applyAlignment="1" applyProtection="1">
      <alignment horizontal="center"/>
    </xf>
    <xf numFmtId="0" fontId="17" fillId="0" borderId="24" xfId="0" applyFont="1" applyBorder="1"/>
    <xf numFmtId="0" fontId="0" fillId="0" borderId="66" xfId="0" applyBorder="1"/>
    <xf numFmtId="0" fontId="4" fillId="0" borderId="6" xfId="5" applyBorder="1" applyAlignment="1" applyProtection="1"/>
    <xf numFmtId="0" fontId="4" fillId="0" borderId="67" xfId="5" applyBorder="1" applyAlignment="1" applyProtection="1"/>
    <xf numFmtId="0" fontId="0" fillId="0" borderId="110" xfId="0" applyBorder="1"/>
    <xf numFmtId="0" fontId="11" fillId="6" borderId="133" xfId="0" applyFont="1" applyFill="1" applyBorder="1" applyAlignment="1" applyProtection="1">
      <alignment wrapText="1"/>
      <protection locked="0"/>
    </xf>
    <xf numFmtId="0" fontId="11" fillId="6" borderId="19" xfId="0" applyFont="1" applyFill="1" applyBorder="1" applyAlignment="1" applyProtection="1">
      <alignment wrapText="1"/>
      <protection locked="0"/>
    </xf>
    <xf numFmtId="0" fontId="11" fillId="6" borderId="134" xfId="0" applyFont="1" applyFill="1" applyBorder="1" applyAlignment="1" applyProtection="1">
      <alignment wrapText="1"/>
      <protection locked="0"/>
    </xf>
    <xf numFmtId="42" fontId="11" fillId="3" borderId="69" xfId="1" applyNumberFormat="1" applyFont="1" applyFill="1" applyBorder="1" applyAlignment="1" applyProtection="1">
      <alignment wrapText="1"/>
      <protection locked="0"/>
    </xf>
    <xf numFmtId="2" fontId="11" fillId="5" borderId="135" xfId="0" applyNumberFormat="1" applyFont="1" applyFill="1" applyBorder="1" applyAlignment="1" applyProtection="1">
      <alignment wrapText="1"/>
      <protection locked="0"/>
    </xf>
    <xf numFmtId="42" fontId="11" fillId="3" borderId="135" xfId="0" applyNumberFormat="1" applyFont="1" applyFill="1" applyBorder="1" applyAlignment="1" applyProtection="1">
      <alignment wrapText="1"/>
      <protection locked="0"/>
    </xf>
    <xf numFmtId="42" fontId="11" fillId="3" borderId="135" xfId="1" applyNumberFormat="1" applyFont="1" applyFill="1" applyBorder="1" applyAlignment="1" applyProtection="1">
      <alignment wrapText="1"/>
      <protection locked="0"/>
    </xf>
    <xf numFmtId="0" fontId="11" fillId="6" borderId="135" xfId="0" applyFont="1" applyFill="1" applyBorder="1" applyAlignment="1" applyProtection="1">
      <alignment wrapText="1"/>
      <protection locked="0"/>
    </xf>
    <xf numFmtId="2" fontId="11" fillId="5" borderId="8" xfId="1" applyNumberFormat="1" applyFont="1" applyFill="1" applyBorder="1" applyAlignment="1" applyProtection="1">
      <alignment wrapText="1"/>
      <protection locked="0"/>
    </xf>
    <xf numFmtId="42" fontId="11" fillId="3" borderId="8" xfId="0" applyNumberFormat="1" applyFont="1" applyFill="1" applyBorder="1" applyAlignment="1" applyProtection="1">
      <alignment wrapText="1"/>
      <protection locked="0"/>
    </xf>
    <xf numFmtId="42" fontId="11" fillId="3" borderId="8" xfId="1" applyNumberFormat="1" applyFont="1" applyFill="1" applyBorder="1" applyAlignment="1" applyProtection="1">
      <alignment wrapText="1"/>
      <protection locked="0"/>
    </xf>
    <xf numFmtId="0" fontId="11" fillId="6" borderId="8" xfId="0" applyFont="1" applyFill="1" applyBorder="1" applyAlignment="1" applyProtection="1">
      <alignment wrapText="1"/>
      <protection locked="0"/>
    </xf>
    <xf numFmtId="2" fontId="3" fillId="5" borderId="8" xfId="0" applyNumberFormat="1" applyFont="1" applyFill="1" applyBorder="1" applyAlignment="1" applyProtection="1">
      <alignment wrapText="1"/>
      <protection locked="0"/>
    </xf>
    <xf numFmtId="2" fontId="3" fillId="5" borderId="136" xfId="0" applyNumberFormat="1" applyFont="1" applyFill="1" applyBorder="1" applyAlignment="1" applyProtection="1">
      <alignment wrapText="1"/>
      <protection locked="0"/>
    </xf>
    <xf numFmtId="42" fontId="11" fillId="3" borderId="136" xfId="0" applyNumberFormat="1" applyFont="1" applyFill="1" applyBorder="1" applyAlignment="1" applyProtection="1">
      <alignment wrapText="1"/>
      <protection locked="0"/>
    </xf>
    <xf numFmtId="42" fontId="11" fillId="3" borderId="136" xfId="1" applyNumberFormat="1" applyFont="1" applyFill="1" applyBorder="1" applyAlignment="1" applyProtection="1">
      <alignment wrapText="1"/>
      <protection locked="0"/>
    </xf>
    <xf numFmtId="0" fontId="11" fillId="6" borderId="136" xfId="0" applyFont="1" applyFill="1" applyBorder="1" applyAlignment="1" applyProtection="1">
      <alignment wrapText="1"/>
      <protection locked="0"/>
    </xf>
    <xf numFmtId="0" fontId="11" fillId="3" borderId="137" xfId="0" applyFont="1" applyFill="1" applyBorder="1" applyAlignment="1" applyProtection="1">
      <alignment horizontal="left" wrapText="1"/>
      <protection locked="0"/>
    </xf>
    <xf numFmtId="0" fontId="11" fillId="3" borderId="138" xfId="0" applyFont="1" applyFill="1" applyBorder="1" applyAlignment="1" applyProtection="1">
      <alignment horizontal="left" wrapText="1"/>
      <protection locked="0"/>
    </xf>
    <xf numFmtId="2" fontId="11" fillId="3" borderId="135" xfId="0" applyNumberFormat="1" applyFont="1" applyFill="1" applyBorder="1" applyAlignment="1" applyProtection="1">
      <alignment wrapText="1"/>
      <protection locked="0"/>
    </xf>
    <xf numFmtId="2" fontId="11" fillId="3" borderId="8" xfId="0" applyNumberFormat="1" applyFont="1" applyFill="1" applyBorder="1" applyAlignment="1" applyProtection="1">
      <alignment wrapText="1"/>
      <protection locked="0"/>
    </xf>
    <xf numFmtId="41" fontId="3" fillId="3" borderId="69" xfId="0" applyNumberFormat="1" applyFont="1" applyFill="1" applyBorder="1" applyAlignment="1" applyProtection="1">
      <alignment wrapText="1"/>
      <protection locked="0"/>
    </xf>
    <xf numFmtId="0" fontId="38" fillId="2" borderId="24" xfId="0" applyFont="1" applyFill="1" applyBorder="1" applyProtection="1">
      <protection locked="0"/>
    </xf>
    <xf numFmtId="0" fontId="37" fillId="2" borderId="65" xfId="0" applyFont="1" applyFill="1" applyBorder="1" applyProtection="1">
      <protection locked="0"/>
    </xf>
    <xf numFmtId="0" fontId="30" fillId="0" borderId="0" xfId="0" applyFont="1" applyFill="1" applyBorder="1" applyProtection="1">
      <protection locked="0"/>
    </xf>
    <xf numFmtId="0" fontId="12" fillId="2" borderId="6" xfId="0" applyFont="1" applyFill="1" applyBorder="1" applyAlignment="1" applyProtection="1">
      <alignment horizontal="left" vertical="top"/>
      <protection locked="0"/>
    </xf>
    <xf numFmtId="3" fontId="12" fillId="3" borderId="57" xfId="0" applyNumberFormat="1" applyFont="1" applyFill="1" applyBorder="1" applyAlignment="1" applyProtection="1">
      <alignment horizontal="left" vertical="top"/>
      <protection locked="0"/>
    </xf>
    <xf numFmtId="0" fontId="0" fillId="2" borderId="0" xfId="0" applyFill="1" applyBorder="1" applyProtection="1">
      <protection locked="0"/>
    </xf>
    <xf numFmtId="0" fontId="0" fillId="0" borderId="0" xfId="0" applyFill="1" applyBorder="1" applyProtection="1">
      <protection locked="0"/>
    </xf>
    <xf numFmtId="2" fontId="12" fillId="3" borderId="57" xfId="0" applyNumberFormat="1" applyFont="1" applyFill="1" applyBorder="1" applyAlignment="1" applyProtection="1">
      <alignment horizontal="left" vertical="top"/>
      <protection locked="0"/>
    </xf>
    <xf numFmtId="2" fontId="11" fillId="2" borderId="0" xfId="0" applyNumberFormat="1" applyFont="1" applyFill="1" applyBorder="1" applyAlignment="1" applyProtection="1">
      <alignment horizontal="left" vertical="top" wrapText="1"/>
      <protection locked="0"/>
    </xf>
    <xf numFmtId="2" fontId="12" fillId="5" borderId="57" xfId="0" applyNumberFormat="1" applyFont="1" applyFill="1" applyBorder="1" applyAlignment="1" applyProtection="1">
      <alignment horizontal="left" vertical="top"/>
      <protection locked="0"/>
    </xf>
    <xf numFmtId="3" fontId="12" fillId="5" borderId="57" xfId="0" applyNumberFormat="1" applyFont="1" applyFill="1" applyBorder="1" applyAlignment="1" applyProtection="1">
      <alignment horizontal="left" vertical="top"/>
      <protection locked="0"/>
    </xf>
    <xf numFmtId="2" fontId="12" fillId="0" borderId="0" xfId="0" applyNumberFormat="1" applyFont="1" applyFill="1" applyBorder="1" applyAlignment="1" applyProtection="1">
      <alignment horizontal="left" vertical="top"/>
      <protection locked="0"/>
    </xf>
    <xf numFmtId="0" fontId="0" fillId="2" borderId="6" xfId="0" applyFill="1" applyBorder="1" applyProtection="1">
      <protection locked="0"/>
    </xf>
    <xf numFmtId="0" fontId="37" fillId="2" borderId="110" xfId="0" applyFont="1" applyFill="1" applyBorder="1" applyProtection="1">
      <protection locked="0"/>
    </xf>
    <xf numFmtId="0" fontId="43" fillId="2" borderId="0" xfId="0" applyFont="1" applyFill="1" applyBorder="1" applyAlignment="1">
      <alignment horizontal="right" vertical="center" wrapText="1"/>
    </xf>
    <xf numFmtId="0" fontId="0" fillId="0" borderId="0" xfId="0" applyAlignment="1">
      <alignment horizontal="left" vertical="top" wrapText="1"/>
    </xf>
    <xf numFmtId="173" fontId="11" fillId="0" borderId="63" xfId="16" applyFont="1" applyBorder="1" applyAlignment="1" applyProtection="1">
      <alignment horizontal="left" vertical="center" wrapText="1"/>
    </xf>
    <xf numFmtId="173" fontId="11" fillId="0" borderId="98" xfId="16" applyFont="1" applyBorder="1" applyAlignment="1" applyProtection="1">
      <alignment horizontal="left" vertical="center" wrapText="1"/>
    </xf>
    <xf numFmtId="0" fontId="48" fillId="2" borderId="94" xfId="0" applyFont="1" applyFill="1" applyBorder="1" applyAlignment="1">
      <alignment horizontal="left" vertical="center" wrapText="1"/>
    </xf>
    <xf numFmtId="0" fontId="43" fillId="2" borderId="95" xfId="0" applyFont="1" applyFill="1" applyBorder="1" applyAlignment="1">
      <alignment horizontal="center" vertical="top" wrapText="1"/>
    </xf>
    <xf numFmtId="0" fontId="43" fillId="2" borderId="95" xfId="0" applyFont="1" applyFill="1" applyBorder="1" applyAlignment="1">
      <alignment horizontal="right" vertical="center" wrapText="1"/>
    </xf>
    <xf numFmtId="0" fontId="0" fillId="5" borderId="0" xfId="0" applyFill="1"/>
    <xf numFmtId="0" fontId="0" fillId="3" borderId="0" xfId="0" applyFill="1"/>
    <xf numFmtId="0" fontId="0" fillId="4" borderId="0" xfId="0" applyFill="1"/>
    <xf numFmtId="173" fontId="48" fillId="0" borderId="0" xfId="16" applyFont="1" applyAlignment="1">
      <alignment horizontal="left"/>
    </xf>
    <xf numFmtId="0" fontId="3" fillId="0" borderId="0" xfId="0" applyFont="1" applyProtection="1">
      <protection locked="0"/>
    </xf>
    <xf numFmtId="0" fontId="0" fillId="0" borderId="0" xfId="0" applyAlignment="1" applyProtection="1">
      <protection locked="0"/>
    </xf>
    <xf numFmtId="0" fontId="3" fillId="0" borderId="0" xfId="0" applyFont="1" applyAlignment="1" applyProtection="1">
      <protection locked="0"/>
    </xf>
    <xf numFmtId="0" fontId="3" fillId="0" borderId="0" xfId="0" applyFont="1" applyFill="1" applyBorder="1" applyAlignment="1" applyProtection="1">
      <alignment horizontal="left" vertical="center" wrapText="1"/>
      <protection locked="0"/>
    </xf>
    <xf numFmtId="0" fontId="49" fillId="6" borderId="8" xfId="0" applyFont="1" applyFill="1" applyBorder="1" applyAlignment="1" applyProtection="1">
      <alignment wrapText="1"/>
      <protection locked="0"/>
    </xf>
    <xf numFmtId="0" fontId="3" fillId="0" borderId="13" xfId="0" applyFont="1" applyBorder="1" applyAlignment="1" applyProtection="1">
      <alignment horizontal="right"/>
      <protection locked="0"/>
    </xf>
    <xf numFmtId="0" fontId="11" fillId="6" borderId="99" xfId="0" applyFont="1" applyFill="1" applyBorder="1" applyAlignment="1" applyProtection="1">
      <alignment horizontal="left" wrapText="1"/>
      <protection locked="0"/>
    </xf>
    <xf numFmtId="0" fontId="11" fillId="0" borderId="0" xfId="0" applyFont="1" applyFill="1" applyBorder="1" applyAlignment="1" applyProtection="1">
      <alignment wrapText="1"/>
      <protection locked="0"/>
    </xf>
    <xf numFmtId="0" fontId="3" fillId="0" borderId="17" xfId="0" applyFont="1" applyBorder="1" applyAlignment="1" applyProtection="1">
      <alignment horizontal="right"/>
      <protection locked="0"/>
    </xf>
    <xf numFmtId="0" fontId="4" fillId="6" borderId="100" xfId="5" applyFont="1" applyFill="1" applyBorder="1" applyAlignment="1" applyProtection="1">
      <alignment wrapText="1"/>
      <protection locked="0"/>
    </xf>
    <xf numFmtId="0" fontId="4" fillId="0" borderId="0" xfId="5" applyFont="1" applyFill="1" applyBorder="1" applyAlignment="1" applyProtection="1">
      <alignment wrapText="1"/>
      <protection locked="0"/>
    </xf>
    <xf numFmtId="15" fontId="11" fillId="6" borderId="100" xfId="0" applyNumberFormat="1" applyFont="1" applyFill="1" applyBorder="1" applyAlignment="1" applyProtection="1">
      <alignment horizontal="left" wrapText="1"/>
      <protection locked="0"/>
    </xf>
    <xf numFmtId="15" fontId="11" fillId="0" borderId="0" xfId="0" applyNumberFormat="1" applyFont="1" applyFill="1" applyBorder="1" applyAlignment="1" applyProtection="1">
      <alignment horizontal="left" wrapText="1"/>
      <protection locked="0"/>
    </xf>
    <xf numFmtId="0" fontId="3" fillId="0" borderId="20" xfId="0" applyFont="1" applyBorder="1" applyAlignment="1" applyProtection="1">
      <alignment horizontal="right"/>
      <protection locked="0"/>
    </xf>
    <xf numFmtId="0" fontId="3" fillId="0" borderId="0" xfId="0" applyFont="1" applyFill="1" applyBorder="1" applyAlignment="1" applyProtection="1">
      <alignment horizontal="right"/>
      <protection locked="0"/>
    </xf>
    <xf numFmtId="0" fontId="11" fillId="0" borderId="0" xfId="0" applyFont="1" applyFill="1" applyBorder="1" applyProtection="1">
      <protection locked="0"/>
    </xf>
    <xf numFmtId="0" fontId="11" fillId="6" borderId="16" xfId="0" applyFont="1" applyFill="1" applyBorder="1" applyAlignment="1" applyProtection="1">
      <alignment horizontal="left" wrapText="1"/>
      <protection locked="0"/>
    </xf>
    <xf numFmtId="0" fontId="11" fillId="0" borderId="0" xfId="0" applyFont="1" applyProtection="1">
      <protection locked="0"/>
    </xf>
    <xf numFmtId="0" fontId="11" fillId="6" borderId="19" xfId="0" applyFont="1" applyFill="1" applyBorder="1" applyAlignment="1" applyProtection="1">
      <alignment horizontal="left" wrapText="1"/>
      <protection locked="0"/>
    </xf>
    <xf numFmtId="0" fontId="19" fillId="0" borderId="0" xfId="0" applyFont="1" applyAlignment="1" applyProtection="1">
      <protection locked="0"/>
    </xf>
    <xf numFmtId="0" fontId="19" fillId="0" borderId="0" xfId="0" applyFont="1" applyProtection="1">
      <protection locked="0"/>
    </xf>
    <xf numFmtId="0" fontId="3" fillId="0" borderId="17" xfId="0" applyFont="1" applyBorder="1" applyAlignment="1" applyProtection="1">
      <alignment horizontal="right" wrapText="1"/>
      <protection locked="0"/>
    </xf>
    <xf numFmtId="0" fontId="11" fillId="6" borderId="23" xfId="0" applyFont="1" applyFill="1" applyBorder="1" applyAlignment="1" applyProtection="1">
      <alignment wrapText="1"/>
      <protection locked="0"/>
    </xf>
    <xf numFmtId="0" fontId="3" fillId="0" borderId="0" xfId="0" applyFont="1" applyAlignment="1" applyProtection="1">
      <alignment horizontal="right"/>
      <protection locked="0"/>
    </xf>
    <xf numFmtId="0" fontId="3" fillId="0" borderId="17" xfId="0" applyFont="1" applyBorder="1" applyProtection="1">
      <protection locked="0"/>
    </xf>
    <xf numFmtId="0" fontId="3" fillId="0" borderId="8" xfId="0" applyFont="1" applyBorder="1" applyProtection="1">
      <protection locked="0"/>
    </xf>
    <xf numFmtId="0" fontId="3" fillId="0" borderId="19" xfId="0" applyFont="1" applyBorder="1" applyAlignment="1" applyProtection="1">
      <alignment wrapText="1"/>
      <protection locked="0"/>
    </xf>
    <xf numFmtId="15" fontId="11" fillId="6" borderId="17" xfId="0" applyNumberFormat="1" applyFont="1" applyFill="1" applyBorder="1" applyAlignment="1" applyProtection="1">
      <alignment horizontal="right" wrapText="1"/>
      <protection locked="0"/>
    </xf>
    <xf numFmtId="14" fontId="11" fillId="6" borderId="8" xfId="0" applyNumberFormat="1" applyFont="1" applyFill="1" applyBorder="1" applyAlignment="1" applyProtection="1">
      <alignment wrapText="1"/>
      <protection locked="0"/>
    </xf>
    <xf numFmtId="15" fontId="11" fillId="6" borderId="17" xfId="0" applyNumberFormat="1" applyFont="1" applyFill="1" applyBorder="1" applyAlignment="1" applyProtection="1">
      <alignment wrapText="1"/>
      <protection locked="0"/>
    </xf>
    <xf numFmtId="15" fontId="11" fillId="6" borderId="20" xfId="0" applyNumberFormat="1" applyFont="1" applyFill="1" applyBorder="1" applyProtection="1">
      <protection locked="0"/>
    </xf>
    <xf numFmtId="14" fontId="11" fillId="6" borderId="22" xfId="0" applyNumberFormat="1" applyFont="1" applyFill="1" applyBorder="1" applyAlignment="1" applyProtection="1">
      <alignment wrapText="1"/>
      <protection locked="0"/>
    </xf>
    <xf numFmtId="0" fontId="48" fillId="0" borderId="0" xfId="0" applyFont="1" applyProtection="1"/>
    <xf numFmtId="0" fontId="3" fillId="0" borderId="0" xfId="0" applyFont="1" applyFill="1" applyBorder="1" applyAlignment="1" applyProtection="1">
      <alignment horizontal="left" vertical="center"/>
    </xf>
    <xf numFmtId="0" fontId="40" fillId="0" borderId="0" xfId="0" applyFont="1" applyAlignment="1">
      <alignment horizontal="right"/>
    </xf>
    <xf numFmtId="0" fontId="50" fillId="0" borderId="0" xfId="0" applyFont="1"/>
    <xf numFmtId="0" fontId="50" fillId="0" borderId="0" xfId="0" applyFont="1" applyAlignment="1">
      <alignment vertical="top" wrapText="1"/>
    </xf>
    <xf numFmtId="0" fontId="50" fillId="0" borderId="0" xfId="0" applyFont="1" applyAlignment="1">
      <alignment horizontal="left" vertical="top" wrapText="1"/>
    </xf>
    <xf numFmtId="0" fontId="40" fillId="0" borderId="0" xfId="0" applyFont="1" applyAlignment="1">
      <alignment horizontal="right" vertical="top" wrapText="1"/>
    </xf>
    <xf numFmtId="0" fontId="12" fillId="0" borderId="0" xfId="0" applyFont="1" applyAlignment="1">
      <alignment vertical="top" wrapText="1"/>
    </xf>
    <xf numFmtId="0" fontId="51" fillId="0" borderId="0" xfId="5" applyFont="1" applyAlignment="1" applyProtection="1">
      <alignment horizontal="left" vertical="top" wrapText="1"/>
    </xf>
    <xf numFmtId="4" fontId="11" fillId="3" borderId="98" xfId="16" applyNumberFormat="1" applyFont="1" applyFill="1" applyBorder="1" applyAlignment="1" applyProtection="1">
      <alignment horizontal="center" vertical="center" wrapText="1"/>
    </xf>
    <xf numFmtId="4" fontId="11" fillId="3" borderId="108" xfId="16" applyNumberFormat="1" applyFont="1" applyFill="1" applyBorder="1" applyAlignment="1" applyProtection="1">
      <alignment horizontal="center" vertical="center" wrapText="1"/>
    </xf>
    <xf numFmtId="0" fontId="3" fillId="6" borderId="0" xfId="0" applyFont="1" applyFill="1" applyBorder="1" applyAlignment="1">
      <alignment horizontal="left" vertical="top" wrapText="1"/>
    </xf>
    <xf numFmtId="0" fontId="37" fillId="2" borderId="95" xfId="0" applyFont="1" applyFill="1" applyBorder="1" applyAlignment="1">
      <alignment vertical="top" wrapText="1"/>
    </xf>
    <xf numFmtId="0" fontId="37" fillId="2" borderId="96" xfId="0" applyFont="1" applyFill="1" applyBorder="1" applyAlignment="1">
      <alignment vertical="top" wrapText="1"/>
    </xf>
    <xf numFmtId="0" fontId="41" fillId="2" borderId="4" xfId="0" applyFont="1" applyFill="1" applyBorder="1" applyAlignment="1">
      <alignment horizontal="left" vertical="center" wrapText="1"/>
    </xf>
    <xf numFmtId="5" fontId="11" fillId="3" borderId="57" xfId="0" applyNumberFormat="1" applyFont="1" applyFill="1" applyBorder="1" applyAlignment="1">
      <alignment vertical="top" wrapText="1"/>
    </xf>
    <xf numFmtId="0" fontId="51" fillId="2" borderId="4" xfId="5" applyFont="1" applyFill="1" applyBorder="1" applyAlignment="1" applyProtection="1">
      <alignment horizontal="left" vertical="center" wrapText="1"/>
    </xf>
    <xf numFmtId="5" fontId="0" fillId="3" borderId="57" xfId="0" applyNumberFormat="1" applyFill="1" applyBorder="1"/>
    <xf numFmtId="0" fontId="10" fillId="2" borderId="0" xfId="0" applyFont="1" applyFill="1" applyBorder="1" applyAlignment="1">
      <alignment vertical="top" wrapText="1"/>
    </xf>
    <xf numFmtId="0" fontId="40" fillId="0" borderId="0" xfId="0" applyFont="1" applyFill="1" applyBorder="1" applyAlignment="1">
      <alignment vertical="top" wrapText="1"/>
    </xf>
    <xf numFmtId="44" fontId="11" fillId="0" borderId="0" xfId="0" applyNumberFormat="1" applyFont="1" applyAlignment="1">
      <alignment vertical="top" wrapText="1"/>
    </xf>
    <xf numFmtId="0" fontId="0" fillId="16" borderId="0" xfId="0" applyFill="1"/>
    <xf numFmtId="0" fontId="3" fillId="0" borderId="4" xfId="0" applyFont="1" applyFill="1" applyBorder="1" applyAlignment="1">
      <alignment vertical="center" wrapText="1"/>
    </xf>
    <xf numFmtId="169" fontId="11" fillId="3" borderId="142" xfId="16" applyNumberFormat="1" applyFont="1" applyFill="1" applyBorder="1" applyProtection="1"/>
    <xf numFmtId="169" fontId="3" fillId="3" borderId="22" xfId="16" applyNumberFormat="1" applyFont="1" applyFill="1" applyBorder="1" applyProtection="1"/>
    <xf numFmtId="0" fontId="0" fillId="0" borderId="47" xfId="0" quotePrefix="1" applyBorder="1" applyAlignment="1" applyProtection="1">
      <alignment wrapText="1"/>
    </xf>
    <xf numFmtId="173" fontId="11" fillId="0" borderId="0" xfId="16" quotePrefix="1" applyFont="1" applyProtection="1"/>
    <xf numFmtId="165" fontId="17" fillId="3" borderId="8" xfId="0" applyNumberFormat="1" applyFont="1" applyFill="1" applyBorder="1" applyAlignment="1" applyProtection="1">
      <alignment wrapText="1"/>
    </xf>
    <xf numFmtId="165" fontId="17" fillId="3" borderId="19" xfId="0" applyNumberFormat="1" applyFont="1" applyFill="1" applyBorder="1" applyAlignment="1" applyProtection="1">
      <alignment wrapText="1"/>
    </xf>
    <xf numFmtId="0" fontId="0" fillId="6" borderId="98" xfId="0" applyNumberFormat="1" applyFill="1" applyBorder="1" applyAlignment="1">
      <alignment horizontal="left" vertical="top" wrapText="1"/>
    </xf>
    <xf numFmtId="167" fontId="0" fillId="0" borderId="98" xfId="0" applyNumberFormat="1" applyFill="1" applyBorder="1" applyAlignment="1">
      <alignment horizontal="left" vertical="top" wrapText="1"/>
    </xf>
    <xf numFmtId="3" fontId="0" fillId="0" borderId="112" xfId="0" applyNumberFormat="1" applyBorder="1"/>
    <xf numFmtId="3" fontId="0" fillId="0" borderId="113" xfId="0" applyNumberFormat="1" applyBorder="1"/>
    <xf numFmtId="3" fontId="0" fillId="0" borderId="114" xfId="0" applyNumberFormat="1" applyBorder="1"/>
    <xf numFmtId="165" fontId="0" fillId="0" borderId="113" xfId="0" applyNumberFormat="1" applyBorder="1"/>
    <xf numFmtId="3" fontId="0" fillId="0" borderId="115" xfId="0" applyNumberFormat="1" applyBorder="1"/>
    <xf numFmtId="3" fontId="0" fillId="0" borderId="98" xfId="0" applyNumberFormat="1" applyBorder="1"/>
    <xf numFmtId="3" fontId="0" fillId="0" borderId="116" xfId="0" applyNumberFormat="1" applyBorder="1"/>
    <xf numFmtId="165" fontId="0" fillId="0" borderId="98" xfId="0" applyNumberFormat="1" applyBorder="1"/>
    <xf numFmtId="165" fontId="0" fillId="0" borderId="115" xfId="0" applyNumberFormat="1" applyBorder="1"/>
    <xf numFmtId="165" fontId="0" fillId="0" borderId="116" xfId="0" applyNumberFormat="1" applyBorder="1"/>
    <xf numFmtId="164" fontId="0" fillId="5" borderId="62" xfId="0" applyNumberFormat="1" applyFill="1" applyBorder="1" applyAlignment="1">
      <alignment vertical="top" wrapText="1"/>
    </xf>
    <xf numFmtId="3" fontId="0" fillId="3" borderId="88" xfId="0" applyNumberFormat="1" applyFill="1" applyBorder="1" applyAlignment="1">
      <alignment vertical="top" wrapText="1"/>
    </xf>
    <xf numFmtId="0" fontId="0" fillId="5" borderId="62" xfId="0" applyFill="1" applyBorder="1" applyAlignment="1">
      <alignment vertical="top" wrapText="1"/>
    </xf>
    <xf numFmtId="9" fontId="1" fillId="5" borderId="62" xfId="17" applyFill="1" applyBorder="1" applyAlignment="1">
      <alignment vertical="top" wrapText="1"/>
    </xf>
    <xf numFmtId="10" fontId="0" fillId="3" borderId="88" xfId="0" applyNumberFormat="1" applyFill="1" applyBorder="1" applyAlignment="1">
      <alignment vertical="top" wrapText="1"/>
    </xf>
    <xf numFmtId="170" fontId="0" fillId="3" borderId="89" xfId="0" applyNumberFormat="1" applyFill="1" applyBorder="1" applyAlignment="1">
      <alignment vertical="top" wrapText="1"/>
    </xf>
    <xf numFmtId="170" fontId="0" fillId="3" borderId="88" xfId="0" quotePrefix="1" applyNumberFormat="1" applyFill="1" applyBorder="1" applyAlignment="1">
      <alignment vertical="top" wrapText="1"/>
    </xf>
    <xf numFmtId="0" fontId="11" fillId="6" borderId="6" xfId="7" applyFill="1" applyBorder="1" applyAlignment="1">
      <alignment horizontal="center"/>
    </xf>
    <xf numFmtId="0" fontId="52" fillId="0" borderId="0" xfId="0" applyFont="1"/>
    <xf numFmtId="0" fontId="11" fillId="6" borderId="67" xfId="7" applyFill="1" applyBorder="1" applyAlignment="1">
      <alignment horizontal="center"/>
    </xf>
    <xf numFmtId="0" fontId="3" fillId="0" borderId="24" xfId="0" applyFont="1" applyFill="1" applyBorder="1"/>
    <xf numFmtId="0" fontId="3" fillId="0" borderId="65" xfId="0" applyFont="1" applyFill="1" applyBorder="1"/>
    <xf numFmtId="0" fontId="0" fillId="0" borderId="65" xfId="0" applyFill="1" applyBorder="1"/>
    <xf numFmtId="0" fontId="0" fillId="0" borderId="78" xfId="0" applyFill="1" applyBorder="1"/>
    <xf numFmtId="0" fontId="0" fillId="0" borderId="79" xfId="0" applyFill="1" applyBorder="1"/>
    <xf numFmtId="0" fontId="0" fillId="0" borderId="80" xfId="0" applyFill="1" applyBorder="1"/>
    <xf numFmtId="0" fontId="0" fillId="0" borderId="6" xfId="0" applyFill="1" applyBorder="1"/>
    <xf numFmtId="167" fontId="0" fillId="0" borderId="0" xfId="0" applyNumberFormat="1" applyFill="1" applyBorder="1"/>
    <xf numFmtId="0" fontId="0" fillId="0" borderId="4" xfId="0" applyFill="1" applyBorder="1"/>
    <xf numFmtId="0" fontId="0" fillId="0" borderId="7" xfId="0" applyFill="1" applyBorder="1"/>
    <xf numFmtId="0" fontId="11" fillId="0" borderId="6" xfId="0" applyFont="1" applyFill="1" applyBorder="1"/>
    <xf numFmtId="167" fontId="0" fillId="0" borderId="4" xfId="0" applyNumberFormat="1" applyFill="1" applyBorder="1"/>
    <xf numFmtId="0" fontId="11" fillId="0" borderId="67" xfId="0" applyFont="1" applyFill="1" applyBorder="1"/>
    <xf numFmtId="0" fontId="0" fillId="0" borderId="90" xfId="0" applyFill="1" applyBorder="1"/>
    <xf numFmtId="167" fontId="0" fillId="0" borderId="90" xfId="0" applyNumberFormat="1" applyFill="1" applyBorder="1"/>
    <xf numFmtId="0" fontId="11" fillId="17" borderId="65" xfId="0" applyFont="1" applyFill="1" applyBorder="1"/>
    <xf numFmtId="0" fontId="0" fillId="17" borderId="65" xfId="0" applyFill="1" applyBorder="1"/>
    <xf numFmtId="0" fontId="0" fillId="17" borderId="66" xfId="0" applyFill="1" applyBorder="1"/>
    <xf numFmtId="0" fontId="0" fillId="0" borderId="4" xfId="0" applyBorder="1"/>
    <xf numFmtId="0" fontId="0" fillId="0" borderId="144" xfId="0" applyBorder="1"/>
    <xf numFmtId="0" fontId="3" fillId="0" borderId="6" xfId="0" applyFont="1" applyFill="1" applyBorder="1"/>
    <xf numFmtId="0" fontId="3" fillId="0" borderId="0" xfId="0" applyFont="1" applyFill="1" applyBorder="1" applyAlignment="1">
      <alignment wrapText="1"/>
    </xf>
    <xf numFmtId="0" fontId="3" fillId="0" borderId="0" xfId="0" applyFont="1" applyFill="1" applyBorder="1"/>
    <xf numFmtId="0" fontId="3" fillId="0" borderId="7" xfId="0" applyFont="1" applyFill="1" applyBorder="1"/>
    <xf numFmtId="7" fontId="0" fillId="0" borderId="0" xfId="0" applyNumberFormat="1"/>
    <xf numFmtId="7" fontId="0" fillId="0" borderId="143" xfId="0" applyNumberFormat="1" applyFill="1" applyBorder="1" applyAlignment="1">
      <alignment vertical="top" wrapText="1"/>
    </xf>
    <xf numFmtId="0" fontId="11" fillId="0" borderId="63" xfId="0" applyFont="1" applyFill="1" applyBorder="1" applyAlignment="1">
      <alignment horizontal="left" vertical="top" wrapText="1"/>
    </xf>
    <xf numFmtId="0" fontId="11" fillId="6" borderId="98" xfId="0" applyFont="1" applyFill="1" applyBorder="1" applyAlignment="1">
      <alignment horizontal="left" vertical="top" wrapText="1"/>
    </xf>
    <xf numFmtId="0" fontId="11" fillId="0" borderId="98" xfId="0" applyFont="1" applyFill="1" applyBorder="1" applyAlignment="1">
      <alignment horizontal="left" vertical="top" wrapText="1"/>
    </xf>
    <xf numFmtId="172" fontId="11" fillId="3" borderId="69" xfId="0" applyNumberFormat="1" applyFont="1" applyFill="1" applyBorder="1" applyAlignment="1" applyProtection="1">
      <alignment wrapText="1"/>
      <protection locked="0"/>
    </xf>
    <xf numFmtId="172" fontId="0" fillId="0" borderId="0" xfId="0" applyNumberFormat="1"/>
    <xf numFmtId="0" fontId="11" fillId="5" borderId="138" xfId="0" applyFont="1" applyFill="1" applyBorder="1" applyAlignment="1" applyProtection="1">
      <alignment horizontal="left" wrapText="1"/>
      <protection locked="0"/>
    </xf>
    <xf numFmtId="0" fontId="11" fillId="5" borderId="145" xfId="0" applyFont="1" applyFill="1" applyBorder="1" applyAlignment="1" applyProtection="1">
      <alignment horizontal="left" wrapText="1"/>
      <protection locked="0"/>
    </xf>
    <xf numFmtId="178" fontId="0" fillId="3" borderId="88" xfId="3" applyNumberFormat="1" applyFont="1" applyFill="1" applyBorder="1" applyAlignment="1">
      <alignment vertical="top" wrapText="1"/>
    </xf>
    <xf numFmtId="167" fontId="11" fillId="0" borderId="0" xfId="0" applyNumberFormat="1" applyFont="1" applyFill="1" applyBorder="1"/>
    <xf numFmtId="0" fontId="26" fillId="0" borderId="90" xfId="0" applyFont="1" applyFill="1" applyBorder="1" applyAlignment="1" applyProtection="1">
      <alignment horizontal="center" wrapText="1"/>
    </xf>
    <xf numFmtId="3" fontId="11" fillId="2" borderId="8" xfId="0" applyNumberFormat="1" applyFont="1" applyFill="1" applyBorder="1" applyAlignment="1" applyProtection="1">
      <alignment horizontal="left" vertical="center" wrapText="1"/>
      <protection locked="0"/>
    </xf>
    <xf numFmtId="3" fontId="11" fillId="2" borderId="19" xfId="0" applyNumberFormat="1" applyFont="1" applyFill="1" applyBorder="1" applyAlignment="1" applyProtection="1">
      <alignment horizontal="left" vertical="center" wrapText="1"/>
      <protection locked="0"/>
    </xf>
    <xf numFmtId="0" fontId="11" fillId="0" borderId="0" xfId="0" applyFont="1" applyFill="1" applyAlignment="1">
      <alignment vertical="top" wrapText="1"/>
    </xf>
    <xf numFmtId="0" fontId="34" fillId="0" borderId="0" xfId="0" applyFont="1" applyFill="1" applyBorder="1" applyAlignment="1">
      <alignment vertical="top" wrapText="1"/>
    </xf>
    <xf numFmtId="0" fontId="5" fillId="0" borderId="0" xfId="0" applyFont="1" applyFill="1" applyBorder="1" applyAlignment="1">
      <alignment horizontal="right" vertical="center" wrapText="1"/>
    </xf>
    <xf numFmtId="170" fontId="14" fillId="0" borderId="0" xfId="0" applyNumberFormat="1" applyFont="1" applyFill="1" applyBorder="1" applyAlignment="1">
      <alignment horizontal="center" vertical="center" wrapText="1"/>
    </xf>
    <xf numFmtId="0" fontId="60" fillId="0" borderId="58" xfId="0" applyFont="1" applyFill="1" applyBorder="1"/>
    <xf numFmtId="0" fontId="11" fillId="0" borderId="6" xfId="0" applyFont="1" applyFill="1" applyBorder="1" applyAlignment="1">
      <alignment horizontal="left"/>
    </xf>
    <xf numFmtId="0" fontId="14" fillId="5" borderId="89" xfId="0" applyFont="1" applyFill="1" applyBorder="1"/>
    <xf numFmtId="0" fontId="0" fillId="0" borderId="0" xfId="0" applyAlignment="1" applyProtection="1">
      <alignment horizontal="left"/>
    </xf>
    <xf numFmtId="0" fontId="0" fillId="0" borderId="0" xfId="0" applyAlignment="1" applyProtection="1">
      <alignment horizontal="right"/>
    </xf>
    <xf numFmtId="179" fontId="0" fillId="0" borderId="0" xfId="0" applyNumberFormat="1" applyProtection="1"/>
    <xf numFmtId="0" fontId="55" fillId="0" borderId="1" xfId="0" applyFont="1" applyFill="1" applyBorder="1" applyAlignment="1">
      <alignment wrapText="1"/>
    </xf>
    <xf numFmtId="0" fontId="55" fillId="0" borderId="2" xfId="0" applyFont="1" applyFill="1" applyBorder="1" applyAlignment="1">
      <alignment horizontal="center"/>
    </xf>
    <xf numFmtId="0" fontId="55" fillId="0" borderId="2" xfId="0" applyFont="1" applyFill="1" applyBorder="1" applyAlignment="1">
      <alignment horizontal="center" wrapText="1"/>
    </xf>
    <xf numFmtId="0" fontId="55" fillId="0" borderId="3" xfId="0" applyFont="1" applyFill="1" applyBorder="1" applyAlignment="1">
      <alignment horizontal="center" wrapText="1"/>
    </xf>
    <xf numFmtId="0" fontId="56" fillId="0" borderId="4" xfId="0" applyFont="1" applyFill="1" applyBorder="1" applyAlignment="1">
      <alignment wrapText="1"/>
    </xf>
    <xf numFmtId="2" fontId="56" fillId="0" borderId="0" xfId="0" applyNumberFormat="1" applyFont="1" applyFill="1" applyBorder="1" applyAlignment="1">
      <alignment horizontal="center"/>
    </xf>
    <xf numFmtId="2" fontId="57" fillId="0" borderId="0" xfId="0" applyNumberFormat="1" applyFont="1" applyFill="1" applyBorder="1" applyAlignment="1">
      <alignment wrapText="1"/>
    </xf>
    <xf numFmtId="2" fontId="57" fillId="0" borderId="0" xfId="0" applyNumberFormat="1" applyFont="1" applyFill="1" applyBorder="1" applyAlignment="1"/>
    <xf numFmtId="2" fontId="57" fillId="0" borderId="0" xfId="0" applyNumberFormat="1" applyFont="1" applyFill="1" applyBorder="1"/>
    <xf numFmtId="2" fontId="57" fillId="0" borderId="5" xfId="0" applyNumberFormat="1" applyFont="1" applyFill="1" applyBorder="1"/>
    <xf numFmtId="0" fontId="56" fillId="0" borderId="4" xfId="0" applyFont="1" applyFill="1" applyBorder="1"/>
    <xf numFmtId="0" fontId="55" fillId="0" borderId="4" xfId="0" applyFont="1" applyFill="1" applyBorder="1"/>
    <xf numFmtId="2" fontId="56" fillId="0" borderId="5" xfId="0" applyNumberFormat="1" applyFont="1" applyFill="1" applyBorder="1" applyAlignment="1">
      <alignment horizontal="center"/>
    </xf>
    <xf numFmtId="2" fontId="57" fillId="0" borderId="5" xfId="0" applyNumberFormat="1" applyFont="1" applyFill="1" applyBorder="1" applyAlignment="1">
      <alignment wrapText="1"/>
    </xf>
    <xf numFmtId="0" fontId="56" fillId="0" borderId="58" xfId="0" applyFont="1" applyFill="1" applyBorder="1" applyAlignment="1">
      <alignment wrapText="1"/>
    </xf>
    <xf numFmtId="2" fontId="56" fillId="0" borderId="59" xfId="0" applyNumberFormat="1" applyFont="1" applyFill="1" applyBorder="1" applyAlignment="1">
      <alignment horizontal="center"/>
    </xf>
    <xf numFmtId="2" fontId="56" fillId="0" borderId="59" xfId="0" applyNumberFormat="1" applyFont="1" applyFill="1" applyBorder="1" applyAlignment="1">
      <alignment horizontal="center" wrapText="1"/>
    </xf>
    <xf numFmtId="2" fontId="56" fillId="0" borderId="87" xfId="0" applyNumberFormat="1" applyFont="1" applyFill="1" applyBorder="1" applyAlignment="1">
      <alignment horizontal="center" wrapText="1"/>
    </xf>
    <xf numFmtId="0" fontId="58" fillId="0" borderId="0" xfId="0" applyFont="1" applyFill="1" applyBorder="1" applyAlignment="1"/>
    <xf numFmtId="0" fontId="57" fillId="0" borderId="0" xfId="0" applyFont="1" applyFill="1"/>
    <xf numFmtId="0" fontId="58" fillId="0" borderId="0" xfId="0" applyFont="1" applyFill="1"/>
    <xf numFmtId="0" fontId="3" fillId="0" borderId="1" xfId="0" applyFont="1" applyFill="1" applyBorder="1" applyAlignment="1">
      <alignment vertical="center"/>
    </xf>
    <xf numFmtId="0" fontId="3" fillId="0" borderId="2" xfId="0" applyFont="1" applyFill="1" applyBorder="1" applyAlignment="1">
      <alignment horizontal="center" vertical="center" wrapText="1"/>
    </xf>
    <xf numFmtId="0" fontId="57" fillId="3" borderId="4" xfId="0" applyFont="1" applyFill="1" applyBorder="1"/>
    <xf numFmtId="165" fontId="57" fillId="3" borderId="0" xfId="0" applyNumberFormat="1" applyFont="1" applyFill="1" applyBorder="1" applyAlignment="1">
      <alignment horizontal="center"/>
    </xf>
    <xf numFmtId="0" fontId="57" fillId="0" borderId="4" xfId="0" applyFont="1" applyFill="1" applyBorder="1"/>
    <xf numFmtId="165" fontId="57" fillId="0" borderId="0" xfId="0" applyNumberFormat="1" applyFont="1" applyFill="1" applyBorder="1" applyAlignment="1">
      <alignment horizontal="center"/>
    </xf>
    <xf numFmtId="0" fontId="57" fillId="3" borderId="0" xfId="0" applyFont="1" applyFill="1" applyBorder="1" applyAlignment="1">
      <alignment horizontal="center"/>
    </xf>
    <xf numFmtId="0" fontId="57" fillId="3" borderId="5" xfId="0" applyFont="1" applyFill="1" applyBorder="1" applyAlignment="1">
      <alignment horizontal="center"/>
    </xf>
    <xf numFmtId="0" fontId="57" fillId="0" borderId="0" xfId="0" applyFont="1" applyFill="1" applyBorder="1" applyAlignment="1">
      <alignment horizontal="center"/>
    </xf>
    <xf numFmtId="0" fontId="57" fillId="0" borderId="5" xfId="0" applyFont="1" applyFill="1" applyBorder="1" applyAlignment="1">
      <alignment horizontal="center"/>
    </xf>
    <xf numFmtId="0" fontId="3" fillId="3" borderId="0" xfId="0" applyFont="1" applyFill="1" applyBorder="1" applyAlignment="1">
      <alignment horizontal="center"/>
    </xf>
    <xf numFmtId="0" fontId="57" fillId="3" borderId="0" xfId="0" applyFont="1" applyFill="1" applyBorder="1"/>
    <xf numFmtId="0" fontId="57" fillId="0" borderId="0" xfId="0" applyFont="1" applyFill="1" applyBorder="1"/>
    <xf numFmtId="0" fontId="18" fillId="0" borderId="5" xfId="0" applyFont="1" applyFill="1" applyBorder="1" applyAlignment="1">
      <alignment horizontal="center"/>
    </xf>
    <xf numFmtId="0" fontId="18" fillId="3" borderId="5" xfId="0" applyFont="1" applyFill="1" applyBorder="1" applyAlignment="1">
      <alignment horizontal="center"/>
    </xf>
    <xf numFmtId="0" fontId="57" fillId="0" borderId="0" xfId="0" applyFont="1"/>
    <xf numFmtId="0" fontId="57" fillId="0" borderId="4" xfId="0" applyFont="1" applyFill="1" applyBorder="1" applyAlignment="1">
      <alignment wrapText="1"/>
    </xf>
    <xf numFmtId="0" fontId="57" fillId="0" borderId="0" xfId="0" applyFont="1" applyFill="1" applyBorder="1" applyAlignment="1">
      <alignment wrapText="1"/>
    </xf>
    <xf numFmtId="0" fontId="57" fillId="0" borderId="5" xfId="0" applyFont="1" applyFill="1" applyBorder="1" applyAlignment="1">
      <alignment wrapText="1"/>
    </xf>
    <xf numFmtId="0" fontId="0" fillId="0" borderId="0" xfId="0" applyFill="1" applyBorder="1" applyAlignment="1">
      <alignment wrapText="1"/>
    </xf>
    <xf numFmtId="0" fontId="0" fillId="3" borderId="4" xfId="0" applyFill="1" applyBorder="1" applyAlignment="1">
      <alignment wrapText="1"/>
    </xf>
    <xf numFmtId="0" fontId="0" fillId="3" borderId="0" xfId="0" applyFill="1" applyBorder="1"/>
    <xf numFmtId="0" fontId="0" fillId="0" borderId="81" xfId="0" applyFill="1" applyBorder="1"/>
    <xf numFmtId="0" fontId="0" fillId="0" borderId="2" xfId="0" applyFill="1" applyBorder="1"/>
    <xf numFmtId="167" fontId="0" fillId="0" borderId="2" xfId="0" applyNumberFormat="1" applyFill="1" applyBorder="1"/>
    <xf numFmtId="165" fontId="57" fillId="3" borderId="2" xfId="0" applyNumberFormat="1" applyFont="1" applyFill="1" applyBorder="1" applyAlignment="1">
      <alignment horizontal="center"/>
    </xf>
    <xf numFmtId="165" fontId="57" fillId="3" borderId="82" xfId="0" applyNumberFormat="1" applyFont="1" applyFill="1" applyBorder="1" applyAlignment="1">
      <alignment horizontal="center"/>
    </xf>
    <xf numFmtId="165" fontId="57" fillId="3" borderId="7" xfId="0" applyNumberFormat="1" applyFont="1" applyFill="1" applyBorder="1" applyAlignment="1">
      <alignment horizontal="center"/>
    </xf>
    <xf numFmtId="0" fontId="11" fillId="0" borderId="4" xfId="0" applyFont="1" applyFill="1" applyBorder="1"/>
    <xf numFmtId="2" fontId="56" fillId="0" borderId="0" xfId="0" applyNumberFormat="1" applyFont="1" applyFill="1" applyBorder="1" applyAlignment="1">
      <alignment horizontal="center" wrapText="1"/>
    </xf>
    <xf numFmtId="2" fontId="56" fillId="0" borderId="7" xfId="0" applyNumberFormat="1" applyFont="1" applyFill="1" applyBorder="1" applyAlignment="1">
      <alignment horizontal="center" wrapText="1"/>
    </xf>
    <xf numFmtId="0" fontId="11" fillId="0" borderId="144" xfId="0" applyFont="1" applyFill="1" applyBorder="1"/>
    <xf numFmtId="165" fontId="57" fillId="3" borderId="90" xfId="0" applyNumberFormat="1" applyFont="1" applyFill="1" applyBorder="1" applyAlignment="1">
      <alignment horizontal="center"/>
    </xf>
    <xf numFmtId="165" fontId="57" fillId="3" borderId="110" xfId="0" applyNumberFormat="1" applyFont="1" applyFill="1" applyBorder="1" applyAlignment="1">
      <alignment horizontal="center"/>
    </xf>
    <xf numFmtId="0" fontId="11" fillId="2" borderId="4" xfId="0" applyFont="1" applyFill="1" applyBorder="1"/>
    <xf numFmtId="0" fontId="36" fillId="2" borderId="9" xfId="0" applyFont="1" applyFill="1" applyBorder="1" applyAlignment="1" applyProtection="1">
      <protection locked="0"/>
    </xf>
    <xf numFmtId="0" fontId="36" fillId="2" borderId="10" xfId="0" applyFont="1" applyFill="1" applyBorder="1" applyAlignment="1" applyProtection="1">
      <protection locked="0"/>
    </xf>
    <xf numFmtId="0" fontId="36" fillId="2" borderId="11" xfId="0" applyFont="1" applyFill="1" applyBorder="1" applyAlignment="1" applyProtection="1">
      <protection locked="0"/>
    </xf>
    <xf numFmtId="10" fontId="58" fillId="0" borderId="0" xfId="0" applyNumberFormat="1" applyFont="1" applyFill="1"/>
    <xf numFmtId="167" fontId="0" fillId="0" borderId="0" xfId="0" applyNumberFormat="1"/>
    <xf numFmtId="0" fontId="0" fillId="0" borderId="67" xfId="0" applyFill="1" applyBorder="1"/>
    <xf numFmtId="0" fontId="11" fillId="0" borderId="0" xfId="0" applyFont="1" applyFill="1" applyBorder="1"/>
    <xf numFmtId="0" fontId="11" fillId="0" borderId="1" xfId="0" applyFont="1" applyFill="1" applyBorder="1"/>
    <xf numFmtId="2" fontId="11" fillId="5" borderId="141" xfId="0" applyNumberFormat="1" applyFont="1" applyFill="1" applyBorder="1" applyAlignment="1" applyProtection="1">
      <alignment wrapText="1"/>
      <protection locked="0"/>
    </xf>
    <xf numFmtId="0" fontId="11" fillId="5" borderId="141" xfId="0" applyFont="1" applyFill="1" applyBorder="1" applyAlignment="1" applyProtection="1">
      <alignment wrapText="1"/>
      <protection locked="0"/>
    </xf>
    <xf numFmtId="2" fontId="11" fillId="5" borderId="147" xfId="0" applyNumberFormat="1" applyFont="1" applyFill="1" applyBorder="1" applyAlignment="1" applyProtection="1">
      <alignment wrapText="1"/>
      <protection locked="0"/>
    </xf>
    <xf numFmtId="3" fontId="11" fillId="5" borderId="100" xfId="0" applyNumberFormat="1" applyFont="1" applyFill="1" applyBorder="1" applyAlignment="1" applyProtection="1">
      <alignment wrapText="1"/>
      <protection locked="0"/>
    </xf>
    <xf numFmtId="172" fontId="11" fillId="5" borderId="101" xfId="0" applyNumberFormat="1" applyFont="1" applyFill="1" applyBorder="1" applyAlignment="1" applyProtection="1">
      <alignment wrapText="1"/>
      <protection locked="0"/>
    </xf>
    <xf numFmtId="7" fontId="34" fillId="0" borderId="57" xfId="0" applyNumberFormat="1" applyFont="1" applyFill="1" applyBorder="1" applyAlignment="1">
      <alignment vertical="top" wrapText="1"/>
    </xf>
    <xf numFmtId="0" fontId="11" fillId="5" borderId="105" xfId="0" applyNumberFormat="1" applyFont="1" applyFill="1" applyBorder="1" applyAlignment="1" applyProtection="1">
      <alignment wrapText="1"/>
      <protection locked="0"/>
    </xf>
    <xf numFmtId="9" fontId="0" fillId="4" borderId="0" xfId="0" applyNumberFormat="1" applyFill="1" applyBorder="1" applyAlignment="1">
      <alignment vertical="top" wrapText="1"/>
    </xf>
    <xf numFmtId="0" fontId="3" fillId="0" borderId="0" xfId="0" applyFont="1" applyAlignment="1">
      <alignment wrapText="1"/>
    </xf>
    <xf numFmtId="172" fontId="11" fillId="5" borderId="148" xfId="1" applyNumberFormat="1" applyFont="1" applyFill="1" applyBorder="1" applyAlignment="1" applyProtection="1">
      <alignment wrapText="1"/>
      <protection locked="0"/>
    </xf>
    <xf numFmtId="170" fontId="0" fillId="3" borderId="88" xfId="0" applyNumberFormat="1" applyFill="1" applyBorder="1" applyAlignment="1">
      <alignment vertical="top" wrapText="1"/>
    </xf>
    <xf numFmtId="7" fontId="11" fillId="3" borderId="62" xfId="0" applyNumberFormat="1" applyFont="1" applyFill="1" applyBorder="1" applyAlignment="1">
      <alignment vertical="top" wrapText="1"/>
    </xf>
    <xf numFmtId="0" fontId="4" fillId="6" borderId="100" xfId="5" applyFill="1" applyBorder="1" applyAlignment="1" applyProtection="1">
      <alignment wrapText="1"/>
      <protection locked="0"/>
    </xf>
    <xf numFmtId="0" fontId="4" fillId="6" borderId="101" xfId="5" applyFill="1" applyBorder="1" applyAlignment="1" applyProtection="1">
      <alignment wrapText="1"/>
      <protection locked="0"/>
    </xf>
    <xf numFmtId="0" fontId="46" fillId="6" borderId="8" xfId="0" applyFont="1" applyFill="1" applyBorder="1" applyAlignment="1" applyProtection="1">
      <alignment wrapText="1"/>
      <protection locked="0"/>
    </xf>
    <xf numFmtId="0" fontId="11" fillId="6" borderId="98" xfId="0" applyNumberFormat="1" applyFont="1" applyFill="1" applyBorder="1" applyAlignment="1">
      <alignment horizontal="left" vertical="top" wrapText="1"/>
    </xf>
    <xf numFmtId="0" fontId="0" fillId="3" borderId="57" xfId="0" applyFill="1" applyBorder="1" applyAlignment="1">
      <alignment vertical="top" wrapText="1"/>
    </xf>
    <xf numFmtId="7" fontId="11" fillId="3" borderId="57" xfId="0" applyNumberFormat="1" applyFont="1" applyFill="1" applyBorder="1" applyAlignment="1">
      <alignment vertical="top" wrapText="1"/>
    </xf>
    <xf numFmtId="9" fontId="1" fillId="5" borderId="89" xfId="17" applyFill="1" applyBorder="1" applyAlignment="1">
      <alignment vertical="top" wrapText="1"/>
    </xf>
    <xf numFmtId="7" fontId="0" fillId="3" borderId="62" xfId="0" applyNumberFormat="1" applyFill="1" applyBorder="1" applyAlignment="1">
      <alignment vertical="top" wrapText="1"/>
    </xf>
    <xf numFmtId="170" fontId="11" fillId="3" borderId="62" xfId="0" applyNumberFormat="1" applyFont="1" applyFill="1" applyBorder="1" applyAlignment="1">
      <alignment vertical="top" wrapText="1"/>
    </xf>
    <xf numFmtId="169" fontId="11" fillId="3" borderId="57" xfId="0" applyNumberFormat="1" applyFont="1" applyFill="1" applyBorder="1" applyAlignment="1">
      <alignment vertical="top" wrapText="1"/>
    </xf>
    <xf numFmtId="0" fontId="0" fillId="6" borderId="0" xfId="0" quotePrefix="1" applyFill="1" applyBorder="1" applyAlignment="1">
      <alignment horizontal="left" vertical="top" wrapText="1"/>
    </xf>
    <xf numFmtId="0" fontId="11" fillId="6" borderId="0" xfId="0" applyFont="1" applyFill="1" applyBorder="1" applyAlignment="1">
      <alignment horizontal="left" vertical="top" wrapText="1"/>
    </xf>
    <xf numFmtId="0" fontId="11" fillId="6" borderId="5" xfId="0" applyFont="1" applyFill="1" applyBorder="1" applyAlignment="1">
      <alignment horizontal="left" vertical="top" wrapText="1"/>
    </xf>
    <xf numFmtId="0" fontId="0" fillId="6" borderId="5" xfId="0" quotePrefix="1" applyFill="1" applyBorder="1" applyAlignment="1">
      <alignment horizontal="left" vertical="top" wrapText="1"/>
    </xf>
    <xf numFmtId="170" fontId="0" fillId="6" borderId="0" xfId="0" applyNumberFormat="1" applyFill="1" applyBorder="1" applyAlignment="1">
      <alignment horizontal="left" vertical="top" wrapText="1"/>
    </xf>
    <xf numFmtId="170" fontId="0" fillId="6" borderId="5" xfId="0" applyNumberFormat="1" applyFill="1" applyBorder="1" applyAlignment="1">
      <alignment horizontal="left" vertical="top" wrapText="1"/>
    </xf>
    <xf numFmtId="0" fontId="11" fillId="6" borderId="0" xfId="0" applyFont="1" applyFill="1" applyBorder="1" applyAlignment="1">
      <alignment vertical="top" wrapText="1"/>
    </xf>
    <xf numFmtId="165" fontId="11" fillId="3" borderId="138" xfId="0" applyNumberFormat="1" applyFont="1" applyFill="1" applyBorder="1" applyAlignment="1" applyProtection="1">
      <alignment wrapText="1"/>
      <protection locked="0"/>
    </xf>
    <xf numFmtId="165" fontId="11" fillId="3" borderId="145" xfId="0" applyNumberFormat="1" applyFont="1" applyFill="1" applyBorder="1" applyAlignment="1" applyProtection="1">
      <alignment wrapText="1"/>
      <protection locked="0"/>
    </xf>
    <xf numFmtId="0" fontId="11" fillId="3" borderId="138" xfId="0" applyNumberFormat="1" applyFont="1" applyFill="1" applyBorder="1" applyAlignment="1" applyProtection="1">
      <alignment wrapText="1"/>
      <protection locked="0"/>
    </xf>
    <xf numFmtId="0" fontId="3" fillId="6" borderId="0" xfId="0" applyFont="1" applyFill="1" applyBorder="1" applyAlignment="1">
      <alignment vertical="top" wrapText="1"/>
    </xf>
    <xf numFmtId="0" fontId="3" fillId="6" borderId="5" xfId="0" applyFont="1" applyFill="1" applyBorder="1" applyAlignment="1">
      <alignment vertical="top" wrapText="1"/>
    </xf>
    <xf numFmtId="170" fontId="0" fillId="5" borderId="137" xfId="0" applyNumberFormat="1" applyFill="1" applyBorder="1" applyAlignment="1">
      <alignment vertical="top" wrapText="1"/>
    </xf>
    <xf numFmtId="0" fontId="0" fillId="3" borderId="135" xfId="0" applyNumberFormat="1" applyFill="1" applyBorder="1" applyAlignment="1">
      <alignment vertical="top" wrapText="1"/>
    </xf>
    <xf numFmtId="170" fontId="0" fillId="3" borderId="99" xfId="0" applyNumberFormat="1" applyFill="1" applyBorder="1" applyAlignment="1">
      <alignment vertical="top" wrapText="1"/>
    </xf>
    <xf numFmtId="170" fontId="0" fillId="5" borderId="138" xfId="0" applyNumberFormat="1" applyFill="1" applyBorder="1" applyAlignment="1">
      <alignment vertical="top" wrapText="1"/>
    </xf>
    <xf numFmtId="0" fontId="0" fillId="3" borderId="8" xfId="0" applyNumberFormat="1" applyFill="1" applyBorder="1" applyAlignment="1">
      <alignment vertical="top" wrapText="1"/>
    </xf>
    <xf numFmtId="170" fontId="0" fillId="3" borderId="100" xfId="0" applyNumberFormat="1" applyFill="1" applyBorder="1" applyAlignment="1">
      <alignment vertical="top" wrapText="1"/>
    </xf>
    <xf numFmtId="170" fontId="0" fillId="5" borderId="145" xfId="0" applyNumberFormat="1" applyFill="1" applyBorder="1" applyAlignment="1">
      <alignment vertical="top" wrapText="1"/>
    </xf>
    <xf numFmtId="170" fontId="0" fillId="3" borderId="101" xfId="0" applyNumberFormat="1" applyFill="1" applyBorder="1" applyAlignment="1">
      <alignment vertical="top" wrapText="1"/>
    </xf>
    <xf numFmtId="0" fontId="0" fillId="6" borderId="0" xfId="0" quotePrefix="1" applyFill="1" applyBorder="1" applyAlignment="1">
      <alignment vertical="top" wrapText="1"/>
    </xf>
    <xf numFmtId="0" fontId="0" fillId="5" borderId="138" xfId="1" applyNumberFormat="1" applyFont="1" applyFill="1" applyBorder="1" applyAlignment="1">
      <alignment vertical="top" wrapText="1"/>
    </xf>
    <xf numFmtId="0" fontId="11" fillId="0" borderId="0" xfId="14"/>
    <xf numFmtId="0" fontId="11" fillId="6" borderId="0" xfId="0" quotePrefix="1" applyFont="1" applyFill="1" applyBorder="1" applyAlignment="1">
      <alignment vertical="top" wrapText="1"/>
    </xf>
    <xf numFmtId="0" fontId="11" fillId="6" borderId="5" xfId="0" applyFont="1" applyFill="1" applyBorder="1" applyAlignment="1">
      <alignment vertical="top" wrapText="1"/>
    </xf>
    <xf numFmtId="0" fontId="11" fillId="6" borderId="5" xfId="0" quotePrefix="1" applyFont="1" applyFill="1" applyBorder="1" applyAlignment="1">
      <alignment vertical="top" wrapText="1"/>
    </xf>
    <xf numFmtId="0" fontId="0" fillId="5" borderId="137" xfId="0" applyNumberFormat="1" applyFill="1" applyBorder="1" applyAlignment="1">
      <alignment vertical="top" wrapText="1"/>
    </xf>
    <xf numFmtId="0" fontId="11" fillId="3" borderId="62" xfId="0" applyNumberFormat="1" applyFont="1" applyFill="1" applyBorder="1" applyAlignment="1">
      <alignment vertical="top" wrapText="1"/>
    </xf>
    <xf numFmtId="0" fontId="11" fillId="6" borderId="59" xfId="0" applyFont="1" applyFill="1" applyBorder="1" applyAlignment="1">
      <alignment vertical="top" wrapText="1"/>
    </xf>
    <xf numFmtId="0" fontId="3" fillId="0" borderId="151" xfId="0" applyFont="1" applyBorder="1" applyAlignment="1">
      <alignment wrapText="1"/>
    </xf>
    <xf numFmtId="0" fontId="0" fillId="0" borderId="59" xfId="0" applyBorder="1"/>
    <xf numFmtId="0" fontId="0" fillId="0" borderId="87" xfId="0" applyBorder="1"/>
    <xf numFmtId="0" fontId="0" fillId="0" borderId="129" xfId="0" applyBorder="1"/>
    <xf numFmtId="0" fontId="0" fillId="0" borderId="152" xfId="0" applyBorder="1"/>
    <xf numFmtId="2" fontId="0" fillId="3" borderId="135" xfId="0" applyNumberFormat="1" applyFill="1" applyBorder="1" applyAlignment="1">
      <alignment vertical="top" wrapText="1"/>
    </xf>
    <xf numFmtId="2" fontId="0" fillId="3" borderId="8" xfId="0" applyNumberFormat="1" applyFill="1" applyBorder="1" applyAlignment="1">
      <alignment vertical="top" wrapText="1"/>
    </xf>
    <xf numFmtId="2" fontId="0" fillId="3" borderId="136" xfId="0" applyNumberFormat="1" applyFill="1" applyBorder="1" applyAlignment="1">
      <alignment vertical="top" wrapText="1"/>
    </xf>
    <xf numFmtId="2" fontId="11" fillId="0" borderId="0" xfId="14" applyNumberFormat="1"/>
    <xf numFmtId="2" fontId="0" fillId="0" borderId="0" xfId="0" applyNumberFormat="1"/>
    <xf numFmtId="0" fontId="28" fillId="0" borderId="148" xfId="0" applyFont="1" applyBorder="1"/>
    <xf numFmtId="43" fontId="11" fillId="3" borderId="153" xfId="1" applyFont="1" applyFill="1" applyBorder="1" applyProtection="1"/>
    <xf numFmtId="0" fontId="0" fillId="6" borderId="6" xfId="0" applyFill="1" applyBorder="1" applyAlignment="1">
      <alignment horizontal="center"/>
    </xf>
    <xf numFmtId="180" fontId="0" fillId="6" borderId="7" xfId="0" applyNumberFormat="1" applyFill="1" applyBorder="1" applyAlignment="1">
      <alignment horizontal="center"/>
    </xf>
    <xf numFmtId="0" fontId="0" fillId="6" borderId="67" xfId="0" applyFill="1" applyBorder="1" applyAlignment="1">
      <alignment horizontal="center"/>
    </xf>
    <xf numFmtId="0" fontId="0" fillId="0" borderId="154" xfId="0" applyBorder="1" applyAlignment="1">
      <alignment horizontal="centerContinuous" vertical="top" wrapText="1"/>
    </xf>
    <xf numFmtId="39" fontId="63" fillId="6" borderId="7" xfId="9" applyNumberFormat="1" applyFill="1" applyBorder="1"/>
    <xf numFmtId="39" fontId="63" fillId="6" borderId="110" xfId="9" applyNumberFormat="1" applyFill="1" applyBorder="1"/>
    <xf numFmtId="0" fontId="3" fillId="0" borderId="1" xfId="7" applyFont="1" applyFill="1" applyBorder="1"/>
    <xf numFmtId="0" fontId="11" fillId="0" borderId="2" xfId="7" applyFill="1" applyBorder="1"/>
    <xf numFmtId="167" fontId="11" fillId="0" borderId="2" xfId="7" applyNumberFormat="1" applyFill="1" applyBorder="1"/>
    <xf numFmtId="0" fontId="11" fillId="0" borderId="3" xfId="7" applyFill="1" applyBorder="1"/>
    <xf numFmtId="0" fontId="11" fillId="0" borderId="0" xfId="7"/>
    <xf numFmtId="0" fontId="18" fillId="0" borderId="4" xfId="7" applyFont="1" applyFill="1" applyBorder="1"/>
    <xf numFmtId="0" fontId="11" fillId="0" borderId="0" xfId="7" applyFill="1" applyBorder="1"/>
    <xf numFmtId="167" fontId="11" fillId="0" borderId="0" xfId="7" applyNumberFormat="1" applyFill="1" applyBorder="1"/>
    <xf numFmtId="0" fontId="11" fillId="0" borderId="5" xfId="7" applyFill="1" applyBorder="1"/>
    <xf numFmtId="0" fontId="11" fillId="0" borderId="4" xfId="7" applyFont="1" applyFill="1" applyBorder="1"/>
    <xf numFmtId="0" fontId="64" fillId="0" borderId="0" xfId="7" applyFont="1" applyFill="1" applyBorder="1"/>
    <xf numFmtId="0" fontId="11" fillId="0" borderId="4" xfId="7" applyFill="1" applyBorder="1"/>
    <xf numFmtId="0" fontId="65" fillId="0" borderId="5" xfId="7" applyFont="1" applyFill="1" applyBorder="1"/>
    <xf numFmtId="0" fontId="11" fillId="0" borderId="58" xfId="7" applyFont="1" applyFill="1" applyBorder="1"/>
    <xf numFmtId="0" fontId="11" fillId="0" borderId="59" xfId="7" applyFill="1" applyBorder="1"/>
    <xf numFmtId="167" fontId="11" fillId="0" borderId="59" xfId="7" applyNumberFormat="1" applyFill="1" applyBorder="1"/>
    <xf numFmtId="0" fontId="64" fillId="0" borderId="59" xfId="7" applyFont="1" applyFill="1" applyBorder="1"/>
    <xf numFmtId="0" fontId="11" fillId="0" borderId="87" xfId="7" applyFill="1" applyBorder="1"/>
    <xf numFmtId="0" fontId="3" fillId="0" borderId="0" xfId="7" applyFont="1" applyFill="1" applyBorder="1"/>
    <xf numFmtId="0" fontId="18" fillId="0" borderId="2" xfId="0" applyFont="1" applyFill="1" applyBorder="1"/>
    <xf numFmtId="0" fontId="18" fillId="0" borderId="0" xfId="0" applyFont="1" applyFill="1" applyBorder="1"/>
    <xf numFmtId="2" fontId="61" fillId="0" borderId="0" xfId="0" applyNumberFormat="1" applyFont="1" applyFill="1" applyBorder="1" applyAlignment="1">
      <alignment horizontal="center" wrapText="1"/>
    </xf>
    <xf numFmtId="0" fontId="18" fillId="0" borderId="90" xfId="0" applyFont="1" applyFill="1" applyBorder="1"/>
    <xf numFmtId="0" fontId="18" fillId="0" borderId="0" xfId="0" applyFont="1" applyBorder="1"/>
    <xf numFmtId="0" fontId="18" fillId="0" borderId="90" xfId="0" applyFont="1" applyBorder="1"/>
    <xf numFmtId="167" fontId="66" fillId="0" borderId="0" xfId="7" applyNumberFormat="1" applyFont="1" applyFill="1" applyBorder="1"/>
    <xf numFmtId="0" fontId="11" fillId="0" borderId="6" xfId="7" applyFont="1" applyFill="1" applyBorder="1" applyAlignment="1">
      <alignment horizontal="left"/>
    </xf>
    <xf numFmtId="165" fontId="11" fillId="3" borderId="0" xfId="0" applyNumberFormat="1" applyFont="1" applyFill="1" applyBorder="1" applyAlignment="1">
      <alignment horizontal="center"/>
    </xf>
    <xf numFmtId="165" fontId="11" fillId="3" borderId="2" xfId="0" applyNumberFormat="1" applyFont="1" applyFill="1" applyBorder="1" applyAlignment="1">
      <alignment horizontal="center"/>
    </xf>
    <xf numFmtId="165" fontId="11" fillId="3" borderId="82" xfId="0" applyNumberFormat="1" applyFont="1" applyFill="1" applyBorder="1" applyAlignment="1">
      <alignment horizontal="center"/>
    </xf>
    <xf numFmtId="165" fontId="11" fillId="3" borderId="7" xfId="0" applyNumberFormat="1" applyFont="1" applyFill="1" applyBorder="1" applyAlignment="1">
      <alignment horizontal="center"/>
    </xf>
    <xf numFmtId="165" fontId="11" fillId="3" borderId="90" xfId="0" applyNumberFormat="1" applyFont="1" applyFill="1" applyBorder="1" applyAlignment="1">
      <alignment horizontal="center"/>
    </xf>
    <xf numFmtId="165" fontId="11" fillId="3" borderId="110" xfId="0" applyNumberFormat="1" applyFont="1" applyFill="1" applyBorder="1" applyAlignment="1">
      <alignment horizontal="center"/>
    </xf>
    <xf numFmtId="173" fontId="1" fillId="0" borderId="0" xfId="16" applyFont="1" applyProtection="1"/>
    <xf numFmtId="10" fontId="0" fillId="0" borderId="0" xfId="0" applyNumberFormat="1" applyBorder="1" applyProtection="1"/>
    <xf numFmtId="182" fontId="11" fillId="3" borderId="23" xfId="16" applyNumberFormat="1" applyFont="1" applyFill="1" applyBorder="1" applyAlignment="1" applyProtection="1">
      <alignment horizontal="center"/>
    </xf>
    <xf numFmtId="181" fontId="11" fillId="3" borderId="19" xfId="16" applyNumberFormat="1" applyFont="1" applyFill="1" applyBorder="1" applyAlignment="1" applyProtection="1">
      <alignment horizontal="center"/>
      <protection locked="0"/>
    </xf>
    <xf numFmtId="173" fontId="3" fillId="0" borderId="0" xfId="16" applyFont="1" applyFill="1" applyBorder="1" applyProtection="1"/>
    <xf numFmtId="170" fontId="0" fillId="18" borderId="34" xfId="0" applyNumberFormat="1" applyFill="1" applyBorder="1" applyProtection="1"/>
    <xf numFmtId="170" fontId="0" fillId="18" borderId="32" xfId="0" applyNumberFormat="1" applyFill="1" applyBorder="1" applyProtection="1"/>
    <xf numFmtId="173" fontId="3" fillId="0" borderId="60" xfId="16" applyFont="1" applyBorder="1" applyAlignment="1" applyProtection="1">
      <alignment horizontal="center"/>
    </xf>
    <xf numFmtId="173" fontId="1" fillId="3" borderId="17" xfId="16" applyFont="1" applyFill="1" applyBorder="1" applyProtection="1"/>
    <xf numFmtId="173" fontId="1" fillId="3" borderId="8" xfId="16" applyFont="1" applyFill="1" applyBorder="1" applyProtection="1"/>
    <xf numFmtId="165" fontId="1" fillId="3" borderId="8" xfId="16" applyNumberFormat="1" applyFont="1" applyFill="1" applyBorder="1" applyProtection="1"/>
    <xf numFmtId="170" fontId="1" fillId="3" borderId="8" xfId="16" applyNumberFormat="1" applyFont="1" applyFill="1" applyBorder="1" applyProtection="1"/>
    <xf numFmtId="6" fontId="1" fillId="3" borderId="8" xfId="16" applyNumberFormat="1" applyFont="1" applyFill="1" applyBorder="1" applyProtection="1"/>
    <xf numFmtId="164" fontId="1" fillId="3" borderId="8" xfId="17" applyNumberFormat="1" applyFont="1" applyFill="1" applyBorder="1" applyProtection="1"/>
    <xf numFmtId="0" fontId="0" fillId="21" borderId="0" xfId="0" applyFill="1"/>
    <xf numFmtId="0" fontId="1" fillId="21" borderId="0" xfId="0" applyFont="1" applyFill="1"/>
    <xf numFmtId="0" fontId="3" fillId="21" borderId="0" xfId="0" applyFont="1" applyFill="1"/>
    <xf numFmtId="0" fontId="1" fillId="20" borderId="8" xfId="0" applyFont="1" applyFill="1" applyBorder="1"/>
    <xf numFmtId="0" fontId="0" fillId="20" borderId="8" xfId="0" applyFill="1" applyBorder="1"/>
    <xf numFmtId="9" fontId="0" fillId="20" borderId="8" xfId="17" applyFont="1" applyFill="1" applyBorder="1"/>
    <xf numFmtId="9" fontId="0" fillId="5" borderId="8" xfId="17" applyFont="1" applyFill="1" applyBorder="1" applyAlignment="1">
      <alignment vertical="top" wrapText="1"/>
    </xf>
    <xf numFmtId="9" fontId="0" fillId="20" borderId="55" xfId="17" applyFont="1" applyFill="1" applyBorder="1"/>
    <xf numFmtId="172" fontId="0" fillId="20" borderId="55" xfId="1" applyNumberFormat="1" applyFont="1" applyFill="1" applyBorder="1"/>
    <xf numFmtId="0" fontId="0" fillId="20" borderId="55" xfId="0" applyFill="1" applyBorder="1"/>
    <xf numFmtId="172" fontId="0" fillId="20" borderId="8" xfId="1" applyNumberFormat="1" applyFont="1" applyFill="1" applyBorder="1"/>
    <xf numFmtId="0" fontId="3" fillId="21" borderId="0" xfId="0" applyFont="1" applyFill="1" applyAlignment="1">
      <alignment wrapText="1"/>
    </xf>
    <xf numFmtId="0" fontId="0" fillId="20" borderId="8" xfId="0" applyFill="1" applyBorder="1" applyAlignment="1">
      <alignment horizontal="center"/>
    </xf>
    <xf numFmtId="9" fontId="0" fillId="20" borderId="8" xfId="0" applyNumberFormat="1" applyFill="1" applyBorder="1"/>
    <xf numFmtId="183" fontId="0" fillId="20" borderId="8" xfId="1" applyNumberFormat="1" applyFont="1" applyFill="1" applyBorder="1"/>
    <xf numFmtId="0" fontId="1" fillId="21" borderId="0" xfId="0" applyFont="1" applyFill="1" applyBorder="1"/>
    <xf numFmtId="9" fontId="1" fillId="20" borderId="8" xfId="0" applyNumberFormat="1" applyFont="1" applyFill="1" applyBorder="1"/>
    <xf numFmtId="44" fontId="0" fillId="20" borderId="8" xfId="0" applyNumberFormat="1" applyFill="1" applyBorder="1"/>
    <xf numFmtId="44" fontId="1" fillId="20" borderId="8" xfId="3" applyFont="1" applyFill="1" applyBorder="1"/>
    <xf numFmtId="44" fontId="0" fillId="20" borderId="8" xfId="3" applyFont="1" applyFill="1" applyBorder="1"/>
    <xf numFmtId="0" fontId="0" fillId="19" borderId="8" xfId="0" applyFill="1" applyBorder="1" applyAlignment="1">
      <alignment horizontal="center"/>
    </xf>
    <xf numFmtId="9" fontId="0" fillId="19" borderId="8" xfId="17" applyFont="1" applyFill="1" applyBorder="1"/>
    <xf numFmtId="172" fontId="0" fillId="20" borderId="8" xfId="0" applyNumberFormat="1" applyFill="1" applyBorder="1"/>
    <xf numFmtId="0" fontId="3" fillId="21" borderId="0" xfId="0" applyFont="1" applyFill="1" applyAlignment="1">
      <alignment horizontal="center" wrapText="1"/>
    </xf>
    <xf numFmtId="0" fontId="0" fillId="20" borderId="8" xfId="0" applyFill="1" applyBorder="1" applyAlignment="1">
      <alignment horizontal="center" vertical="top"/>
    </xf>
    <xf numFmtId="44" fontId="1" fillId="20" borderId="8" xfId="0" applyNumberFormat="1" applyFont="1" applyFill="1" applyBorder="1"/>
    <xf numFmtId="0" fontId="3" fillId="0" borderId="126" xfId="0" applyFont="1" applyFill="1" applyBorder="1"/>
    <xf numFmtId="0" fontId="3" fillId="0" borderId="59" xfId="0" applyFont="1" applyFill="1" applyBorder="1" applyAlignment="1">
      <alignment wrapText="1"/>
    </xf>
    <xf numFmtId="0" fontId="3" fillId="0" borderId="59" xfId="0" applyFont="1" applyFill="1" applyBorder="1"/>
    <xf numFmtId="0" fontId="3" fillId="0" borderId="154" xfId="0" applyFont="1" applyFill="1" applyBorder="1"/>
    <xf numFmtId="44" fontId="3" fillId="21" borderId="0" xfId="3" applyFont="1" applyFill="1"/>
    <xf numFmtId="0" fontId="43" fillId="2" borderId="0" xfId="0" applyFont="1" applyFill="1" applyBorder="1" applyAlignment="1">
      <alignment horizontal="right" vertical="center" wrapText="1"/>
    </xf>
    <xf numFmtId="173" fontId="3" fillId="21" borderId="8" xfId="16" applyFont="1" applyFill="1" applyBorder="1" applyAlignment="1" applyProtection="1">
      <alignment horizontal="center" wrapText="1"/>
    </xf>
    <xf numFmtId="173" fontId="3" fillId="21" borderId="8" xfId="16" applyFont="1" applyFill="1" applyBorder="1" applyProtection="1"/>
    <xf numFmtId="3" fontId="11" fillId="3" borderId="8" xfId="16" applyNumberFormat="1" applyFont="1" applyFill="1" applyBorder="1" applyProtection="1"/>
    <xf numFmtId="2" fontId="11" fillId="3" borderId="8" xfId="16" applyNumberFormat="1" applyFont="1" applyFill="1" applyBorder="1" applyAlignment="1" applyProtection="1">
      <alignment horizontal="center"/>
    </xf>
    <xf numFmtId="178" fontId="11" fillId="3" borderId="8" xfId="3" applyNumberFormat="1" applyFont="1" applyFill="1" applyBorder="1" applyAlignment="1" applyProtection="1">
      <alignment horizontal="center"/>
      <protection locked="0"/>
    </xf>
    <xf numFmtId="173" fontId="1" fillId="21" borderId="2" xfId="16" applyFont="1" applyFill="1" applyBorder="1" applyProtection="1"/>
    <xf numFmtId="173" fontId="1" fillId="21" borderId="3" xfId="16" applyFont="1" applyFill="1" applyBorder="1" applyProtection="1"/>
    <xf numFmtId="173" fontId="1" fillId="21" borderId="4" xfId="16" applyFont="1" applyFill="1" applyBorder="1" applyProtection="1"/>
    <xf numFmtId="173" fontId="3" fillId="21" borderId="100" xfId="16" applyFont="1" applyFill="1" applyBorder="1" applyProtection="1"/>
    <xf numFmtId="173" fontId="1" fillId="21" borderId="138" xfId="16" applyFont="1" applyFill="1" applyBorder="1" applyProtection="1"/>
    <xf numFmtId="3" fontId="11" fillId="3" borderId="100" xfId="16" applyNumberFormat="1" applyFont="1" applyFill="1" applyBorder="1" applyProtection="1"/>
    <xf numFmtId="2" fontId="11" fillId="3" borderId="100" xfId="16" applyNumberFormat="1" applyFont="1" applyFill="1" applyBorder="1" applyAlignment="1" applyProtection="1">
      <alignment horizontal="center"/>
    </xf>
    <xf numFmtId="178" fontId="11" fillId="3" borderId="100" xfId="3" applyNumberFormat="1" applyFont="1" applyFill="1" applyBorder="1" applyAlignment="1" applyProtection="1">
      <alignment horizontal="center"/>
      <protection locked="0"/>
    </xf>
    <xf numFmtId="9" fontId="1" fillId="21" borderId="4" xfId="16" applyNumberFormat="1" applyFont="1" applyFill="1" applyBorder="1" applyProtection="1"/>
    <xf numFmtId="173" fontId="1" fillId="21" borderId="0" xfId="16" applyFont="1" applyFill="1" applyBorder="1" applyProtection="1"/>
    <xf numFmtId="173" fontId="1" fillId="21" borderId="5" xfId="16" applyFont="1" applyFill="1" applyBorder="1" applyProtection="1"/>
    <xf numFmtId="0" fontId="1" fillId="21" borderId="138" xfId="0" applyFont="1" applyFill="1" applyBorder="1" applyProtection="1"/>
    <xf numFmtId="173" fontId="1" fillId="21" borderId="145" xfId="16" applyFont="1" applyFill="1" applyBorder="1" applyProtection="1"/>
    <xf numFmtId="181" fontId="11" fillId="3" borderId="134" xfId="16" applyNumberFormat="1" applyFont="1" applyFill="1" applyBorder="1" applyAlignment="1" applyProtection="1">
      <alignment horizontal="center"/>
      <protection locked="0"/>
    </xf>
    <xf numFmtId="173" fontId="1" fillId="21" borderId="59" xfId="16" applyFont="1" applyFill="1" applyBorder="1" applyProtection="1"/>
    <xf numFmtId="173" fontId="1" fillId="21" borderId="87" xfId="16" applyFont="1" applyFill="1" applyBorder="1" applyProtection="1"/>
    <xf numFmtId="173" fontId="3" fillId="21" borderId="41" xfId="16" applyFont="1" applyFill="1" applyBorder="1" applyAlignment="1" applyProtection="1">
      <alignment horizontal="center" wrapText="1"/>
    </xf>
    <xf numFmtId="173" fontId="3" fillId="21" borderId="42" xfId="16" applyFont="1" applyFill="1" applyBorder="1" applyAlignment="1" applyProtection="1">
      <alignment horizontal="center"/>
    </xf>
    <xf numFmtId="173" fontId="3" fillId="21" borderId="42" xfId="16" applyFont="1" applyFill="1" applyBorder="1" applyAlignment="1" applyProtection="1">
      <alignment horizontal="center" wrapText="1"/>
    </xf>
    <xf numFmtId="173" fontId="3" fillId="21" borderId="43" xfId="16" applyFont="1" applyFill="1" applyBorder="1" applyAlignment="1" applyProtection="1">
      <alignment horizontal="center" wrapText="1"/>
    </xf>
    <xf numFmtId="173" fontId="3" fillId="21" borderId="85" xfId="16" applyFont="1" applyFill="1" applyBorder="1" applyAlignment="1" applyProtection="1">
      <alignment horizontal="center" wrapText="1"/>
    </xf>
    <xf numFmtId="173" fontId="3" fillId="21" borderId="150" xfId="16" applyFont="1" applyFill="1" applyBorder="1" applyAlignment="1" applyProtection="1">
      <alignment horizontal="center" wrapText="1"/>
    </xf>
    <xf numFmtId="6" fontId="11" fillId="3" borderId="159" xfId="16" applyNumberFormat="1" applyFont="1" applyFill="1" applyBorder="1" applyProtection="1"/>
    <xf numFmtId="6" fontId="11" fillId="3" borderId="100" xfId="16" applyNumberFormat="1" applyFont="1" applyFill="1" applyBorder="1" applyProtection="1"/>
    <xf numFmtId="6" fontId="1" fillId="3" borderId="100" xfId="16" applyNumberFormat="1" applyFont="1" applyFill="1" applyBorder="1" applyProtection="1"/>
    <xf numFmtId="6" fontId="11" fillId="3" borderId="101" xfId="16" applyNumberFormat="1" applyFont="1" applyFill="1" applyBorder="1" applyProtection="1"/>
    <xf numFmtId="172" fontId="11" fillId="3" borderId="48" xfId="1" applyNumberFormat="1" applyFont="1" applyFill="1" applyBorder="1" applyProtection="1"/>
    <xf numFmtId="172" fontId="11" fillId="3" borderId="49" xfId="1" applyNumberFormat="1" applyFont="1" applyFill="1" applyBorder="1" applyProtection="1"/>
    <xf numFmtId="172" fontId="1" fillId="3" borderId="49" xfId="1" applyNumberFormat="1" applyFont="1" applyFill="1" applyBorder="1" applyProtection="1"/>
    <xf numFmtId="172" fontId="11" fillId="3" borderId="50" xfId="1" applyNumberFormat="1" applyFont="1" applyFill="1" applyBorder="1" applyProtection="1"/>
    <xf numFmtId="165" fontId="11" fillId="3" borderId="37" xfId="16" applyNumberFormat="1" applyFont="1" applyFill="1" applyBorder="1" applyProtection="1"/>
    <xf numFmtId="170" fontId="11" fillId="3" borderId="37" xfId="16" applyNumberFormat="1" applyFont="1" applyFill="1" applyBorder="1" applyProtection="1"/>
    <xf numFmtId="6" fontId="11" fillId="3" borderId="37" xfId="16" applyNumberFormat="1" applyFont="1" applyFill="1" applyBorder="1" applyProtection="1"/>
    <xf numFmtId="164" fontId="1" fillId="3" borderId="37" xfId="17" applyNumberFormat="1" applyFill="1" applyBorder="1" applyProtection="1"/>
    <xf numFmtId="6" fontId="11" fillId="3" borderId="160" xfId="16" applyNumberFormat="1" applyFont="1" applyFill="1" applyBorder="1" applyProtection="1"/>
    <xf numFmtId="6" fontId="11" fillId="3" borderId="60" xfId="16" applyNumberFormat="1" applyFont="1" applyFill="1" applyBorder="1" applyProtection="1"/>
    <xf numFmtId="6" fontId="11" fillId="3" borderId="55" xfId="16" applyNumberFormat="1" applyFont="1" applyFill="1" applyBorder="1" applyProtection="1"/>
    <xf numFmtId="6" fontId="1" fillId="3" borderId="55" xfId="16" applyNumberFormat="1" applyFont="1" applyFill="1" applyBorder="1" applyProtection="1"/>
    <xf numFmtId="6" fontId="11" fillId="3" borderId="161" xfId="16" applyNumberFormat="1" applyFont="1" applyFill="1" applyBorder="1" applyProtection="1"/>
    <xf numFmtId="0" fontId="0" fillId="0" borderId="65" xfId="0" applyBorder="1" applyAlignment="1" applyProtection="1">
      <alignment wrapText="1"/>
    </xf>
    <xf numFmtId="0" fontId="0" fillId="0" borderId="66" xfId="0" applyBorder="1" applyAlignment="1" applyProtection="1">
      <alignment wrapText="1"/>
    </xf>
    <xf numFmtId="173" fontId="3" fillId="21" borderId="162" xfId="16" applyFont="1" applyFill="1" applyBorder="1" applyAlignment="1" applyProtection="1">
      <alignment horizontal="center" wrapText="1"/>
    </xf>
    <xf numFmtId="173" fontId="3" fillId="21" borderId="163" xfId="16" applyFont="1" applyFill="1" applyBorder="1" applyAlignment="1" applyProtection="1">
      <alignment horizontal="center" wrapText="1"/>
    </xf>
    <xf numFmtId="173" fontId="3" fillId="21" borderId="158" xfId="16" applyFont="1" applyFill="1" applyBorder="1" applyAlignment="1" applyProtection="1">
      <alignment horizontal="center" wrapText="1"/>
    </xf>
    <xf numFmtId="6" fontId="11" fillId="3" borderId="164" xfId="16" applyNumberFormat="1" applyFont="1" applyFill="1" applyBorder="1" applyProtection="1"/>
    <xf numFmtId="6" fontId="11" fillId="3" borderId="138" xfId="16" applyNumberFormat="1" applyFont="1" applyFill="1" applyBorder="1" applyProtection="1"/>
    <xf numFmtId="6" fontId="1" fillId="3" borderId="138" xfId="16" applyNumberFormat="1" applyFont="1" applyFill="1" applyBorder="1" applyProtection="1"/>
    <xf numFmtId="6" fontId="11" fillId="3" borderId="165" xfId="16" applyNumberFormat="1" applyFont="1" applyFill="1" applyBorder="1" applyProtection="1"/>
    <xf numFmtId="165" fontId="11" fillId="0" borderId="137" xfId="16" applyNumberFormat="1" applyFont="1" applyFill="1" applyBorder="1" applyProtection="1"/>
    <xf numFmtId="170" fontId="11" fillId="3" borderId="135" xfId="16" applyNumberFormat="1" applyFont="1" applyFill="1" applyBorder="1" applyProtection="1"/>
    <xf numFmtId="170" fontId="11" fillId="3" borderId="99" xfId="16" applyNumberFormat="1" applyFont="1" applyFill="1" applyBorder="1" applyProtection="1"/>
    <xf numFmtId="173" fontId="11" fillId="0" borderId="165" xfId="16" applyFont="1" applyFill="1" applyBorder="1" applyProtection="1"/>
    <xf numFmtId="173" fontId="11" fillId="0" borderId="148" xfId="16" applyFont="1" applyFill="1" applyBorder="1" applyProtection="1"/>
    <xf numFmtId="6" fontId="11" fillId="3" borderId="149" xfId="16" applyNumberFormat="1" applyFont="1" applyFill="1" applyBorder="1" applyProtection="1"/>
    <xf numFmtId="6" fontId="11" fillId="3" borderId="153" xfId="16" applyNumberFormat="1" applyFont="1" applyFill="1" applyBorder="1" applyProtection="1"/>
    <xf numFmtId="173" fontId="11" fillId="0" borderId="123" xfId="16" applyFont="1" applyBorder="1" applyProtection="1"/>
    <xf numFmtId="43" fontId="11" fillId="3" borderId="149" xfId="1" applyFont="1" applyFill="1" applyBorder="1" applyProtection="1"/>
    <xf numFmtId="184" fontId="11" fillId="3" borderId="149" xfId="16" applyNumberFormat="1" applyFont="1" applyFill="1" applyBorder="1" applyProtection="1"/>
    <xf numFmtId="173" fontId="11" fillId="0" borderId="64" xfId="16" applyFont="1" applyBorder="1" applyProtection="1"/>
    <xf numFmtId="173" fontId="1" fillId="0" borderId="166" xfId="16" applyFont="1" applyFill="1" applyBorder="1" applyProtection="1"/>
    <xf numFmtId="173" fontId="1" fillId="0" borderId="145" xfId="16" applyFont="1" applyFill="1" applyBorder="1" applyProtection="1"/>
    <xf numFmtId="0" fontId="3" fillId="21" borderId="169" xfId="0" applyFont="1" applyFill="1" applyBorder="1"/>
    <xf numFmtId="165" fontId="0" fillId="20" borderId="8" xfId="0" applyNumberFormat="1" applyFill="1" applyBorder="1"/>
    <xf numFmtId="0" fontId="70" fillId="21" borderId="8" xfId="0" applyFont="1" applyFill="1" applyBorder="1" applyAlignment="1">
      <alignment vertical="center" wrapText="1"/>
    </xf>
    <xf numFmtId="44" fontId="70" fillId="21" borderId="8" xfId="3" applyFont="1" applyFill="1" applyBorder="1" applyAlignment="1">
      <alignment vertical="center" wrapText="1"/>
    </xf>
    <xf numFmtId="7" fontId="1" fillId="5" borderId="57" xfId="0" applyNumberFormat="1" applyFont="1" applyFill="1" applyBorder="1" applyAlignment="1">
      <alignment vertical="top" wrapText="1"/>
    </xf>
    <xf numFmtId="9" fontId="0" fillId="20" borderId="55" xfId="0" applyNumberFormat="1" applyFill="1" applyBorder="1"/>
    <xf numFmtId="0" fontId="40" fillId="2" borderId="0" xfId="0" applyFont="1" applyFill="1" applyBorder="1" applyAlignment="1">
      <alignment vertical="center" wrapText="1"/>
    </xf>
    <xf numFmtId="0" fontId="3" fillId="20" borderId="8" xfId="0" applyFont="1" applyFill="1" applyBorder="1" applyAlignment="1">
      <alignment horizontal="center" wrapText="1"/>
    </xf>
    <xf numFmtId="0" fontId="1" fillId="20" borderId="8" xfId="0" applyFont="1" applyFill="1" applyBorder="1" applyAlignment="1">
      <alignment wrapText="1"/>
    </xf>
    <xf numFmtId="0" fontId="3" fillId="20" borderId="8" xfId="0" applyFont="1" applyFill="1" applyBorder="1" applyAlignment="1">
      <alignment wrapText="1"/>
    </xf>
    <xf numFmtId="14" fontId="1" fillId="6" borderId="8" xfId="0" applyNumberFormat="1" applyFont="1" applyFill="1" applyBorder="1" applyAlignment="1" applyProtection="1">
      <alignment wrapText="1"/>
      <protection locked="0"/>
    </xf>
    <xf numFmtId="0" fontId="1" fillId="6" borderId="19" xfId="0" applyFont="1" applyFill="1" applyBorder="1" applyAlignment="1" applyProtection="1">
      <alignment wrapText="1"/>
      <protection locked="0"/>
    </xf>
    <xf numFmtId="185" fontId="11" fillId="3" borderId="30" xfId="16" applyNumberFormat="1" applyFont="1" applyFill="1" applyBorder="1" applyProtection="1"/>
    <xf numFmtId="185" fontId="11" fillId="3" borderId="167" xfId="16" applyNumberFormat="1" applyFont="1" applyFill="1" applyBorder="1" applyProtection="1"/>
    <xf numFmtId="185" fontId="11" fillId="0" borderId="29" xfId="16" applyNumberFormat="1" applyFont="1" applyBorder="1" applyProtection="1"/>
    <xf numFmtId="185" fontId="11" fillId="0" borderId="30" xfId="16" applyNumberFormat="1" applyFont="1" applyBorder="1" applyProtection="1"/>
    <xf numFmtId="185" fontId="11" fillId="3" borderId="136" xfId="16" applyNumberFormat="1" applyFont="1" applyFill="1" applyBorder="1" applyProtection="1"/>
    <xf numFmtId="185" fontId="11" fillId="3" borderId="101" xfId="16" applyNumberFormat="1" applyFont="1" applyFill="1" applyBorder="1" applyProtection="1"/>
    <xf numFmtId="185" fontId="11" fillId="0" borderId="103" xfId="16" applyNumberFormat="1" applyFont="1" applyBorder="1" applyProtection="1"/>
    <xf numFmtId="185" fontId="11" fillId="0" borderId="136" xfId="16" applyNumberFormat="1" applyFont="1" applyBorder="1" applyProtection="1"/>
    <xf numFmtId="174" fontId="3" fillId="3" borderId="19" xfId="16" applyNumberFormat="1" applyFont="1" applyFill="1" applyBorder="1" applyAlignment="1" applyProtection="1">
      <alignment horizontal="center"/>
    </xf>
    <xf numFmtId="0" fontId="0" fillId="20" borderId="30" xfId="0" applyFill="1" applyBorder="1" applyAlignment="1">
      <alignment horizontal="center"/>
    </xf>
    <xf numFmtId="9" fontId="0" fillId="20" borderId="30" xfId="17" applyFont="1" applyFill="1" applyBorder="1"/>
    <xf numFmtId="44" fontId="1" fillId="20" borderId="30" xfId="3" applyFont="1" applyFill="1" applyBorder="1"/>
    <xf numFmtId="44" fontId="0" fillId="20" borderId="30" xfId="3" applyFont="1" applyFill="1" applyBorder="1"/>
    <xf numFmtId="0" fontId="0" fillId="19" borderId="170" xfId="0" applyFill="1" applyBorder="1" applyAlignment="1">
      <alignment horizontal="center"/>
    </xf>
    <xf numFmtId="9" fontId="0" fillId="20" borderId="170" xfId="17" applyFont="1" applyFill="1" applyBorder="1"/>
    <xf numFmtId="0" fontId="0" fillId="21" borderId="169" xfId="0" applyFill="1" applyBorder="1"/>
    <xf numFmtId="44" fontId="1" fillId="20" borderId="170" xfId="3" applyFont="1" applyFill="1" applyBorder="1"/>
    <xf numFmtId="44" fontId="0" fillId="20" borderId="170" xfId="3" applyFont="1" applyFill="1" applyBorder="1"/>
    <xf numFmtId="0" fontId="1" fillId="21" borderId="8" xfId="0" applyFont="1" applyFill="1" applyBorder="1"/>
    <xf numFmtId="0" fontId="0" fillId="21" borderId="8" xfId="0" applyFill="1" applyBorder="1"/>
    <xf numFmtId="44" fontId="11" fillId="3" borderId="128" xfId="3" applyFont="1" applyFill="1" applyBorder="1" applyAlignment="1" applyProtection="1">
      <alignment horizontal="center"/>
    </xf>
    <xf numFmtId="44" fontId="11" fillId="3" borderId="108" xfId="3" applyFont="1" applyFill="1" applyBorder="1" applyAlignment="1" applyProtection="1">
      <alignment horizontal="center"/>
    </xf>
    <xf numFmtId="44" fontId="11" fillId="3" borderId="132" xfId="3" applyFont="1" applyFill="1" applyBorder="1" applyAlignment="1" applyProtection="1">
      <alignment horizontal="center"/>
    </xf>
    <xf numFmtId="44" fontId="11" fillId="0" borderId="82" xfId="3" applyFont="1" applyFill="1" applyBorder="1" applyAlignment="1" applyProtection="1">
      <alignment horizontal="center"/>
    </xf>
    <xf numFmtId="44" fontId="0" fillId="21" borderId="0" xfId="0" applyNumberFormat="1" applyFill="1"/>
    <xf numFmtId="0" fontId="71" fillId="21" borderId="0" xfId="0" applyFont="1" applyFill="1"/>
    <xf numFmtId="0" fontId="1" fillId="0" borderId="126" xfId="0" applyFont="1" applyBorder="1" applyAlignment="1">
      <alignment horizontal="centerContinuous" vertical="top" wrapText="1"/>
    </xf>
    <xf numFmtId="180" fontId="1" fillId="6" borderId="7" xfId="0" applyNumberFormat="1" applyFont="1" applyFill="1" applyBorder="1" applyAlignment="1">
      <alignment horizontal="center"/>
    </xf>
    <xf numFmtId="180" fontId="1" fillId="6" borderId="110" xfId="0" applyNumberFormat="1" applyFont="1" applyFill="1" applyBorder="1" applyAlignment="1">
      <alignment horizontal="center"/>
    </xf>
    <xf numFmtId="0" fontId="1" fillId="6" borderId="6" xfId="7" applyFont="1" applyFill="1" applyBorder="1" applyAlignment="1">
      <alignment horizontal="center"/>
    </xf>
    <xf numFmtId="4" fontId="1" fillId="6" borderId="7" xfId="14" applyNumberFormat="1" applyFont="1" applyFill="1" applyBorder="1"/>
    <xf numFmtId="4" fontId="1" fillId="6" borderId="110" xfId="14" applyNumberFormat="1" applyFont="1" applyFill="1" applyBorder="1"/>
    <xf numFmtId="39" fontId="1" fillId="6" borderId="7" xfId="0" applyNumberFormat="1" applyFont="1" applyFill="1" applyBorder="1"/>
    <xf numFmtId="166" fontId="1" fillId="6" borderId="7" xfId="12" applyNumberFormat="1" applyFont="1" applyFill="1" applyBorder="1"/>
    <xf numFmtId="166" fontId="1" fillId="6" borderId="7" xfId="0" applyNumberFormat="1" applyFont="1" applyFill="1" applyBorder="1" applyAlignment="1">
      <alignment horizontal="right"/>
    </xf>
    <xf numFmtId="166" fontId="7" fillId="6" borderId="7" xfId="9" applyNumberFormat="1" applyFont="1" applyFill="1" applyBorder="1"/>
    <xf numFmtId="0" fontId="1" fillId="6" borderId="67" xfId="7" applyFont="1" applyFill="1" applyBorder="1" applyAlignment="1">
      <alignment horizontal="center"/>
    </xf>
    <xf numFmtId="166" fontId="7" fillId="6" borderId="110" xfId="9" applyNumberFormat="1" applyFont="1" applyFill="1" applyBorder="1"/>
    <xf numFmtId="0" fontId="40" fillId="2" borderId="4" xfId="0" applyFont="1" applyFill="1" applyBorder="1" applyAlignment="1">
      <alignment horizontal="left" vertical="center" wrapText="1"/>
    </xf>
    <xf numFmtId="0" fontId="43" fillId="2" borderId="4" xfId="0" applyFont="1" applyFill="1" applyBorder="1" applyAlignment="1">
      <alignment horizontal="left" vertical="center" wrapText="1"/>
    </xf>
    <xf numFmtId="0" fontId="11" fillId="21" borderId="1" xfId="0" applyFont="1" applyFill="1" applyBorder="1"/>
    <xf numFmtId="0" fontId="0" fillId="21" borderId="4" xfId="0" applyFill="1" applyBorder="1"/>
    <xf numFmtId="0" fontId="11" fillId="21" borderId="4" xfId="0" applyFont="1" applyFill="1" applyBorder="1"/>
    <xf numFmtId="0" fontId="11" fillId="21" borderId="144" xfId="0" applyFont="1" applyFill="1" applyBorder="1"/>
    <xf numFmtId="167" fontId="11" fillId="21" borderId="0" xfId="0" applyNumberFormat="1" applyFont="1" applyFill="1" applyBorder="1"/>
    <xf numFmtId="167" fontId="0" fillId="21" borderId="0" xfId="0" applyNumberFormat="1" applyFill="1" applyBorder="1"/>
    <xf numFmtId="167" fontId="11" fillId="21" borderId="2" xfId="7" applyNumberFormat="1" applyFill="1" applyBorder="1"/>
    <xf numFmtId="167" fontId="11" fillId="21" borderId="0" xfId="7" applyNumberFormat="1" applyFill="1" applyBorder="1"/>
    <xf numFmtId="167" fontId="11" fillId="21" borderId="59" xfId="7" applyNumberFormat="1" applyFill="1" applyBorder="1"/>
    <xf numFmtId="0" fontId="3" fillId="21" borderId="65" xfId="0" applyFont="1" applyFill="1" applyBorder="1"/>
    <xf numFmtId="0" fontId="3" fillId="21" borderId="59" xfId="0" applyFont="1" applyFill="1" applyBorder="1" applyAlignment="1">
      <alignment wrapText="1"/>
    </xf>
    <xf numFmtId="0" fontId="0" fillId="21" borderId="79" xfId="0" applyFill="1" applyBorder="1"/>
    <xf numFmtId="0" fontId="0" fillId="21" borderId="6" xfId="0" applyFill="1" applyBorder="1"/>
    <xf numFmtId="0" fontId="11" fillId="21" borderId="6" xfId="0" applyFont="1" applyFill="1" applyBorder="1" applyAlignment="1">
      <alignment horizontal="left"/>
    </xf>
    <xf numFmtId="0" fontId="1" fillId="21" borderId="4" xfId="0" applyFont="1" applyFill="1" applyBorder="1"/>
    <xf numFmtId="0" fontId="1" fillId="21" borderId="6" xfId="0" applyFont="1" applyFill="1" applyBorder="1"/>
    <xf numFmtId="0" fontId="1" fillId="6" borderId="99" xfId="0" applyFont="1" applyFill="1" applyBorder="1" applyAlignment="1" applyProtection="1">
      <alignment horizontal="left" wrapText="1"/>
      <protection locked="0"/>
    </xf>
    <xf numFmtId="0" fontId="1" fillId="6" borderId="100" xfId="0" applyFont="1" applyFill="1" applyBorder="1" applyAlignment="1" applyProtection="1">
      <alignment wrapText="1"/>
      <protection locked="0"/>
    </xf>
    <xf numFmtId="15" fontId="1" fillId="6" borderId="100" xfId="0" applyNumberFormat="1" applyFont="1" applyFill="1" applyBorder="1" applyAlignment="1" applyProtection="1">
      <alignment horizontal="left" wrapText="1"/>
      <protection locked="0"/>
    </xf>
    <xf numFmtId="0" fontId="1" fillId="0" borderId="0" xfId="0" applyFont="1" applyFill="1" applyBorder="1" applyAlignment="1" applyProtection="1">
      <alignment wrapText="1"/>
      <protection locked="0"/>
    </xf>
    <xf numFmtId="0" fontId="1" fillId="6" borderId="19" xfId="0" applyFont="1" applyFill="1" applyBorder="1" applyAlignment="1" applyProtection="1">
      <alignment horizontal="left" wrapText="1"/>
      <protection locked="0"/>
    </xf>
    <xf numFmtId="0" fontId="1" fillId="6" borderId="23" xfId="0" applyFont="1" applyFill="1" applyBorder="1" applyAlignment="1" applyProtection="1">
      <alignment wrapText="1"/>
      <protection locked="0"/>
    </xf>
    <xf numFmtId="0" fontId="1" fillId="6" borderId="8" xfId="0" applyFont="1" applyFill="1" applyBorder="1" applyAlignment="1" applyProtection="1">
      <alignment wrapText="1"/>
      <protection locked="0"/>
    </xf>
    <xf numFmtId="0" fontId="1" fillId="5" borderId="62" xfId="0" applyFont="1" applyFill="1" applyBorder="1" applyAlignment="1">
      <alignment vertical="top" wrapText="1"/>
    </xf>
    <xf numFmtId="169" fontId="14" fillId="3" borderId="57" xfId="0" applyNumberFormat="1" applyFont="1" applyFill="1" applyBorder="1" applyAlignment="1">
      <alignment vertical="center" wrapText="1"/>
    </xf>
    <xf numFmtId="164" fontId="0" fillId="5" borderId="137" xfId="17" applyNumberFormat="1" applyFont="1" applyFill="1" applyBorder="1" applyAlignment="1">
      <alignment vertical="top" wrapText="1"/>
    </xf>
    <xf numFmtId="0" fontId="1" fillId="5" borderId="137" xfId="0" applyFont="1" applyFill="1" applyBorder="1" applyAlignment="1" applyProtection="1">
      <alignment horizontal="left" wrapText="1"/>
      <protection locked="0"/>
    </xf>
    <xf numFmtId="0" fontId="1" fillId="5" borderId="138" xfId="0" applyFont="1" applyFill="1" applyBorder="1" applyAlignment="1" applyProtection="1">
      <alignment horizontal="left" wrapText="1"/>
      <protection locked="0"/>
    </xf>
    <xf numFmtId="2" fontId="1" fillId="5" borderId="146" xfId="0" applyNumberFormat="1" applyFont="1" applyFill="1" applyBorder="1" applyAlignment="1" applyProtection="1">
      <alignment wrapText="1"/>
      <protection locked="0"/>
    </xf>
    <xf numFmtId="2" fontId="1" fillId="5" borderId="141" xfId="0" applyNumberFormat="1" applyFont="1" applyFill="1" applyBorder="1" applyAlignment="1" applyProtection="1">
      <alignment wrapText="1"/>
      <protection locked="0"/>
    </xf>
    <xf numFmtId="170" fontId="11" fillId="3" borderId="57" xfId="0" applyNumberFormat="1" applyFont="1" applyFill="1" applyBorder="1" applyAlignment="1">
      <alignment vertical="top" wrapText="1"/>
    </xf>
    <xf numFmtId="173" fontId="5" fillId="2" borderId="63" xfId="16" applyFont="1" applyFill="1" applyBorder="1" applyAlignment="1" applyProtection="1">
      <alignment vertical="top" wrapText="1"/>
    </xf>
    <xf numFmtId="0" fontId="5" fillId="2" borderId="98" xfId="0" applyFont="1" applyFill="1" applyBorder="1" applyAlignment="1">
      <alignment vertical="top" wrapText="1"/>
    </xf>
    <xf numFmtId="0" fontId="5" fillId="2" borderId="108" xfId="0" applyFont="1" applyFill="1" applyBorder="1" applyAlignment="1">
      <alignment vertical="top" wrapText="1"/>
    </xf>
    <xf numFmtId="173" fontId="47" fillId="2" borderId="63" xfId="16" applyFont="1" applyFill="1" applyBorder="1" applyAlignment="1" applyProtection="1">
      <alignment horizontal="right"/>
    </xf>
    <xf numFmtId="169" fontId="47" fillId="2" borderId="98" xfId="0" applyNumberFormat="1" applyFont="1" applyFill="1" applyBorder="1" applyAlignment="1">
      <alignment vertical="top" wrapText="1"/>
    </xf>
    <xf numFmtId="169" fontId="47" fillId="2" borderId="108" xfId="0" applyNumberFormat="1" applyFont="1" applyFill="1" applyBorder="1" applyAlignment="1">
      <alignment vertical="top" wrapText="1"/>
    </xf>
    <xf numFmtId="173" fontId="5" fillId="2" borderId="109" xfId="16" applyFont="1" applyFill="1" applyBorder="1" applyProtection="1"/>
    <xf numFmtId="169" fontId="47" fillId="2" borderId="120" xfId="0" applyNumberFormat="1" applyFont="1" applyFill="1" applyBorder="1" applyAlignment="1">
      <alignment vertical="top" wrapText="1"/>
    </xf>
    <xf numFmtId="169" fontId="47" fillId="2" borderId="111" xfId="0" applyNumberFormat="1" applyFont="1" applyFill="1" applyBorder="1" applyAlignment="1">
      <alignment vertical="top" wrapText="1"/>
    </xf>
    <xf numFmtId="0" fontId="0" fillId="0" borderId="0" xfId="0" applyBorder="1" applyAlignment="1">
      <alignment vertical="top" wrapText="1"/>
    </xf>
    <xf numFmtId="0" fontId="0" fillId="0" borderId="0" xfId="0" applyBorder="1" applyAlignment="1">
      <alignment vertical="top" wrapText="1"/>
    </xf>
    <xf numFmtId="0" fontId="38" fillId="0" borderId="6" xfId="0" applyFont="1" applyFill="1" applyBorder="1" applyAlignment="1">
      <alignment vertical="top" wrapText="1"/>
    </xf>
    <xf numFmtId="0" fontId="1" fillId="0" borderId="6" xfId="0" applyFont="1" applyBorder="1" applyAlignment="1">
      <alignment horizontal="left" vertical="top" wrapText="1" indent="1"/>
    </xf>
    <xf numFmtId="0" fontId="3" fillId="0" borderId="6" xfId="0" applyFont="1" applyBorder="1" applyAlignment="1">
      <alignment horizontal="left" vertical="top" wrapText="1" indent="1"/>
    </xf>
    <xf numFmtId="0" fontId="1" fillId="0" borderId="0" xfId="0" applyFont="1" applyBorder="1" applyAlignment="1">
      <alignment horizontal="left" vertical="top" wrapText="1" indent="1"/>
    </xf>
    <xf numFmtId="0" fontId="1" fillId="0" borderId="0" xfId="0" applyFont="1" applyBorder="1" applyAlignment="1">
      <alignment vertical="top" wrapText="1"/>
    </xf>
    <xf numFmtId="0" fontId="1" fillId="0" borderId="0" xfId="0" applyFont="1" applyBorder="1" applyAlignment="1">
      <alignment vertical="top"/>
    </xf>
    <xf numFmtId="0" fontId="1" fillId="0" borderId="0" xfId="0" applyFont="1" applyAlignment="1">
      <alignment vertical="top" wrapText="1"/>
    </xf>
    <xf numFmtId="1" fontId="72" fillId="0" borderId="0" xfId="0" applyNumberFormat="1" applyFont="1" applyBorder="1" applyAlignment="1">
      <alignment vertical="top" wrapText="1"/>
    </xf>
    <xf numFmtId="0" fontId="0" fillId="0" borderId="0" xfId="0" applyBorder="1" applyAlignment="1">
      <alignment vertical="top" wrapText="1"/>
    </xf>
    <xf numFmtId="0" fontId="0" fillId="0" borderId="130" xfId="0" applyBorder="1" applyAlignment="1">
      <alignment vertical="top" wrapText="1"/>
    </xf>
    <xf numFmtId="0" fontId="1" fillId="0" borderId="0" xfId="0" applyFont="1" applyAlignment="1">
      <alignment vertical="top"/>
    </xf>
    <xf numFmtId="0" fontId="1" fillId="0" borderId="67" xfId="0" applyFont="1" applyBorder="1" applyAlignment="1">
      <alignment horizontal="left" vertical="top" wrapText="1" indent="1"/>
    </xf>
    <xf numFmtId="172" fontId="0" fillId="0" borderId="0" xfId="1" applyNumberFormat="1" applyFont="1" applyAlignment="1">
      <alignment vertical="top" wrapText="1"/>
    </xf>
    <xf numFmtId="0" fontId="1" fillId="0" borderId="0" xfId="0" applyFont="1" applyAlignment="1">
      <alignment wrapText="1"/>
    </xf>
    <xf numFmtId="172" fontId="72" fillId="0" borderId="0" xfId="1" applyNumberFormat="1" applyFont="1" applyBorder="1" applyAlignment="1">
      <alignment vertical="top" wrapText="1"/>
    </xf>
    <xf numFmtId="186" fontId="7" fillId="0" borderId="0" xfId="20" applyNumberFormat="1" applyFont="1" applyFill="1" applyAlignment="1">
      <alignment horizontal="right"/>
    </xf>
    <xf numFmtId="10" fontId="0" fillId="0" borderId="0" xfId="17" applyNumberFormat="1" applyFont="1"/>
    <xf numFmtId="2" fontId="14" fillId="3" borderId="37" xfId="0" applyNumberFormat="1" applyFont="1" applyFill="1" applyBorder="1" applyAlignment="1">
      <alignment vertical="top" wrapText="1"/>
    </xf>
    <xf numFmtId="186" fontId="7" fillId="0" borderId="0" xfId="20" applyNumberFormat="1" applyFont="1" applyFill="1" applyAlignment="1">
      <alignment horizontal="right"/>
    </xf>
    <xf numFmtId="0" fontId="0" fillId="0" borderId="129" xfId="0" applyBorder="1" applyAlignment="1">
      <alignment vertical="top" wrapText="1"/>
    </xf>
    <xf numFmtId="172" fontId="1" fillId="0" borderId="0" xfId="1" applyNumberFormat="1" applyFont="1" applyBorder="1" applyAlignment="1">
      <alignment vertical="top" wrapText="1"/>
    </xf>
    <xf numFmtId="43" fontId="0" fillId="0" borderId="0" xfId="0" applyNumberFormat="1" applyBorder="1" applyAlignment="1">
      <alignment vertical="top" wrapText="1"/>
    </xf>
    <xf numFmtId="0" fontId="0" fillId="0" borderId="0" xfId="0" applyBorder="1" applyAlignment="1">
      <alignment vertical="top" wrapText="1"/>
    </xf>
    <xf numFmtId="1" fontId="14" fillId="3" borderId="8" xfId="0" applyNumberFormat="1" applyFont="1" applyFill="1" applyBorder="1" applyAlignment="1">
      <alignment vertical="top" wrapText="1"/>
    </xf>
    <xf numFmtId="0" fontId="0" fillId="4" borderId="8" xfId="0" applyFill="1" applyBorder="1" applyAlignment="1">
      <alignment vertical="top" wrapText="1"/>
    </xf>
    <xf numFmtId="3" fontId="14" fillId="5" borderId="8" xfId="0" applyNumberFormat="1" applyFont="1" applyFill="1" applyBorder="1" applyAlignment="1">
      <alignment vertical="top" wrapText="1"/>
    </xf>
    <xf numFmtId="9" fontId="14" fillId="5" borderId="8" xfId="0" applyNumberFormat="1" applyFont="1" applyFill="1" applyBorder="1" applyAlignment="1">
      <alignment vertical="top" wrapText="1"/>
    </xf>
    <xf numFmtId="3" fontId="14" fillId="5" borderId="8" xfId="0" applyNumberFormat="1" applyFont="1" applyFill="1" applyBorder="1" applyAlignment="1">
      <alignment horizontal="right" vertical="top" wrapText="1"/>
    </xf>
    <xf numFmtId="169" fontId="14" fillId="5" borderId="8" xfId="0" applyNumberFormat="1" applyFont="1" applyFill="1" applyBorder="1" applyAlignment="1">
      <alignment vertical="top" wrapText="1"/>
    </xf>
    <xf numFmtId="165" fontId="14" fillId="3" borderId="8" xfId="0" applyNumberFormat="1" applyFont="1" applyFill="1" applyBorder="1" applyAlignment="1">
      <alignment vertical="top" wrapText="1"/>
    </xf>
    <xf numFmtId="0" fontId="0" fillId="6" borderId="55" xfId="0" applyFill="1" applyBorder="1" applyAlignment="1">
      <alignment horizontal="left" vertical="top"/>
    </xf>
    <xf numFmtId="1" fontId="14" fillId="3" borderId="136" xfId="0" quotePrefix="1" applyNumberFormat="1" applyFont="1" applyFill="1" applyBorder="1" applyAlignment="1">
      <alignment vertical="top" wrapText="1"/>
    </xf>
    <xf numFmtId="0" fontId="0" fillId="4" borderId="136" xfId="0" applyFill="1" applyBorder="1" applyAlignment="1">
      <alignment vertical="top" wrapText="1"/>
    </xf>
    <xf numFmtId="1" fontId="14" fillId="3" borderId="136" xfId="0" applyNumberFormat="1" applyFont="1" applyFill="1" applyBorder="1" applyAlignment="1">
      <alignment vertical="top" wrapText="1"/>
    </xf>
    <xf numFmtId="165" fontId="14" fillId="5" borderId="136" xfId="0" applyNumberFormat="1" applyFont="1" applyFill="1" applyBorder="1" applyAlignment="1">
      <alignment vertical="top" wrapText="1"/>
    </xf>
    <xf numFmtId="0" fontId="37" fillId="22" borderId="2" xfId="0" applyFont="1" applyFill="1" applyBorder="1" applyAlignment="1">
      <alignment vertical="top" wrapText="1"/>
    </xf>
    <xf numFmtId="0" fontId="0" fillId="22" borderId="2" xfId="0" applyFill="1" applyBorder="1" applyAlignment="1">
      <alignment vertical="top" wrapText="1"/>
    </xf>
    <xf numFmtId="0" fontId="5" fillId="22" borderId="81" xfId="0" applyFont="1" applyFill="1" applyBorder="1" applyAlignment="1">
      <alignment vertical="top" wrapText="1"/>
    </xf>
    <xf numFmtId="0" fontId="0" fillId="22" borderId="82" xfId="0" applyFill="1" applyBorder="1" applyAlignment="1">
      <alignment vertical="top" wrapText="1"/>
    </xf>
    <xf numFmtId="0" fontId="14" fillId="0" borderId="17" xfId="0" applyFont="1" applyBorder="1" applyAlignment="1">
      <alignment horizontal="left" vertical="top" wrapText="1" indent="1"/>
    </xf>
    <xf numFmtId="0" fontId="14" fillId="0" borderId="173" xfId="0" applyFont="1" applyBorder="1" applyAlignment="1">
      <alignment horizontal="left" vertical="top" wrapText="1" indent="1"/>
    </xf>
    <xf numFmtId="0" fontId="0" fillId="6" borderId="108" xfId="0" applyFill="1" applyBorder="1" applyAlignment="1">
      <alignment horizontal="left" vertical="top"/>
    </xf>
    <xf numFmtId="0" fontId="14" fillId="0" borderId="20" xfId="0" applyFont="1" applyBorder="1" applyAlignment="1">
      <alignment horizontal="left" vertical="top" wrapText="1" indent="1"/>
    </xf>
    <xf numFmtId="0" fontId="0" fillId="4" borderId="22" xfId="0" applyFill="1" applyBorder="1" applyAlignment="1">
      <alignment vertical="top" wrapText="1"/>
    </xf>
    <xf numFmtId="0" fontId="3" fillId="0" borderId="0" xfId="0" applyFont="1" applyBorder="1" applyAlignment="1">
      <alignment vertical="top"/>
    </xf>
    <xf numFmtId="0" fontId="66" fillId="0" borderId="0" xfId="0" applyFont="1"/>
    <xf numFmtId="170" fontId="76" fillId="0" borderId="0" xfId="0" applyNumberFormat="1" applyFont="1" applyFill="1" applyBorder="1" applyAlignment="1">
      <alignment vertical="top" wrapText="1"/>
    </xf>
    <xf numFmtId="187" fontId="7" fillId="0" borderId="0" xfId="20" applyNumberFormat="1" applyFont="1" applyFill="1" applyAlignment="1">
      <alignment horizontal="right"/>
    </xf>
    <xf numFmtId="0" fontId="3" fillId="0" borderId="0" xfId="0" applyFont="1" applyBorder="1" applyAlignment="1">
      <alignment vertical="top" wrapText="1"/>
    </xf>
    <xf numFmtId="0" fontId="1" fillId="0" borderId="0" xfId="0" applyFont="1" applyAlignment="1">
      <alignment horizontal="right"/>
    </xf>
    <xf numFmtId="0" fontId="77" fillId="0" borderId="0" xfId="0" applyFont="1" applyAlignment="1"/>
    <xf numFmtId="0" fontId="77" fillId="0" borderId="0" xfId="0" applyFont="1" applyBorder="1"/>
    <xf numFmtId="0" fontId="14" fillId="5" borderId="8" xfId="0" applyFont="1" applyFill="1" applyBorder="1" applyAlignment="1">
      <alignment vertical="top" wrapText="1"/>
    </xf>
    <xf numFmtId="165" fontId="14" fillId="3" borderId="22" xfId="0" applyNumberFormat="1" applyFont="1" applyFill="1" applyBorder="1" applyAlignment="1">
      <alignment vertical="top" wrapText="1"/>
    </xf>
    <xf numFmtId="0" fontId="38" fillId="21" borderId="24" xfId="0" applyFont="1" applyFill="1" applyBorder="1" applyAlignment="1">
      <alignment horizontal="left" vertical="center" wrapText="1"/>
    </xf>
    <xf numFmtId="0" fontId="37" fillId="21" borderId="76" xfId="0" applyFont="1" applyFill="1" applyBorder="1" applyAlignment="1">
      <alignment vertical="center" wrapText="1"/>
    </xf>
    <xf numFmtId="0" fontId="0" fillId="21" borderId="65" xfId="0" applyFill="1" applyBorder="1" applyAlignment="1">
      <alignment vertical="center" wrapText="1"/>
    </xf>
    <xf numFmtId="0" fontId="0" fillId="21" borderId="66" xfId="0" applyFill="1" applyBorder="1" applyAlignment="1">
      <alignment vertical="center" wrapText="1"/>
    </xf>
    <xf numFmtId="0" fontId="38" fillId="21" borderId="40" xfId="0" applyFont="1" applyFill="1" applyBorder="1" applyAlignment="1">
      <alignment vertical="center" wrapText="1"/>
    </xf>
    <xf numFmtId="0" fontId="37" fillId="21" borderId="106" xfId="0" applyFont="1" applyFill="1" applyBorder="1" applyAlignment="1">
      <alignment vertical="center" wrapText="1"/>
    </xf>
    <xf numFmtId="0" fontId="0" fillId="21" borderId="106" xfId="0" applyFill="1" applyBorder="1" applyAlignment="1">
      <alignment vertical="center" wrapText="1"/>
    </xf>
    <xf numFmtId="0" fontId="0" fillId="21" borderId="107" xfId="0" applyFill="1" applyBorder="1" applyAlignment="1">
      <alignment vertical="center" wrapText="1"/>
    </xf>
    <xf numFmtId="0" fontId="14" fillId="21" borderId="98" xfId="0" applyFont="1" applyFill="1" applyBorder="1" applyAlignment="1">
      <alignment vertical="top" wrapText="1"/>
    </xf>
    <xf numFmtId="0" fontId="14" fillId="21" borderId="108" xfId="0" applyFont="1" applyFill="1" applyBorder="1" applyAlignment="1">
      <alignment vertical="top" wrapText="1"/>
    </xf>
    <xf numFmtId="178" fontId="14" fillId="21" borderId="98" xfId="0" applyNumberFormat="1" applyFont="1" applyFill="1" applyBorder="1" applyAlignment="1">
      <alignment vertical="top" wrapText="1"/>
    </xf>
    <xf numFmtId="0" fontId="5" fillId="21" borderId="108" xfId="0" applyFont="1" applyFill="1" applyBorder="1" applyAlignment="1">
      <alignment vertical="top" wrapText="1"/>
    </xf>
    <xf numFmtId="0" fontId="14" fillId="21" borderId="63" xfId="0" applyFont="1" applyFill="1" applyBorder="1" applyAlignment="1">
      <alignment horizontal="left" vertical="top" wrapText="1"/>
    </xf>
    <xf numFmtId="0" fontId="14" fillId="21" borderId="98" xfId="0" applyFont="1" applyFill="1" applyBorder="1" applyAlignment="1">
      <alignment horizontal="left" vertical="top" wrapText="1"/>
    </xf>
    <xf numFmtId="0" fontId="14" fillId="21" borderId="139" xfId="0" applyFont="1" applyFill="1" applyBorder="1" applyAlignment="1">
      <alignment horizontal="left" vertical="top" wrapText="1"/>
    </xf>
    <xf numFmtId="0" fontId="14" fillId="21" borderId="140" xfId="0" applyFont="1" applyFill="1" applyBorder="1" applyAlignment="1">
      <alignment horizontal="left" vertical="top" wrapText="1"/>
    </xf>
    <xf numFmtId="178" fontId="14" fillId="21" borderId="140" xfId="0" applyNumberFormat="1" applyFont="1" applyFill="1" applyBorder="1" applyAlignment="1">
      <alignment vertical="top" wrapText="1"/>
    </xf>
    <xf numFmtId="0" fontId="14" fillId="21" borderId="125" xfId="0" applyFont="1" applyFill="1" applyBorder="1" applyAlignment="1">
      <alignment vertical="top" wrapText="1"/>
    </xf>
    <xf numFmtId="0" fontId="1" fillId="23" borderId="6" xfId="0" applyFont="1" applyFill="1" applyBorder="1" applyAlignment="1">
      <alignment horizontal="left" vertical="top" wrapText="1" indent="1"/>
    </xf>
    <xf numFmtId="2" fontId="0" fillId="23" borderId="0" xfId="0" applyNumberFormat="1" applyFill="1" applyBorder="1" applyAlignment="1">
      <alignment vertical="top" wrapText="1"/>
    </xf>
    <xf numFmtId="0" fontId="0" fillId="23" borderId="0" xfId="0" applyFill="1" applyBorder="1" applyAlignment="1">
      <alignment vertical="top" wrapText="1"/>
    </xf>
    <xf numFmtId="172" fontId="1" fillId="23" borderId="0" xfId="1" applyNumberFormat="1" applyFont="1" applyFill="1" applyBorder="1" applyAlignment="1">
      <alignment vertical="top" wrapText="1"/>
    </xf>
    <xf numFmtId="0" fontId="1" fillId="23" borderId="0" xfId="0" applyFont="1" applyFill="1" applyBorder="1" applyAlignment="1">
      <alignment vertical="top" wrapText="1"/>
    </xf>
    <xf numFmtId="1" fontId="0" fillId="23" borderId="0" xfId="0" applyNumberFormat="1" applyFill="1" applyBorder="1" applyAlignment="1">
      <alignment vertical="top" wrapText="1"/>
    </xf>
    <xf numFmtId="0" fontId="1" fillId="23" borderId="0" xfId="0" applyFont="1" applyFill="1" applyAlignment="1">
      <alignment vertical="top" wrapText="1"/>
    </xf>
    <xf numFmtId="0" fontId="0" fillId="23" borderId="0" xfId="0" applyFill="1" applyAlignment="1">
      <alignment vertical="top" wrapText="1"/>
    </xf>
    <xf numFmtId="183" fontId="1" fillId="23" borderId="0" xfId="1" applyNumberFormat="1" applyFont="1" applyFill="1" applyBorder="1" applyAlignment="1">
      <alignment vertical="top" wrapText="1"/>
    </xf>
    <xf numFmtId="0" fontId="1" fillId="23" borderId="0" xfId="0" applyFont="1" applyFill="1" applyAlignment="1">
      <alignment vertical="top"/>
    </xf>
    <xf numFmtId="43" fontId="1" fillId="23" borderId="0" xfId="1" applyNumberFormat="1" applyFont="1" applyFill="1" applyBorder="1" applyAlignment="1">
      <alignment vertical="top" wrapText="1"/>
    </xf>
    <xf numFmtId="178" fontId="14" fillId="23" borderId="98" xfId="0" applyNumberFormat="1" applyFont="1" applyFill="1" applyBorder="1" applyAlignment="1">
      <alignment vertical="top" wrapText="1"/>
    </xf>
    <xf numFmtId="0" fontId="14" fillId="23" borderId="63" xfId="0" applyFont="1" applyFill="1" applyBorder="1" applyAlignment="1">
      <alignment horizontal="left" vertical="top" wrapText="1"/>
    </xf>
    <xf numFmtId="0" fontId="14" fillId="23" borderId="98" xfId="0" applyFont="1" applyFill="1" applyBorder="1" applyAlignment="1">
      <alignment horizontal="left" vertical="top" wrapText="1"/>
    </xf>
    <xf numFmtId="178" fontId="5" fillId="23" borderId="98" xfId="0" applyNumberFormat="1" applyFont="1" applyFill="1" applyBorder="1" applyAlignment="1">
      <alignment vertical="top" wrapText="1"/>
    </xf>
    <xf numFmtId="172" fontId="14" fillId="23" borderId="0" xfId="0" applyNumberFormat="1" applyFont="1" applyFill="1" applyAlignment="1">
      <alignment vertical="top" wrapText="1"/>
    </xf>
    <xf numFmtId="169" fontId="14" fillId="23" borderId="128" xfId="0" applyNumberFormat="1" applyFont="1" applyFill="1" applyBorder="1" applyAlignment="1">
      <alignment vertical="top" wrapText="1"/>
    </xf>
    <xf numFmtId="169" fontId="14" fillId="23" borderId="108" xfId="0" applyNumberFormat="1" applyFont="1" applyFill="1" applyBorder="1" applyAlignment="1">
      <alignment vertical="top" wrapText="1"/>
    </xf>
    <xf numFmtId="10" fontId="5" fillId="5" borderId="8" xfId="0" applyNumberFormat="1" applyFont="1" applyFill="1" applyBorder="1" applyAlignment="1">
      <alignment vertical="top" wrapText="1"/>
    </xf>
    <xf numFmtId="169" fontId="14" fillId="23" borderId="110" xfId="0" applyNumberFormat="1" applyFont="1" applyFill="1" applyBorder="1" applyAlignment="1">
      <alignment vertical="top" wrapText="1"/>
    </xf>
    <xf numFmtId="169" fontId="14" fillId="23" borderId="176" xfId="0" applyNumberFormat="1" applyFont="1" applyFill="1" applyBorder="1" applyAlignment="1">
      <alignment vertical="top" wrapText="1"/>
    </xf>
    <xf numFmtId="172" fontId="3" fillId="23" borderId="0" xfId="1" applyNumberFormat="1" applyFont="1" applyFill="1" applyBorder="1" applyAlignment="1">
      <alignment vertical="top" wrapText="1"/>
    </xf>
    <xf numFmtId="0" fontId="3" fillId="0" borderId="1" xfId="0" applyFont="1" applyFill="1" applyBorder="1"/>
    <xf numFmtId="0" fontId="3" fillId="0" borderId="2" xfId="0" applyFont="1" applyFill="1" applyBorder="1"/>
    <xf numFmtId="0" fontId="3" fillId="21" borderId="2" xfId="0" applyFont="1" applyFill="1" applyBorder="1"/>
    <xf numFmtId="0" fontId="0" fillId="0" borderId="2" xfId="0" applyBorder="1"/>
    <xf numFmtId="0" fontId="1" fillId="17" borderId="2" xfId="0" applyFont="1" applyFill="1" applyBorder="1"/>
    <xf numFmtId="0" fontId="0" fillId="17" borderId="2" xfId="0" applyFill="1" applyBorder="1"/>
    <xf numFmtId="0" fontId="0" fillId="17" borderId="3" xfId="0" applyFill="1" applyBorder="1"/>
    <xf numFmtId="0" fontId="3" fillId="0" borderId="58" xfId="0" applyFont="1" applyFill="1" applyBorder="1"/>
    <xf numFmtId="0" fontId="3" fillId="0" borderId="5" xfId="0" applyFont="1" applyFill="1" applyBorder="1"/>
    <xf numFmtId="0" fontId="0" fillId="0" borderId="143" xfId="0" applyFill="1" applyBorder="1"/>
    <xf numFmtId="0" fontId="0" fillId="0" borderId="3" xfId="0" applyFill="1" applyBorder="1"/>
    <xf numFmtId="167" fontId="0" fillId="0" borderId="59" xfId="0" applyNumberFormat="1" applyFill="1" applyBorder="1"/>
    <xf numFmtId="0" fontId="0" fillId="0" borderId="58" xfId="0" applyBorder="1"/>
    <xf numFmtId="0" fontId="18" fillId="0" borderId="59" xfId="0" applyFont="1" applyFill="1" applyBorder="1"/>
    <xf numFmtId="39" fontId="3" fillId="6" borderId="7" xfId="0" applyNumberFormat="1" applyFont="1" applyFill="1" applyBorder="1"/>
    <xf numFmtId="0" fontId="1" fillId="0" borderId="0" xfId="0" applyFont="1" applyFill="1" applyBorder="1"/>
    <xf numFmtId="0" fontId="0" fillId="24" borderId="0" xfId="0" applyFill="1" applyBorder="1"/>
    <xf numFmtId="0" fontId="3" fillId="24" borderId="0" xfId="0" applyFont="1" applyFill="1" applyBorder="1"/>
    <xf numFmtId="0" fontId="0" fillId="0" borderId="1" xfId="0" applyBorder="1" applyAlignment="1">
      <alignment wrapText="1"/>
    </xf>
    <xf numFmtId="0" fontId="0" fillId="0" borderId="2" xfId="0" applyBorder="1" applyAlignment="1">
      <alignment wrapText="1"/>
    </xf>
    <xf numFmtId="0" fontId="0" fillId="0" borderId="3" xfId="0" applyBorder="1" applyAlignment="1">
      <alignment wrapText="1"/>
    </xf>
    <xf numFmtId="0" fontId="3" fillId="0" borderId="4" xfId="0" applyFont="1" applyBorder="1"/>
    <xf numFmtId="0" fontId="3" fillId="0" borderId="0" xfId="0" applyFont="1" applyBorder="1"/>
    <xf numFmtId="0" fontId="3" fillId="0" borderId="5" xfId="0" applyFont="1" applyBorder="1"/>
    <xf numFmtId="0" fontId="0" fillId="25" borderId="137" xfId="0" applyFill="1" applyBorder="1"/>
    <xf numFmtId="0" fontId="0" fillId="25" borderId="171" xfId="0" applyFill="1" applyBorder="1"/>
    <xf numFmtId="0" fontId="0" fillId="25" borderId="135" xfId="0" applyFill="1" applyBorder="1"/>
    <xf numFmtId="0" fontId="0" fillId="25" borderId="99" xfId="0" applyFill="1" applyBorder="1"/>
    <xf numFmtId="0" fontId="0" fillId="25" borderId="138" xfId="0" applyFill="1" applyBorder="1"/>
    <xf numFmtId="0" fontId="0" fillId="25" borderId="55" xfId="0" applyFill="1" applyBorder="1"/>
    <xf numFmtId="0" fontId="0" fillId="25" borderId="8" xfId="0" applyFill="1" applyBorder="1"/>
    <xf numFmtId="0" fontId="0" fillId="25" borderId="100" xfId="0" applyFill="1" applyBorder="1"/>
    <xf numFmtId="0" fontId="0" fillId="25" borderId="145" xfId="0" applyFill="1" applyBorder="1"/>
    <xf numFmtId="0" fontId="0" fillId="25" borderId="172" xfId="0" applyFill="1" applyBorder="1"/>
    <xf numFmtId="0" fontId="0" fillId="25" borderId="136" xfId="0" applyFill="1" applyBorder="1"/>
    <xf numFmtId="0" fontId="0" fillId="25" borderId="101" xfId="0" applyFill="1" applyBorder="1"/>
    <xf numFmtId="0" fontId="1" fillId="0" borderId="98" xfId="0" applyFont="1" applyBorder="1"/>
    <xf numFmtId="3" fontId="1" fillId="0" borderId="115" xfId="0" applyNumberFormat="1" applyFont="1" applyBorder="1"/>
    <xf numFmtId="3" fontId="1" fillId="0" borderId="98" xfId="0" applyNumberFormat="1" applyFont="1" applyBorder="1"/>
    <xf numFmtId="3" fontId="1" fillId="0" borderId="116" xfId="0" applyNumberFormat="1" applyFont="1" applyBorder="1"/>
    <xf numFmtId="165" fontId="1" fillId="0" borderId="98" xfId="0" applyNumberFormat="1" applyFont="1" applyBorder="1"/>
    <xf numFmtId="0" fontId="3" fillId="0" borderId="1" xfId="0" applyFont="1" applyBorder="1" applyAlignment="1">
      <alignment wrapText="1"/>
    </xf>
    <xf numFmtId="0" fontId="3" fillId="0" borderId="62" xfId="0" applyFont="1" applyBorder="1" applyAlignment="1">
      <alignment horizontal="center" vertical="center" wrapText="1"/>
    </xf>
    <xf numFmtId="0" fontId="3" fillId="0" borderId="89" xfId="0" applyFont="1" applyFill="1" applyBorder="1" applyProtection="1"/>
    <xf numFmtId="0" fontId="0" fillId="3" borderId="112" xfId="0" applyFill="1" applyBorder="1"/>
    <xf numFmtId="165" fontId="0" fillId="3" borderId="146" xfId="0" applyNumberFormat="1" applyFill="1" applyBorder="1"/>
    <xf numFmtId="0" fontId="0" fillId="3" borderId="115" xfId="0" applyFill="1" applyBorder="1"/>
    <xf numFmtId="165" fontId="0" fillId="3" borderId="141" xfId="0" applyNumberFormat="1" applyFill="1" applyBorder="1"/>
    <xf numFmtId="0" fontId="1" fillId="3" borderId="115" xfId="0" applyFont="1" applyFill="1" applyBorder="1"/>
    <xf numFmtId="165" fontId="1" fillId="3" borderId="141" xfId="0" applyNumberFormat="1" applyFont="1" applyFill="1" applyBorder="1"/>
    <xf numFmtId="0" fontId="0" fillId="3" borderId="117" xfId="0" applyFill="1" applyBorder="1"/>
    <xf numFmtId="0" fontId="0" fillId="0" borderId="119" xfId="0" applyBorder="1"/>
    <xf numFmtId="3" fontId="0" fillId="0" borderId="118" xfId="0" applyNumberFormat="1" applyBorder="1"/>
    <xf numFmtId="165" fontId="0" fillId="0" borderId="117" xfId="0" applyNumberFormat="1" applyBorder="1"/>
    <xf numFmtId="165" fontId="0" fillId="0" borderId="118" xfId="0" applyNumberFormat="1" applyBorder="1"/>
    <xf numFmtId="165" fontId="0" fillId="0" borderId="119" xfId="0" applyNumberFormat="1" applyBorder="1"/>
    <xf numFmtId="165" fontId="0" fillId="3" borderId="147" xfId="0" applyNumberFormat="1" applyFill="1" applyBorder="1"/>
    <xf numFmtId="0" fontId="5" fillId="0" borderId="143" xfId="0" applyFont="1" applyBorder="1" applyAlignment="1">
      <alignment horizontal="centerContinuous" wrapText="1"/>
    </xf>
    <xf numFmtId="0" fontId="5" fillId="0" borderId="79" xfId="0" applyFont="1" applyBorder="1" applyAlignment="1">
      <alignment horizontal="centerContinuous" wrapText="1"/>
    </xf>
    <xf numFmtId="0" fontId="5" fillId="0" borderId="64" xfId="0" applyFont="1" applyBorder="1" applyAlignment="1">
      <alignment horizontal="centerContinuous" wrapText="1"/>
    </xf>
    <xf numFmtId="10" fontId="1" fillId="5" borderId="62" xfId="0" applyNumberFormat="1" applyFont="1" applyFill="1" applyBorder="1" applyAlignment="1">
      <alignment vertical="top" wrapText="1"/>
    </xf>
    <xf numFmtId="15" fontId="1" fillId="0" borderId="0" xfId="0" applyNumberFormat="1" applyFont="1" applyFill="1" applyBorder="1" applyAlignment="1" applyProtection="1">
      <alignment horizontal="left" wrapText="1"/>
      <protection locked="0"/>
    </xf>
    <xf numFmtId="0" fontId="1" fillId="0" borderId="0" xfId="0" applyFont="1" applyFill="1" applyBorder="1" applyProtection="1">
      <protection locked="0"/>
    </xf>
    <xf numFmtId="3" fontId="1" fillId="6" borderId="16" xfId="0" applyNumberFormat="1" applyFont="1" applyFill="1" applyBorder="1" applyAlignment="1" applyProtection="1">
      <alignment horizontal="left" wrapText="1"/>
      <protection locked="0"/>
    </xf>
    <xf numFmtId="0" fontId="1" fillId="0" borderId="0" xfId="0" applyFont="1" applyProtection="1">
      <protection locked="0"/>
    </xf>
    <xf numFmtId="0" fontId="3" fillId="0" borderId="138" xfId="0" applyFont="1" applyBorder="1" applyProtection="1">
      <protection locked="0"/>
    </xf>
    <xf numFmtId="0" fontId="3" fillId="0" borderId="100" xfId="0" applyFont="1" applyBorder="1" applyAlignment="1" applyProtection="1">
      <alignment wrapText="1"/>
      <protection locked="0"/>
    </xf>
    <xf numFmtId="9" fontId="0" fillId="21" borderId="0" xfId="0" applyNumberFormat="1" applyFill="1"/>
    <xf numFmtId="9" fontId="0" fillId="21" borderId="0" xfId="0" quotePrefix="1" applyNumberFormat="1" applyFill="1"/>
    <xf numFmtId="0" fontId="1" fillId="22" borderId="8" xfId="0" applyFont="1" applyFill="1" applyBorder="1"/>
    <xf numFmtId="9" fontId="0" fillId="22" borderId="8" xfId="0" applyNumberFormat="1" applyFill="1" applyBorder="1"/>
    <xf numFmtId="0" fontId="0" fillId="22" borderId="8" xfId="0" applyFill="1" applyBorder="1"/>
    <xf numFmtId="9" fontId="1" fillId="20" borderId="8" xfId="17" applyFont="1" applyFill="1" applyBorder="1"/>
    <xf numFmtId="0" fontId="0" fillId="19" borderId="55" xfId="0" applyFill="1" applyBorder="1" applyAlignment="1">
      <alignment horizontal="center"/>
    </xf>
    <xf numFmtId="172" fontId="0" fillId="21" borderId="0" xfId="0" applyNumberFormat="1" applyFill="1"/>
    <xf numFmtId="172" fontId="0" fillId="21" borderId="0" xfId="1" applyNumberFormat="1" applyFont="1" applyFill="1"/>
    <xf numFmtId="10" fontId="0" fillId="21" borderId="0" xfId="0" applyNumberFormat="1" applyFill="1"/>
    <xf numFmtId="9" fontId="0" fillId="20" borderId="8" xfId="17" applyNumberFormat="1" applyFont="1" applyFill="1" applyBorder="1"/>
    <xf numFmtId="9" fontId="1" fillId="26" borderId="8" xfId="17" applyNumberFormat="1" applyFont="1" applyFill="1" applyBorder="1"/>
    <xf numFmtId="183" fontId="1" fillId="26" borderId="8" xfId="1" applyNumberFormat="1" applyFont="1" applyFill="1" applyBorder="1"/>
    <xf numFmtId="0" fontId="81" fillId="21" borderId="0" xfId="0" applyFont="1" applyFill="1"/>
    <xf numFmtId="14" fontId="1" fillId="6" borderId="136" xfId="0" applyNumberFormat="1" applyFont="1" applyFill="1" applyBorder="1" applyAlignment="1" applyProtection="1">
      <alignment wrapText="1"/>
      <protection locked="0"/>
    </xf>
    <xf numFmtId="14" fontId="1" fillId="6" borderId="100" xfId="0" applyNumberFormat="1" applyFont="1" applyFill="1" applyBorder="1" applyAlignment="1" applyProtection="1">
      <alignment wrapText="1"/>
      <protection locked="0"/>
    </xf>
    <xf numFmtId="14" fontId="1" fillId="6" borderId="138" xfId="0" applyNumberFormat="1" applyFont="1" applyFill="1" applyBorder="1" applyAlignment="1" applyProtection="1">
      <alignment wrapText="1"/>
      <protection locked="0"/>
    </xf>
    <xf numFmtId="14" fontId="1" fillId="6" borderId="145" xfId="0" applyNumberFormat="1" applyFont="1" applyFill="1" applyBorder="1" applyAlignment="1" applyProtection="1">
      <alignment wrapText="1"/>
      <protection locked="0"/>
    </xf>
    <xf numFmtId="14" fontId="1" fillId="6" borderId="101" xfId="0" applyNumberFormat="1" applyFont="1" applyFill="1" applyBorder="1" applyAlignment="1" applyProtection="1">
      <alignment wrapText="1"/>
      <protection locked="0"/>
    </xf>
    <xf numFmtId="0" fontId="1" fillId="6" borderId="37" xfId="0" applyFont="1" applyFill="1" applyBorder="1" applyAlignment="1" applyProtection="1">
      <alignment wrapText="1"/>
      <protection locked="0"/>
    </xf>
    <xf numFmtId="0" fontId="1" fillId="6" borderId="30" xfId="0" applyFont="1" applyFill="1" applyBorder="1" applyAlignment="1" applyProtection="1">
      <alignment wrapText="1"/>
      <protection locked="0"/>
    </xf>
    <xf numFmtId="0" fontId="13" fillId="0" borderId="148" xfId="0" applyFont="1" applyFill="1" applyBorder="1" applyAlignment="1" applyProtection="1">
      <alignment horizontal="center" vertical="top" wrapText="1"/>
      <protection locked="0"/>
    </xf>
    <xf numFmtId="0" fontId="3" fillId="0" borderId="149" xfId="0" applyFont="1" applyBorder="1" applyAlignment="1" applyProtection="1">
      <alignment horizontal="center" vertical="top" wrapText="1"/>
      <protection locked="0"/>
    </xf>
    <xf numFmtId="0" fontId="3" fillId="0" borderId="150" xfId="0" applyFont="1" applyBorder="1" applyAlignment="1" applyProtection="1">
      <alignment horizontal="center" vertical="top" wrapText="1"/>
      <protection locked="0"/>
    </xf>
    <xf numFmtId="0" fontId="1" fillId="0" borderId="30" xfId="0" applyFont="1" applyFill="1" applyBorder="1" applyAlignment="1" applyProtection="1">
      <alignment horizontal="left" vertical="top" wrapText="1"/>
      <protection locked="0"/>
    </xf>
    <xf numFmtId="9" fontId="1" fillId="6" borderId="30" xfId="0" applyNumberFormat="1" applyFont="1" applyFill="1" applyBorder="1" applyAlignment="1" applyProtection="1">
      <alignment horizontal="left" vertical="top" wrapText="1"/>
      <protection locked="0"/>
    </xf>
    <xf numFmtId="0" fontId="1" fillId="6" borderId="30" xfId="0" applyFont="1" applyFill="1" applyBorder="1" applyAlignment="1" applyProtection="1">
      <alignment horizontal="left" vertical="top" wrapText="1"/>
      <protection locked="0"/>
    </xf>
    <xf numFmtId="0" fontId="0" fillId="6" borderId="8" xfId="0" applyFill="1" applyBorder="1" applyAlignment="1" applyProtection="1">
      <alignment horizontal="left" vertical="top" wrapText="1"/>
      <protection locked="0"/>
    </xf>
    <xf numFmtId="0" fontId="1" fillId="0" borderId="8" xfId="0" applyFont="1" applyFill="1" applyBorder="1" applyAlignment="1" applyProtection="1">
      <alignment horizontal="left" vertical="top" wrapText="1"/>
      <protection locked="0"/>
    </xf>
    <xf numFmtId="9" fontId="1" fillId="6" borderId="8" xfId="0" applyNumberFormat="1" applyFont="1" applyFill="1" applyBorder="1" applyAlignment="1" applyProtection="1">
      <alignment horizontal="left" vertical="top" wrapText="1"/>
      <protection locked="0"/>
    </xf>
    <xf numFmtId="0" fontId="1" fillId="6" borderId="8" xfId="0" applyFont="1" applyFill="1" applyBorder="1" applyAlignment="1" applyProtection="1">
      <alignment horizontal="left" vertical="top" wrapText="1"/>
      <protection locked="0"/>
    </xf>
    <xf numFmtId="0" fontId="3" fillId="7" borderId="57" xfId="0" applyFont="1" applyFill="1" applyBorder="1"/>
    <xf numFmtId="0" fontId="3" fillId="7" borderId="57" xfId="0" applyFont="1" applyFill="1" applyBorder="1" applyAlignment="1">
      <alignment horizontal="center"/>
    </xf>
    <xf numFmtId="0" fontId="3" fillId="0" borderId="146" xfId="0" applyFont="1" applyFill="1" applyBorder="1"/>
    <xf numFmtId="0" fontId="3" fillId="0" borderId="146" xfId="0" applyFont="1" applyFill="1" applyBorder="1" applyAlignment="1">
      <alignment horizontal="center"/>
    </xf>
    <xf numFmtId="0" fontId="0" fillId="0" borderId="141" xfId="0" applyBorder="1"/>
    <xf numFmtId="167" fontId="0" fillId="0" borderId="141" xfId="0" applyNumberFormat="1" applyBorder="1" applyAlignment="1">
      <alignment horizontal="center"/>
    </xf>
    <xf numFmtId="167" fontId="0" fillId="0" borderId="141" xfId="0" quotePrefix="1" applyNumberFormat="1" applyBorder="1" applyAlignment="1">
      <alignment horizontal="center"/>
    </xf>
    <xf numFmtId="3" fontId="0" fillId="0" borderId="141" xfId="0" applyNumberFormat="1" applyBorder="1" applyAlignment="1">
      <alignment horizontal="center"/>
    </xf>
    <xf numFmtId="1" fontId="0" fillId="0" borderId="141" xfId="0" applyNumberFormat="1" applyBorder="1" applyAlignment="1">
      <alignment horizontal="center"/>
    </xf>
    <xf numFmtId="0" fontId="0" fillId="0" borderId="147" xfId="0" applyBorder="1"/>
    <xf numFmtId="166" fontId="0" fillId="0" borderId="147" xfId="0" applyNumberFormat="1" applyBorder="1" applyAlignment="1">
      <alignment horizontal="center"/>
    </xf>
    <xf numFmtId="0" fontId="3" fillId="0" borderId="146" xfId="0" applyFont="1" applyFill="1" applyBorder="1" applyAlignment="1">
      <alignment horizontal="center" wrapText="1"/>
    </xf>
    <xf numFmtId="0" fontId="0" fillId="0" borderId="177" xfId="0" applyBorder="1"/>
    <xf numFmtId="166" fontId="0" fillId="0" borderId="141" xfId="0" applyNumberFormat="1" applyBorder="1" applyAlignment="1">
      <alignment horizontal="center"/>
    </xf>
    <xf numFmtId="3" fontId="1" fillId="5" borderId="99" xfId="0" applyNumberFormat="1" applyFont="1" applyFill="1" applyBorder="1" applyAlignment="1" applyProtection="1">
      <alignment wrapText="1"/>
      <protection locked="0"/>
    </xf>
    <xf numFmtId="3" fontId="1" fillId="5" borderId="100" xfId="0" applyNumberFormat="1" applyFont="1" applyFill="1" applyBorder="1" applyAlignment="1" applyProtection="1">
      <alignment wrapText="1"/>
      <protection locked="0"/>
    </xf>
    <xf numFmtId="14" fontId="3" fillId="6" borderId="138" xfId="0" applyNumberFormat="1" applyFont="1" applyFill="1" applyBorder="1" applyAlignment="1" applyProtection="1">
      <alignment wrapText="1"/>
      <protection locked="0"/>
    </xf>
    <xf numFmtId="0" fontId="3" fillId="5" borderId="138" xfId="0" applyFont="1" applyFill="1" applyBorder="1" applyAlignment="1" applyProtection="1">
      <alignment horizontal="left" wrapText="1"/>
      <protection locked="0"/>
    </xf>
    <xf numFmtId="172" fontId="1" fillId="5" borderId="100" xfId="0" applyNumberFormat="1" applyFont="1" applyFill="1" applyBorder="1" applyAlignment="1" applyProtection="1">
      <alignment wrapText="1"/>
      <protection locked="0"/>
    </xf>
    <xf numFmtId="0" fontId="0" fillId="0" borderId="0" xfId="0" applyBorder="1"/>
    <xf numFmtId="0" fontId="1" fillId="0" borderId="4" xfId="0" applyFont="1" applyFill="1" applyBorder="1"/>
    <xf numFmtId="0" fontId="1" fillId="0" borderId="4" xfId="0" applyFont="1" applyFill="1" applyBorder="1" applyAlignment="1">
      <alignment horizontal="left"/>
    </xf>
    <xf numFmtId="167" fontId="1" fillId="0" borderId="0" xfId="0" applyNumberFormat="1" applyFont="1" applyFill="1" applyBorder="1"/>
    <xf numFmtId="0" fontId="1" fillId="0" borderId="58" xfId="0" applyFont="1" applyFill="1" applyBorder="1"/>
    <xf numFmtId="0" fontId="1" fillId="21" borderId="58" xfId="0" applyFont="1" applyFill="1" applyBorder="1"/>
    <xf numFmtId="0" fontId="82" fillId="0" borderId="0" xfId="0" applyFont="1"/>
    <xf numFmtId="0" fontId="83" fillId="0" borderId="0" xfId="0" applyFont="1"/>
    <xf numFmtId="0" fontId="82" fillId="0" borderId="161" xfId="0" applyFont="1" applyBorder="1"/>
    <xf numFmtId="0" fontId="82" fillId="0" borderId="129" xfId="0" applyFont="1" applyBorder="1"/>
    <xf numFmtId="0" fontId="82" fillId="0" borderId="178" xfId="0" applyFont="1" applyBorder="1"/>
    <xf numFmtId="0" fontId="82" fillId="0" borderId="44" xfId="0" applyFont="1" applyBorder="1"/>
    <xf numFmtId="0" fontId="82" fillId="0" borderId="0" xfId="0" applyFont="1" applyBorder="1"/>
    <xf numFmtId="0" fontId="82" fillId="0" borderId="179" xfId="0" applyFont="1" applyBorder="1"/>
    <xf numFmtId="0" fontId="82" fillId="0" borderId="142" xfId="0" applyFont="1" applyBorder="1"/>
    <xf numFmtId="0" fontId="82" fillId="0" borderId="140" xfId="0" applyFont="1" applyBorder="1"/>
    <xf numFmtId="0" fontId="82" fillId="0" borderId="29" xfId="0" applyFont="1" applyBorder="1"/>
    <xf numFmtId="188" fontId="1" fillId="5" borderId="62" xfId="0" applyNumberFormat="1" applyFont="1" applyFill="1" applyBorder="1" applyAlignment="1">
      <alignment vertical="top" wrapText="1"/>
    </xf>
    <xf numFmtId="0" fontId="0" fillId="18" borderId="0" xfId="0" applyFill="1"/>
    <xf numFmtId="0" fontId="13" fillId="0" borderId="137" xfId="0" applyFont="1" applyBorder="1" applyAlignment="1" applyProtection="1">
      <alignment horizontal="left"/>
      <protection locked="0"/>
    </xf>
    <xf numFmtId="0" fontId="0" fillId="0" borderId="135" xfId="0" applyBorder="1" applyAlignment="1" applyProtection="1">
      <protection locked="0"/>
    </xf>
    <xf numFmtId="0" fontId="0" fillId="0" borderId="99" xfId="0" applyBorder="1" applyAlignment="1" applyProtection="1">
      <protection locked="0"/>
    </xf>
    <xf numFmtId="0" fontId="11" fillId="6" borderId="0" xfId="0" applyFont="1" applyFill="1" applyBorder="1" applyAlignment="1">
      <alignment horizontal="left" vertical="top" wrapText="1"/>
    </xf>
    <xf numFmtId="0" fontId="11" fillId="6" borderId="5" xfId="0" applyFont="1" applyFill="1" applyBorder="1" applyAlignment="1">
      <alignment horizontal="left" vertical="top" wrapText="1"/>
    </xf>
    <xf numFmtId="0" fontId="40" fillId="2" borderId="95" xfId="0" applyFont="1" applyFill="1" applyBorder="1" applyAlignment="1">
      <alignment horizontal="left" vertical="top" wrapText="1"/>
    </xf>
    <xf numFmtId="0" fontId="40" fillId="2" borderId="96" xfId="0" applyFont="1" applyFill="1" applyBorder="1" applyAlignment="1">
      <alignment horizontal="left" vertical="top" wrapText="1"/>
    </xf>
    <xf numFmtId="0" fontId="11" fillId="0" borderId="0" xfId="0" applyFont="1" applyFill="1" applyBorder="1" applyAlignment="1">
      <alignment horizontal="left" vertical="center" wrapText="1"/>
    </xf>
    <xf numFmtId="0" fontId="3" fillId="6" borderId="0" xfId="0" applyFont="1" applyFill="1" applyBorder="1" applyAlignment="1">
      <alignment horizontal="left" vertical="top" wrapText="1"/>
    </xf>
    <xf numFmtId="0" fontId="3" fillId="6" borderId="5" xfId="0" applyFont="1" applyFill="1" applyBorder="1" applyAlignment="1">
      <alignment horizontal="left" vertical="top" wrapText="1"/>
    </xf>
    <xf numFmtId="0" fontId="1" fillId="6" borderId="0" xfId="0" applyFont="1" applyFill="1" applyBorder="1" applyAlignment="1">
      <alignment horizontal="left" vertical="top" wrapText="1"/>
    </xf>
    <xf numFmtId="0" fontId="11" fillId="6" borderId="0" xfId="0" quotePrefix="1" applyFont="1" applyFill="1" applyBorder="1" applyAlignment="1">
      <alignment horizontal="left" vertical="top" wrapText="1"/>
    </xf>
    <xf numFmtId="0" fontId="0" fillId="6" borderId="0" xfId="0" applyFill="1" applyBorder="1" applyAlignment="1">
      <alignment horizontal="left" vertical="top" wrapText="1"/>
    </xf>
    <xf numFmtId="0" fontId="0" fillId="6" borderId="5" xfId="0" applyFill="1" applyBorder="1" applyAlignment="1">
      <alignment horizontal="left" vertical="top" wrapText="1"/>
    </xf>
    <xf numFmtId="0" fontId="0" fillId="6" borderId="155" xfId="0" applyFill="1" applyBorder="1" applyAlignment="1">
      <alignment horizontal="left" vertical="top" wrapText="1"/>
    </xf>
    <xf numFmtId="0" fontId="0" fillId="6" borderId="156" xfId="0" applyFill="1" applyBorder="1" applyAlignment="1">
      <alignment horizontal="left" vertical="top" wrapText="1"/>
    </xf>
    <xf numFmtId="0" fontId="0" fillId="6" borderId="0" xfId="0" quotePrefix="1" applyFill="1" applyBorder="1" applyAlignment="1">
      <alignment horizontal="left" vertical="top" wrapText="1"/>
    </xf>
    <xf numFmtId="0" fontId="35" fillId="6" borderId="0" xfId="0" applyFont="1" applyFill="1" applyBorder="1" applyAlignment="1">
      <alignment horizontal="left" vertical="top" wrapText="1"/>
    </xf>
    <xf numFmtId="0" fontId="35" fillId="6" borderId="5" xfId="0" applyFont="1" applyFill="1" applyBorder="1" applyAlignment="1">
      <alignment horizontal="left" vertical="top" wrapText="1"/>
    </xf>
    <xf numFmtId="0" fontId="44" fillId="2" borderId="1" xfId="0" applyFont="1" applyFill="1" applyBorder="1" applyAlignment="1">
      <alignment horizontal="center" vertical="top" wrapText="1"/>
    </xf>
    <xf numFmtId="0" fontId="43" fillId="2" borderId="2" xfId="0" applyFont="1" applyFill="1" applyBorder="1" applyAlignment="1">
      <alignment horizontal="center" vertical="top" wrapText="1"/>
    </xf>
    <xf numFmtId="0" fontId="43" fillId="2" borderId="79" xfId="0" applyFont="1" applyFill="1" applyBorder="1" applyAlignment="1">
      <alignment horizontal="center" vertical="top" wrapText="1"/>
    </xf>
    <xf numFmtId="0" fontId="43" fillId="2" borderId="64" xfId="0" applyFont="1" applyFill="1" applyBorder="1" applyAlignment="1">
      <alignment horizontal="center" vertical="top" wrapText="1"/>
    </xf>
    <xf numFmtId="0" fontId="12" fillId="5" borderId="143" xfId="0" applyFont="1" applyFill="1" applyBorder="1" applyAlignment="1">
      <alignment horizontal="left" vertical="center" wrapText="1"/>
    </xf>
    <xf numFmtId="0" fontId="12" fillId="5" borderId="79" xfId="0" applyFont="1" applyFill="1" applyBorder="1" applyAlignment="1">
      <alignment horizontal="left" vertical="center" wrapText="1"/>
    </xf>
    <xf numFmtId="0" fontId="12" fillId="5" borderId="64" xfId="0" applyFont="1" applyFill="1" applyBorder="1" applyAlignment="1">
      <alignment horizontal="left" vertical="center" wrapText="1"/>
    </xf>
    <xf numFmtId="0" fontId="43" fillId="2" borderId="0" xfId="0" applyFont="1" applyFill="1" applyBorder="1" applyAlignment="1">
      <alignment horizontal="right" vertical="center" wrapText="1"/>
    </xf>
    <xf numFmtId="0" fontId="11" fillId="4" borderId="4" xfId="0" applyFont="1" applyFill="1" applyBorder="1" applyAlignment="1">
      <alignment horizontal="left" vertical="top" wrapText="1"/>
    </xf>
    <xf numFmtId="0" fontId="1" fillId="6" borderId="5" xfId="0" applyFont="1" applyFill="1" applyBorder="1" applyAlignment="1">
      <alignment horizontal="left" vertical="top" wrapText="1"/>
    </xf>
    <xf numFmtId="0" fontId="1" fillId="6" borderId="87" xfId="0" applyFont="1" applyFill="1" applyBorder="1" applyAlignment="1">
      <alignment horizontal="left" vertical="top" wrapText="1"/>
    </xf>
    <xf numFmtId="7" fontId="27" fillId="3" borderId="62" xfId="0" applyNumberFormat="1" applyFont="1" applyFill="1" applyBorder="1" applyAlignment="1">
      <alignment horizontal="left" vertical="top" wrapText="1"/>
    </xf>
    <xf numFmtId="0" fontId="27" fillId="3" borderId="57" xfId="0" applyFont="1" applyFill="1" applyBorder="1" applyAlignment="1">
      <alignment horizontal="left" vertical="top" wrapText="1"/>
    </xf>
    <xf numFmtId="0" fontId="0" fillId="6" borderId="0" xfId="0" quotePrefix="1" applyFill="1" applyAlignment="1">
      <alignment horizontal="left"/>
    </xf>
    <xf numFmtId="0" fontId="0" fillId="6" borderId="5" xfId="0" quotePrefix="1" applyFill="1" applyBorder="1" applyAlignment="1">
      <alignment horizontal="left"/>
    </xf>
    <xf numFmtId="0" fontId="3" fillId="0" borderId="0" xfId="0" applyFont="1" applyAlignment="1">
      <alignment horizontal="center" wrapText="1"/>
    </xf>
    <xf numFmtId="0" fontId="3" fillId="0" borderId="59" xfId="0" applyFont="1" applyBorder="1" applyAlignment="1">
      <alignment horizontal="center" wrapText="1"/>
    </xf>
    <xf numFmtId="0" fontId="1" fillId="6" borderId="0" xfId="0" applyFont="1" applyFill="1" applyAlignment="1">
      <alignment horizontal="left" vertical="top" wrapText="1"/>
    </xf>
    <xf numFmtId="0" fontId="3" fillId="6" borderId="0" xfId="0" applyFont="1" applyFill="1" applyBorder="1" applyAlignment="1">
      <alignment horizontal="right" vertical="top" wrapText="1"/>
    </xf>
    <xf numFmtId="0" fontId="3" fillId="6" borderId="5" xfId="0" applyFont="1" applyFill="1" applyBorder="1" applyAlignment="1">
      <alignment horizontal="right" vertical="top" wrapText="1"/>
    </xf>
    <xf numFmtId="0" fontId="11" fillId="6" borderId="4" xfId="0" applyFont="1" applyFill="1" applyBorder="1" applyAlignment="1">
      <alignment horizontal="left" vertical="top" wrapText="1"/>
    </xf>
    <xf numFmtId="0" fontId="0" fillId="6" borderId="0" xfId="0" quotePrefix="1" applyFill="1" applyAlignment="1">
      <alignment horizontal="left" vertical="top" wrapText="1"/>
    </xf>
    <xf numFmtId="0" fontId="0" fillId="6" borderId="5" xfId="0" quotePrefix="1" applyFill="1" applyBorder="1" applyAlignment="1">
      <alignment horizontal="left" vertical="top" wrapText="1"/>
    </xf>
    <xf numFmtId="0" fontId="11" fillId="6" borderId="44" xfId="0" applyFont="1" applyFill="1" applyBorder="1" applyAlignment="1" applyProtection="1">
      <alignment wrapText="1"/>
      <protection locked="0"/>
    </xf>
    <xf numFmtId="0" fontId="0" fillId="0" borderId="0" xfId="0" applyBorder="1" applyAlignment="1"/>
    <xf numFmtId="0" fontId="0" fillId="0" borderId="5" xfId="0" applyBorder="1" applyAlignment="1"/>
    <xf numFmtId="0" fontId="11" fillId="6" borderId="157" xfId="0" applyFont="1" applyFill="1" applyBorder="1" applyAlignment="1" applyProtection="1">
      <alignment wrapText="1"/>
      <protection locked="0"/>
    </xf>
    <xf numFmtId="0" fontId="0" fillId="0" borderId="59" xfId="0" applyBorder="1" applyAlignment="1"/>
    <xf numFmtId="0" fontId="0" fillId="0" borderId="87" xfId="0" applyBorder="1" applyAlignment="1"/>
    <xf numFmtId="0" fontId="10" fillId="2" borderId="59" xfId="0" applyFont="1" applyFill="1" applyBorder="1" applyAlignment="1" applyProtection="1">
      <alignment horizontal="center" wrapText="1"/>
      <protection locked="0"/>
    </xf>
    <xf numFmtId="0" fontId="0" fillId="0" borderId="0" xfId="0" applyAlignment="1">
      <alignment horizontal="left" wrapText="1"/>
    </xf>
    <xf numFmtId="0" fontId="11" fillId="6" borderId="149" xfId="0" applyFont="1" applyFill="1" applyBorder="1" applyAlignment="1" applyProtection="1">
      <alignment wrapText="1"/>
      <protection locked="0"/>
    </xf>
    <xf numFmtId="0" fontId="0" fillId="0" borderId="149" xfId="0" applyBorder="1" applyAlignment="1"/>
    <xf numFmtId="0" fontId="0" fillId="0" borderId="153" xfId="0" applyBorder="1" applyAlignment="1"/>
    <xf numFmtId="0" fontId="11" fillId="6" borderId="158" xfId="0" applyFont="1" applyFill="1" applyBorder="1" applyAlignment="1" applyProtection="1">
      <alignment wrapText="1"/>
      <protection locked="0"/>
    </xf>
    <xf numFmtId="0" fontId="0" fillId="0" borderId="2" xfId="0" applyBorder="1" applyAlignment="1"/>
    <xf numFmtId="0" fontId="0" fillId="0" borderId="3" xfId="0" applyBorder="1" applyAlignment="1"/>
    <xf numFmtId="2" fontId="4" fillId="2" borderId="4" xfId="5" applyNumberFormat="1" applyFill="1" applyBorder="1" applyAlignment="1" applyProtection="1">
      <alignment horizontal="left" vertical="top" wrapText="1"/>
      <protection locked="0"/>
    </xf>
    <xf numFmtId="2" fontId="4" fillId="2" borderId="0" xfId="5" applyNumberFormat="1" applyFill="1" applyBorder="1" applyAlignment="1" applyProtection="1">
      <alignment horizontal="left" vertical="top" wrapText="1"/>
      <protection locked="0"/>
    </xf>
    <xf numFmtId="0" fontId="11" fillId="2" borderId="0" xfId="0" applyFont="1" applyFill="1" applyBorder="1" applyAlignment="1" applyProtection="1">
      <alignment horizontal="left" vertical="top" wrapText="1"/>
      <protection locked="0"/>
    </xf>
    <xf numFmtId="2" fontId="11" fillId="2" borderId="0" xfId="0" applyNumberFormat="1" applyFont="1" applyFill="1" applyBorder="1" applyAlignment="1" applyProtection="1">
      <alignment horizontal="left" vertical="top" wrapText="1"/>
      <protection locked="0"/>
    </xf>
    <xf numFmtId="2" fontId="4" fillId="0" borderId="4" xfId="5" applyNumberFormat="1" applyFill="1" applyBorder="1" applyAlignment="1" applyProtection="1">
      <alignment horizontal="left" vertical="top" wrapText="1"/>
      <protection locked="0"/>
    </xf>
    <xf numFmtId="2" fontId="11" fillId="0" borderId="0" xfId="0" applyNumberFormat="1" applyFont="1" applyFill="1" applyBorder="1" applyAlignment="1" applyProtection="1">
      <alignment horizontal="left" vertical="top" wrapText="1"/>
      <protection locked="0"/>
    </xf>
    <xf numFmtId="0" fontId="1" fillId="6" borderId="55" xfId="0" applyFont="1" applyFill="1" applyBorder="1" applyAlignment="1">
      <alignment horizontal="left" vertical="top" wrapText="1"/>
    </xf>
    <xf numFmtId="0" fontId="1" fillId="6" borderId="108" xfId="0" applyFont="1" applyFill="1" applyBorder="1" applyAlignment="1">
      <alignment horizontal="left" vertical="top" wrapText="1"/>
    </xf>
    <xf numFmtId="0" fontId="5" fillId="21" borderId="67" xfId="0" applyFont="1" applyFill="1" applyBorder="1" applyAlignment="1">
      <alignment horizontal="left" vertical="top" wrapText="1"/>
    </xf>
    <xf numFmtId="0" fontId="5" fillId="21" borderId="90" xfId="0" applyFont="1" applyFill="1" applyBorder="1" applyAlignment="1">
      <alignment horizontal="left" vertical="top" wrapText="1"/>
    </xf>
    <xf numFmtId="0" fontId="14" fillId="23" borderId="127" xfId="0" applyFont="1" applyFill="1" applyBorder="1" applyAlignment="1">
      <alignment horizontal="left" vertical="top" wrapText="1"/>
    </xf>
    <xf numFmtId="0" fontId="14" fillId="23" borderId="113" xfId="0" applyFont="1" applyFill="1" applyBorder="1" applyAlignment="1">
      <alignment horizontal="left" vertical="top" wrapText="1"/>
    </xf>
    <xf numFmtId="0" fontId="1" fillId="6" borderId="61" xfId="0" applyFont="1" applyFill="1" applyBorder="1" applyAlignment="1">
      <alignment horizontal="left" vertical="top" wrapText="1"/>
    </xf>
    <xf numFmtId="0" fontId="1" fillId="6" borderId="111" xfId="0" applyFont="1" applyFill="1" applyBorder="1" applyAlignment="1">
      <alignment horizontal="left" vertical="top" wrapText="1"/>
    </xf>
    <xf numFmtId="0" fontId="5" fillId="21" borderId="63" xfId="0" applyFont="1" applyFill="1" applyBorder="1" applyAlignment="1">
      <alignment horizontal="left" vertical="top" wrapText="1"/>
    </xf>
    <xf numFmtId="0" fontId="5" fillId="21" borderId="98" xfId="0" applyFont="1" applyFill="1" applyBorder="1" applyAlignment="1">
      <alignment horizontal="left" vertical="top" wrapText="1"/>
    </xf>
    <xf numFmtId="0" fontId="14" fillId="23" borderId="63" xfId="0" applyFont="1" applyFill="1" applyBorder="1" applyAlignment="1">
      <alignment horizontal="left" vertical="top" wrapText="1"/>
    </xf>
    <xf numFmtId="0" fontId="14" fillId="23" borderId="98" xfId="0" applyFont="1" applyFill="1" applyBorder="1" applyAlignment="1">
      <alignment horizontal="left" vertical="top" wrapText="1"/>
    </xf>
    <xf numFmtId="0" fontId="14" fillId="23" borderId="174" xfId="0" applyFont="1" applyFill="1" applyBorder="1" applyAlignment="1">
      <alignment horizontal="left" vertical="top" wrapText="1"/>
    </xf>
    <xf numFmtId="0" fontId="14" fillId="23" borderId="175" xfId="0" applyFont="1" applyFill="1" applyBorder="1" applyAlignment="1">
      <alignment horizontal="left" vertical="top" wrapText="1"/>
    </xf>
    <xf numFmtId="0" fontId="1" fillId="6" borderId="136" xfId="0" applyFont="1" applyFill="1" applyBorder="1" applyAlignment="1">
      <alignment horizontal="left" vertical="top" wrapText="1"/>
    </xf>
    <xf numFmtId="0" fontId="0" fillId="6" borderId="134" xfId="0" applyFill="1" applyBorder="1" applyAlignment="1">
      <alignment horizontal="left" vertical="top" wrapText="1"/>
    </xf>
    <xf numFmtId="0" fontId="0" fillId="6" borderId="136" xfId="0" applyFill="1" applyBorder="1" applyAlignment="1">
      <alignment horizontal="left" vertical="top" wrapText="1"/>
    </xf>
    <xf numFmtId="0" fontId="0" fillId="0" borderId="134" xfId="0" applyBorder="1" applyAlignment="1">
      <alignment horizontal="left" vertical="top" wrapText="1"/>
    </xf>
    <xf numFmtId="0" fontId="14" fillId="0" borderId="0" xfId="0" applyFont="1" applyAlignment="1">
      <alignment horizontal="left" vertical="top" wrapText="1"/>
    </xf>
    <xf numFmtId="0" fontId="1" fillId="0" borderId="0" xfId="0" applyFont="1" applyAlignment="1">
      <alignment horizontal="left" vertical="top" wrapText="1"/>
    </xf>
    <xf numFmtId="0" fontId="0" fillId="0" borderId="0" xfId="0" applyAlignment="1">
      <alignment horizontal="left" vertical="top" wrapText="1"/>
    </xf>
    <xf numFmtId="0" fontId="0" fillId="0" borderId="120" xfId="0" applyBorder="1" applyAlignment="1">
      <alignment horizontal="left" vertical="top" wrapText="1"/>
    </xf>
    <xf numFmtId="0" fontId="0" fillId="0" borderId="111" xfId="0" applyBorder="1" applyAlignment="1">
      <alignment horizontal="left" vertical="top" wrapText="1"/>
    </xf>
    <xf numFmtId="0" fontId="14" fillId="21" borderId="63" xfId="0" applyFont="1" applyFill="1" applyBorder="1" applyAlignment="1">
      <alignment horizontal="left" vertical="top" wrapText="1"/>
    </xf>
    <xf numFmtId="0" fontId="14" fillId="21" borderId="98" xfId="0" applyFont="1" applyFill="1" applyBorder="1" applyAlignment="1">
      <alignment horizontal="left" vertical="top" wrapText="1"/>
    </xf>
    <xf numFmtId="0" fontId="38" fillId="21" borderId="40" xfId="0" applyFont="1" applyFill="1" applyBorder="1" applyAlignment="1">
      <alignment horizontal="left" vertical="top" wrapText="1"/>
    </xf>
    <xf numFmtId="0" fontId="38" fillId="21" borderId="106" xfId="0" applyFont="1" applyFill="1" applyBorder="1" applyAlignment="1">
      <alignment horizontal="left" vertical="top" wrapText="1"/>
    </xf>
    <xf numFmtId="0" fontId="0" fillId="21" borderId="107" xfId="0" applyFill="1" applyBorder="1" applyAlignment="1">
      <alignment vertical="top" wrapText="1"/>
    </xf>
    <xf numFmtId="0" fontId="0" fillId="0" borderId="98" xfId="0" applyBorder="1" applyAlignment="1">
      <alignment horizontal="left" vertical="top" wrapText="1"/>
    </xf>
    <xf numFmtId="0" fontId="0" fillId="0" borderId="108" xfId="0" applyBorder="1" applyAlignment="1">
      <alignment horizontal="left" vertical="top" wrapText="1"/>
    </xf>
    <xf numFmtId="0" fontId="0" fillId="0" borderId="129" xfId="0" applyBorder="1" applyAlignment="1">
      <alignment horizontal="left" vertical="top" wrapText="1"/>
    </xf>
    <xf numFmtId="0" fontId="0" fillId="0" borderId="130" xfId="0" applyBorder="1" applyAlignment="1">
      <alignment horizontal="left" vertical="top" wrapText="1"/>
    </xf>
    <xf numFmtId="0" fontId="5" fillId="23" borderId="63" xfId="0" applyFont="1" applyFill="1" applyBorder="1" applyAlignment="1">
      <alignment horizontal="left" vertical="top" wrapText="1"/>
    </xf>
    <xf numFmtId="0" fontId="5" fillId="23" borderId="98" xfId="0" applyFont="1" applyFill="1" applyBorder="1" applyAlignment="1">
      <alignment horizontal="left" vertical="top" wrapText="1"/>
    </xf>
    <xf numFmtId="0" fontId="14" fillId="23" borderId="63" xfId="0" applyFont="1" applyFill="1" applyBorder="1" applyAlignment="1">
      <alignment horizontal="left" vertical="top"/>
    </xf>
    <xf numFmtId="0" fontId="14" fillId="23" borderId="98" xfId="0" applyFont="1" applyFill="1" applyBorder="1" applyAlignment="1">
      <alignment horizontal="left" vertical="top"/>
    </xf>
    <xf numFmtId="0" fontId="0" fillId="6" borderId="108" xfId="0" applyFill="1" applyBorder="1" applyAlignment="1">
      <alignment horizontal="left" vertical="top" wrapText="1"/>
    </xf>
    <xf numFmtId="0" fontId="5" fillId="22" borderId="127" xfId="0" applyFont="1" applyFill="1" applyBorder="1" applyAlignment="1">
      <alignment horizontal="left" vertical="top" wrapText="1"/>
    </xf>
    <xf numFmtId="0" fontId="5" fillId="22" borderId="113" xfId="0" applyFont="1" applyFill="1" applyBorder="1" applyAlignment="1">
      <alignment horizontal="left" vertical="top" wrapText="1"/>
    </xf>
    <xf numFmtId="0" fontId="5" fillId="22" borderId="128" xfId="0" applyFont="1" applyFill="1" applyBorder="1" applyAlignment="1">
      <alignment horizontal="left" vertical="top" wrapText="1"/>
    </xf>
    <xf numFmtId="0" fontId="1" fillId="6" borderId="172" xfId="0" applyFont="1" applyFill="1" applyBorder="1" applyAlignment="1">
      <alignment horizontal="left" vertical="top" wrapText="1"/>
    </xf>
    <xf numFmtId="0" fontId="1" fillId="6" borderId="132" xfId="0" applyFont="1" applyFill="1" applyBorder="1" applyAlignment="1">
      <alignment horizontal="left" vertical="top" wrapText="1"/>
    </xf>
    <xf numFmtId="0" fontId="1" fillId="6" borderId="8" xfId="0" applyFont="1" applyFill="1" applyBorder="1" applyAlignment="1">
      <alignment horizontal="left" vertical="top" wrapText="1"/>
    </xf>
    <xf numFmtId="0" fontId="0" fillId="6" borderId="19" xfId="0" applyFill="1" applyBorder="1" applyAlignment="1">
      <alignment horizontal="left" vertical="top" wrapText="1"/>
    </xf>
    <xf numFmtId="173" fontId="17" fillId="0" borderId="75" xfId="16" applyFont="1" applyBorder="1" applyAlignment="1" applyProtection="1">
      <alignment horizontal="left"/>
    </xf>
    <xf numFmtId="173" fontId="17" fillId="0" borderId="76" xfId="16" applyFont="1" applyBorder="1" applyAlignment="1" applyProtection="1">
      <alignment horizontal="left"/>
    </xf>
    <xf numFmtId="173" fontId="11" fillId="0" borderId="63" xfId="16" applyFont="1" applyBorder="1" applyAlignment="1" applyProtection="1">
      <alignment horizontal="left" vertical="center" wrapText="1"/>
    </xf>
    <xf numFmtId="173" fontId="11" fillId="0" borderId="98" xfId="16" applyFont="1" applyBorder="1" applyAlignment="1" applyProtection="1">
      <alignment horizontal="left" vertical="center" wrapText="1"/>
    </xf>
    <xf numFmtId="173" fontId="11" fillId="0" borderId="127" xfId="16" applyFont="1" applyBorder="1" applyAlignment="1" applyProtection="1">
      <alignment horizontal="left" vertical="center" wrapText="1"/>
    </xf>
    <xf numFmtId="173" fontId="11" fillId="0" borderId="113" xfId="16" applyFont="1" applyBorder="1" applyAlignment="1" applyProtection="1">
      <alignment horizontal="left" vertical="center" wrapText="1"/>
    </xf>
    <xf numFmtId="173" fontId="11" fillId="0" borderId="109" xfId="16" applyFont="1" applyBorder="1" applyAlignment="1" applyProtection="1">
      <alignment horizontal="left" vertical="center" wrapText="1"/>
    </xf>
    <xf numFmtId="173" fontId="11" fillId="0" borderId="120" xfId="16" applyFont="1" applyBorder="1" applyAlignment="1" applyProtection="1">
      <alignment horizontal="left" vertical="center" wrapText="1"/>
    </xf>
    <xf numFmtId="173" fontId="17" fillId="2" borderId="40" xfId="16" applyFont="1" applyFill="1" applyBorder="1" applyAlignment="1" applyProtection="1">
      <alignment horizontal="left"/>
    </xf>
    <xf numFmtId="173" fontId="17" fillId="2" borderId="106" xfId="16" applyFont="1" applyFill="1" applyBorder="1" applyAlignment="1" applyProtection="1">
      <alignment horizontal="left"/>
    </xf>
    <xf numFmtId="173" fontId="17" fillId="2" borderId="107" xfId="16" applyFont="1" applyFill="1" applyBorder="1" applyAlignment="1" applyProtection="1">
      <alignment horizontal="left"/>
    </xf>
    <xf numFmtId="0" fontId="0" fillId="0" borderId="65" xfId="0" applyBorder="1" applyAlignment="1">
      <alignment horizontal="left" wrapText="1"/>
    </xf>
    <xf numFmtId="173" fontId="17" fillId="0" borderId="143" xfId="16" applyFont="1" applyBorder="1" applyAlignment="1" applyProtection="1">
      <alignment horizontal="left"/>
    </xf>
    <xf numFmtId="173" fontId="17" fillId="0" borderId="79" xfId="16" applyFont="1" applyBorder="1" applyAlignment="1" applyProtection="1">
      <alignment horizontal="left"/>
    </xf>
    <xf numFmtId="0" fontId="1" fillId="20" borderId="8" xfId="0" applyFont="1" applyFill="1" applyBorder="1" applyAlignment="1">
      <alignment horizontal="left"/>
    </xf>
    <xf numFmtId="9" fontId="0" fillId="5" borderId="8" xfId="17" applyFont="1" applyFill="1" applyBorder="1" applyAlignment="1">
      <alignment horizontal="center" vertical="top" wrapText="1"/>
    </xf>
    <xf numFmtId="173" fontId="17" fillId="0" borderId="9" xfId="16" applyFont="1" applyBorder="1" applyAlignment="1" applyProtection="1">
      <alignment wrapText="1"/>
    </xf>
    <xf numFmtId="173" fontId="17" fillId="0" borderId="168" xfId="16" applyFont="1" applyBorder="1" applyAlignment="1" applyProtection="1">
      <alignment wrapText="1"/>
    </xf>
    <xf numFmtId="173" fontId="17" fillId="21" borderId="46" xfId="16" applyFont="1" applyFill="1" applyBorder="1" applyAlignment="1" applyProtection="1">
      <alignment wrapText="1"/>
    </xf>
    <xf numFmtId="0" fontId="0" fillId="21" borderId="47" xfId="0" applyFill="1" applyBorder="1" applyAlignment="1" applyProtection="1">
      <alignment wrapText="1"/>
    </xf>
    <xf numFmtId="0" fontId="54" fillId="13" borderId="0" xfId="0" applyFont="1" applyFill="1" applyAlignment="1">
      <alignment horizontal="left"/>
    </xf>
    <xf numFmtId="0" fontId="55" fillId="0" borderId="0" xfId="0" applyFont="1" applyFill="1" applyBorder="1" applyAlignment="1" applyProtection="1">
      <alignment horizontal="left"/>
    </xf>
    <xf numFmtId="0" fontId="55" fillId="0" borderId="59" xfId="0" applyFont="1" applyFill="1" applyBorder="1" applyAlignment="1" applyProtection="1">
      <alignment horizontal="left"/>
    </xf>
    <xf numFmtId="0" fontId="55" fillId="3" borderId="4" xfId="0" applyFont="1" applyFill="1" applyBorder="1" applyAlignment="1">
      <alignment horizontal="left"/>
    </xf>
    <xf numFmtId="0" fontId="55" fillId="3" borderId="0" xfId="0" applyFont="1" applyFill="1" applyBorder="1" applyAlignment="1">
      <alignment horizontal="left"/>
    </xf>
    <xf numFmtId="0" fontId="55" fillId="3" borderId="5" xfId="0" applyFont="1" applyFill="1" applyBorder="1" applyAlignment="1">
      <alignment horizontal="left"/>
    </xf>
    <xf numFmtId="0" fontId="0" fillId="8" borderId="8" xfId="0" applyFill="1" applyBorder="1" applyAlignment="1">
      <alignment horizontal="center"/>
    </xf>
    <xf numFmtId="0" fontId="29" fillId="4" borderId="90" xfId="0" applyFont="1" applyFill="1" applyBorder="1" applyAlignment="1">
      <alignment wrapText="1"/>
    </xf>
    <xf numFmtId="0" fontId="0" fillId="0" borderId="90" xfId="0" applyBorder="1" applyAlignment="1">
      <alignment wrapText="1"/>
    </xf>
    <xf numFmtId="0" fontId="0" fillId="7" borderId="2" xfId="0" applyFill="1" applyBorder="1" applyAlignment="1">
      <alignment horizontal="left" vertical="top" wrapText="1"/>
    </xf>
    <xf numFmtId="0" fontId="0" fillId="7" borderId="0" xfId="0" applyNumberFormat="1" applyFill="1" applyBorder="1" applyAlignment="1">
      <alignment horizontal="left" wrapText="1"/>
    </xf>
    <xf numFmtId="0" fontId="11" fillId="0" borderId="2" xfId="0" applyFont="1" applyFill="1" applyBorder="1" applyAlignment="1">
      <alignment horizontal="left" wrapText="1"/>
    </xf>
    <xf numFmtId="0" fontId="57" fillId="0" borderId="2" xfId="0" applyFont="1" applyFill="1" applyBorder="1" applyAlignment="1">
      <alignment horizontal="left" wrapText="1"/>
    </xf>
    <xf numFmtId="0" fontId="57" fillId="0" borderId="0" xfId="0" applyFont="1" applyFill="1" applyBorder="1" applyAlignment="1">
      <alignment horizontal="left" wrapText="1"/>
    </xf>
    <xf numFmtId="0" fontId="54" fillId="13" borderId="0" xfId="0" applyFont="1" applyFill="1" applyBorder="1" applyAlignment="1">
      <alignment horizontal="left" wrapText="1"/>
    </xf>
    <xf numFmtId="0" fontId="0" fillId="0" borderId="59" xfId="0" applyBorder="1" applyAlignment="1">
      <alignment horizontal="left"/>
    </xf>
    <xf numFmtId="0" fontId="3" fillId="0" borderId="2" xfId="0" applyFont="1" applyFill="1" applyBorder="1" applyAlignment="1">
      <alignment horizontal="center"/>
    </xf>
    <xf numFmtId="0" fontId="3" fillId="0" borderId="0" xfId="0" applyFont="1" applyFill="1" applyBorder="1" applyAlignment="1">
      <alignment horizontal="center"/>
    </xf>
    <xf numFmtId="0" fontId="3" fillId="0" borderId="2" xfId="0" applyFont="1" applyFill="1" applyBorder="1" applyAlignment="1">
      <alignment horizontal="left" vertical="center" wrapText="1"/>
    </xf>
    <xf numFmtId="0" fontId="3" fillId="0" borderId="3" xfId="0" applyFont="1" applyFill="1" applyBorder="1" applyAlignment="1">
      <alignment horizontal="left" vertical="center" wrapText="1"/>
    </xf>
    <xf numFmtId="0" fontId="3" fillId="0" borderId="5" xfId="0" applyFont="1" applyFill="1" applyBorder="1" applyAlignment="1">
      <alignment horizontal="center"/>
    </xf>
    <xf numFmtId="0" fontId="57" fillId="0" borderId="4" xfId="0" applyFont="1" applyFill="1" applyBorder="1" applyAlignment="1">
      <alignment horizontal="center"/>
    </xf>
    <xf numFmtId="0" fontId="57" fillId="0" borderId="0" xfId="0" applyFont="1" applyFill="1" applyBorder="1" applyAlignment="1">
      <alignment horizontal="center"/>
    </xf>
    <xf numFmtId="0" fontId="4" fillId="0" borderId="58" xfId="5" applyBorder="1" applyAlignment="1" applyProtection="1">
      <alignment horizontal="left"/>
    </xf>
    <xf numFmtId="0" fontId="4" fillId="0" borderId="59" xfId="5" applyBorder="1" applyAlignment="1" applyProtection="1">
      <alignment horizontal="left"/>
    </xf>
    <xf numFmtId="0" fontId="4" fillId="0" borderId="87" xfId="5" applyBorder="1" applyAlignment="1" applyProtection="1">
      <alignment horizontal="left"/>
    </xf>
    <xf numFmtId="0" fontId="3" fillId="3" borderId="4" xfId="0" applyFont="1" applyFill="1" applyBorder="1" applyAlignment="1">
      <alignment horizontal="center"/>
    </xf>
    <xf numFmtId="0" fontId="3" fillId="3" borderId="0" xfId="0" applyFont="1" applyFill="1" applyBorder="1" applyAlignment="1">
      <alignment horizontal="center"/>
    </xf>
    <xf numFmtId="0" fontId="3" fillId="0" borderId="0" xfId="0" applyFont="1" applyFill="1" applyBorder="1" applyAlignment="1">
      <alignment horizontal="center" vertical="center" wrapText="1"/>
    </xf>
    <xf numFmtId="0" fontId="3" fillId="0" borderId="5" xfId="0" applyFont="1" applyFill="1" applyBorder="1" applyAlignment="1">
      <alignment horizontal="center" vertical="center" wrapText="1"/>
    </xf>
    <xf numFmtId="0" fontId="57" fillId="0" borderId="4" xfId="0" applyFont="1" applyFill="1" applyBorder="1" applyAlignment="1">
      <alignment horizontal="left" wrapText="1"/>
    </xf>
    <xf numFmtId="0" fontId="57" fillId="0" borderId="5" xfId="0" applyFont="1" applyFill="1" applyBorder="1" applyAlignment="1">
      <alignment horizontal="left" wrapText="1"/>
    </xf>
    <xf numFmtId="0" fontId="57" fillId="0" borderId="4" xfId="0" applyFont="1" applyFill="1" applyBorder="1" applyAlignment="1">
      <alignment horizontal="left"/>
    </xf>
    <xf numFmtId="0" fontId="57" fillId="0" borderId="0" xfId="0" applyFont="1" applyFill="1" applyBorder="1" applyAlignment="1">
      <alignment horizontal="left"/>
    </xf>
    <xf numFmtId="0" fontId="57" fillId="0" borderId="5" xfId="0" applyFont="1" applyFill="1" applyBorder="1" applyAlignment="1">
      <alignment horizontal="left"/>
    </xf>
    <xf numFmtId="0" fontId="1" fillId="0" borderId="126" xfId="0" applyFont="1" applyBorder="1" applyAlignment="1">
      <alignment horizontal="left" vertical="top" wrapText="1"/>
    </xf>
    <xf numFmtId="0" fontId="0" fillId="0" borderId="154" xfId="0" applyBorder="1" applyAlignment="1">
      <alignment horizontal="left" vertical="top" wrapText="1"/>
    </xf>
    <xf numFmtId="0" fontId="5" fillId="0" borderId="24" xfId="0" applyFont="1" applyBorder="1" applyAlignment="1">
      <alignment horizontal="left"/>
    </xf>
    <xf numFmtId="0" fontId="5" fillId="0" borderId="66" xfId="0" applyFont="1" applyBorder="1" applyAlignment="1">
      <alignment horizontal="left"/>
    </xf>
    <xf numFmtId="0" fontId="7" fillId="2" borderId="4" xfId="0" applyFont="1" applyFill="1" applyBorder="1" applyAlignment="1">
      <alignment horizontal="left" wrapText="1"/>
    </xf>
    <xf numFmtId="0" fontId="7" fillId="2" borderId="0" xfId="0" applyFont="1" applyFill="1" applyBorder="1" applyAlignment="1">
      <alignment horizontal="left" wrapText="1"/>
    </xf>
    <xf numFmtId="0" fontId="7" fillId="2" borderId="5" xfId="0" applyFont="1" applyFill="1" applyBorder="1" applyAlignment="1">
      <alignment horizontal="left" wrapText="1"/>
    </xf>
    <xf numFmtId="0" fontId="3" fillId="0" borderId="2" xfId="0" applyFont="1" applyBorder="1" applyAlignment="1">
      <alignment horizontal="center" vertical="center" wrapText="1"/>
    </xf>
    <xf numFmtId="0" fontId="3" fillId="0" borderId="1" xfId="0" applyFont="1" applyBorder="1" applyAlignment="1">
      <alignment horizontal="center" vertical="center" wrapText="1"/>
    </xf>
    <xf numFmtId="0" fontId="3" fillId="0" borderId="3" xfId="0" applyFont="1" applyBorder="1" applyAlignment="1">
      <alignment horizontal="center" vertical="center" wrapText="1"/>
    </xf>
    <xf numFmtId="0" fontId="46" fillId="2" borderId="58" xfId="5" applyFont="1" applyFill="1" applyBorder="1" applyAlignment="1" applyProtection="1">
      <alignment horizontal="left" wrapText="1"/>
    </xf>
    <xf numFmtId="0" fontId="46" fillId="2" borderId="59" xfId="5" applyFont="1" applyFill="1" applyBorder="1" applyAlignment="1" applyProtection="1">
      <alignment horizontal="left" wrapText="1"/>
    </xf>
    <xf numFmtId="0" fontId="46" fillId="2" borderId="87" xfId="5" applyFont="1" applyFill="1" applyBorder="1" applyAlignment="1" applyProtection="1">
      <alignment horizontal="left" wrapText="1"/>
    </xf>
    <xf numFmtId="0" fontId="5" fillId="0" borderId="24" xfId="0" applyFont="1" applyBorder="1" applyAlignment="1">
      <alignment horizontal="left" wrapText="1"/>
    </xf>
    <xf numFmtId="0" fontId="5" fillId="0" borderId="66" xfId="0" applyFont="1" applyBorder="1" applyAlignment="1">
      <alignment horizontal="left" wrapText="1"/>
    </xf>
    <xf numFmtId="0" fontId="7" fillId="0" borderId="4" xfId="0" applyFont="1" applyFill="1" applyBorder="1" applyAlignment="1">
      <alignment wrapText="1"/>
    </xf>
    <xf numFmtId="0" fontId="7" fillId="0" borderId="0" xfId="0" applyFont="1" applyFill="1" applyBorder="1" applyAlignment="1">
      <alignment wrapText="1"/>
    </xf>
    <xf numFmtId="0" fontId="7" fillId="0" borderId="5" xfId="0" applyFont="1" applyFill="1" applyBorder="1" applyAlignment="1">
      <alignment wrapText="1"/>
    </xf>
    <xf numFmtId="0" fontId="8" fillId="3" borderId="4" xfId="0" applyFont="1" applyFill="1" applyBorder="1" applyAlignment="1">
      <alignment horizontal="left" vertical="center" wrapText="1"/>
    </xf>
    <xf numFmtId="0" fontId="8" fillId="3" borderId="0" xfId="0" applyFont="1" applyFill="1" applyBorder="1" applyAlignment="1">
      <alignment horizontal="left" vertical="center" wrapText="1"/>
    </xf>
    <xf numFmtId="0" fontId="8" fillId="3" borderId="5" xfId="0" applyFont="1" applyFill="1" applyBorder="1" applyAlignment="1">
      <alignment horizontal="left" vertical="center" wrapText="1"/>
    </xf>
    <xf numFmtId="0" fontId="6" fillId="13" borderId="0" xfId="0" applyFont="1" applyFill="1" applyBorder="1" applyAlignment="1">
      <alignment wrapText="1"/>
    </xf>
    <xf numFmtId="0" fontId="0" fillId="0" borderId="0" xfId="0" applyBorder="1"/>
    <xf numFmtId="0" fontId="7" fillId="0" borderId="59" xfId="0" applyFont="1" applyFill="1" applyBorder="1" applyAlignment="1">
      <alignment horizontal="left" wrapText="1"/>
    </xf>
    <xf numFmtId="0" fontId="8" fillId="2" borderId="2" xfId="0" applyFont="1" applyFill="1" applyBorder="1" applyAlignment="1">
      <alignment horizontal="center" vertical="center" wrapText="1"/>
    </xf>
    <xf numFmtId="0" fontId="7" fillId="2" borderId="4" xfId="0" applyFont="1" applyFill="1" applyBorder="1" applyAlignment="1">
      <alignment wrapText="1"/>
    </xf>
    <xf numFmtId="0" fontId="7" fillId="2" borderId="0" xfId="0" applyFont="1" applyFill="1" applyBorder="1" applyAlignment="1">
      <alignment wrapText="1"/>
    </xf>
    <xf numFmtId="0" fontId="7" fillId="2" borderId="5" xfId="0" applyFont="1" applyFill="1" applyBorder="1" applyAlignment="1">
      <alignment wrapText="1"/>
    </xf>
    <xf numFmtId="173" fontId="17" fillId="0" borderId="12" xfId="16" applyFont="1" applyBorder="1" applyAlignment="1" applyProtection="1"/>
    <xf numFmtId="0" fontId="0" fillId="0" borderId="12" xfId="0" applyBorder="1" applyAlignment="1" applyProtection="1"/>
    <xf numFmtId="0" fontId="0" fillId="3" borderId="26" xfId="0" applyFill="1" applyBorder="1" applyAlignment="1" applyProtection="1">
      <alignment horizontal="center"/>
    </xf>
    <xf numFmtId="0" fontId="0" fillId="3" borderId="27" xfId="0" applyFill="1" applyBorder="1" applyAlignment="1" applyProtection="1">
      <alignment horizontal="center"/>
    </xf>
    <xf numFmtId="0" fontId="17" fillId="3" borderId="13" xfId="0" applyFont="1" applyFill="1" applyBorder="1" applyAlignment="1" applyProtection="1">
      <alignment wrapText="1"/>
    </xf>
    <xf numFmtId="0" fontId="18" fillId="3" borderId="16" xfId="0" applyFont="1" applyFill="1" applyBorder="1" applyAlignment="1" applyProtection="1">
      <alignment wrapText="1"/>
    </xf>
    <xf numFmtId="0" fontId="13" fillId="0" borderId="13" xfId="0" applyFont="1" applyBorder="1" applyAlignment="1" applyProtection="1">
      <alignment horizontal="left"/>
      <protection locked="0"/>
    </xf>
    <xf numFmtId="0" fontId="0" fillId="0" borderId="15" xfId="0" applyBorder="1" applyAlignment="1" applyProtection="1">
      <protection locked="0"/>
    </xf>
    <xf numFmtId="0" fontId="0" fillId="0" borderId="16" xfId="0" applyBorder="1" applyAlignment="1" applyProtection="1">
      <protection locked="0"/>
    </xf>
  </cellXfs>
  <cellStyles count="21">
    <cellStyle name="Comma" xfId="1" builtinId="3"/>
    <cellStyle name="Comma 2" xfId="2" xr:uid="{00000000-0005-0000-0000-000001000000}"/>
    <cellStyle name="Currency" xfId="3" builtinId="4"/>
    <cellStyle name="Currency 2" xfId="4" xr:uid="{00000000-0005-0000-0000-000003000000}"/>
    <cellStyle name="Hyperlink" xfId="5" builtinId="8"/>
    <cellStyle name="Hyperlink 2" xfId="6" xr:uid="{00000000-0005-0000-0000-000005000000}"/>
    <cellStyle name="Normal" xfId="0" builtinId="0"/>
    <cellStyle name="Normal 2" xfId="20" xr:uid="{00000000-0005-0000-0000-000007000000}"/>
    <cellStyle name="Normal 2 19" xfId="7" xr:uid="{00000000-0005-0000-0000-000008000000}"/>
    <cellStyle name="Normal 23" xfId="8" xr:uid="{00000000-0005-0000-0000-000009000000}"/>
    <cellStyle name="Normal 23 3" xfId="9" xr:uid="{00000000-0005-0000-0000-00000A000000}"/>
    <cellStyle name="Normal 24" xfId="10" xr:uid="{00000000-0005-0000-0000-00000B000000}"/>
    <cellStyle name="Normal 26" xfId="11" xr:uid="{00000000-0005-0000-0000-00000C000000}"/>
    <cellStyle name="Normal 33" xfId="12" xr:uid="{00000000-0005-0000-0000-00000D000000}"/>
    <cellStyle name="Normal 33 2" xfId="13" xr:uid="{00000000-0005-0000-0000-00000E000000}"/>
    <cellStyle name="Normal 34" xfId="14" xr:uid="{00000000-0005-0000-0000-00000F000000}"/>
    <cellStyle name="Normal 34 2" xfId="15" xr:uid="{00000000-0005-0000-0000-000010000000}"/>
    <cellStyle name="Normal_DCFROR for large plant" xfId="16" xr:uid="{00000000-0005-0000-0000-000011000000}"/>
    <cellStyle name="Percent" xfId="17" builtinId="5"/>
    <cellStyle name="Percent 2" xfId="18" xr:uid="{00000000-0005-0000-0000-000013000000}"/>
    <cellStyle name="Percent 3" xfId="19" xr:uid="{00000000-0005-0000-0000-000014000000}"/>
  </cellStyles>
  <dxfs count="3">
    <dxf>
      <font>
        <strike val="0"/>
        <condense val="0"/>
        <extend val="0"/>
        <color indexed="22"/>
      </font>
    </dxf>
    <dxf>
      <font>
        <b/>
        <i val="0"/>
        <strike val="0"/>
        <condense val="0"/>
        <extend val="0"/>
        <color auto="1"/>
      </font>
    </dxf>
    <dxf>
      <font>
        <b/>
        <i val="0"/>
        <color rgb="FFFFFF00"/>
      </font>
      <fill>
        <patternFill>
          <bgColor rgb="FFFF0000"/>
        </patternFill>
      </fill>
    </dxf>
  </dxfs>
  <tableStyles count="0" defaultTableStyle="TableStyleMedium9" defaultPivotStyle="PivotStyleLight16"/>
  <colors>
    <mruColors>
      <color rgb="FFFFCC99"/>
      <color rgb="FF97B757"/>
      <color rgb="FFB54E4B"/>
      <color rgb="FFF5FFE6"/>
      <color rgb="FFE4FDC2"/>
      <color rgb="FFDAFDA7"/>
      <color rgb="FFFFA2A1"/>
      <color rgb="FFFFBEBD"/>
      <color rgb="FFFFE5E5"/>
      <color rgb="FFA2BF3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1.xml"/><Relationship Id="rId30"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xml"/><Relationship Id="rId1" Type="http://schemas.microsoft.com/office/2011/relationships/chartStyle" Target="style1.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H2A</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4AFA-458C-B8E5-ABC7134934EC}"/>
            </c:ext>
          </c:extLst>
        </c:ser>
        <c:ser>
          <c:idx val="1"/>
          <c:order val="1"/>
          <c:spPr>
            <a:solidFill>
              <a:srgbClr val="993366"/>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4AFA-458C-B8E5-ABC7134934EC}"/>
            </c:ext>
          </c:extLst>
        </c:ser>
        <c:ser>
          <c:idx val="2"/>
          <c:order val="2"/>
          <c:spPr>
            <a:solidFill>
              <a:srgbClr val="FFFFCC"/>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4AFA-458C-B8E5-ABC7134934EC}"/>
            </c:ext>
          </c:extLst>
        </c:ser>
        <c:dLbls>
          <c:showLegendKey val="0"/>
          <c:showVal val="0"/>
          <c:showCatName val="0"/>
          <c:showSerName val="0"/>
          <c:showPercent val="0"/>
          <c:showBubbleSize val="0"/>
        </c:dLbls>
        <c:gapWidth val="150"/>
        <c:overlap val="100"/>
        <c:axId val="228857728"/>
        <c:axId val="229040896"/>
      </c:barChart>
      <c:catAx>
        <c:axId val="228857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29040896"/>
        <c:crosses val="autoZero"/>
        <c:auto val="1"/>
        <c:lblAlgn val="ctr"/>
        <c:lblOffset val="100"/>
        <c:tickLblSkip val="1"/>
        <c:tickMarkSkip val="1"/>
        <c:noMultiLvlLbl val="0"/>
      </c:catAx>
      <c:valAx>
        <c:axId val="229040896"/>
        <c:scaling>
          <c:orientation val="minMax"/>
          <c:max val="0.24"/>
          <c:min val="0"/>
        </c:scaling>
        <c:delete val="0"/>
        <c:axPos val="l"/>
        <c:majorGridlines>
          <c:spPr>
            <a:ln w="3175">
              <a:solidFill>
                <a:srgbClr val="000000"/>
              </a:solidFill>
              <a:prstDash val="solid"/>
            </a:ln>
          </c:spPr>
        </c:majorGridlines>
        <c:title>
          <c:tx>
            <c:rich>
              <a:bodyPr/>
              <a:lstStyle/>
              <a:p>
                <a:pPr>
                  <a:defRPr sz="175"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28857728"/>
        <c:crosses val="autoZero"/>
        <c:crossBetween val="between"/>
        <c:majorUnit val="2.4E-2"/>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E3</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C6B9-4F9C-BAE3-F7AAC4D071FA}"/>
            </c:ext>
          </c:extLst>
        </c:ser>
        <c:ser>
          <c:idx val="1"/>
          <c:order val="1"/>
          <c:spPr>
            <a:solidFill>
              <a:srgbClr val="993366"/>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C6B9-4F9C-BAE3-F7AAC4D071FA}"/>
            </c:ext>
          </c:extLst>
        </c:ser>
        <c:ser>
          <c:idx val="2"/>
          <c:order val="2"/>
          <c:spPr>
            <a:solidFill>
              <a:srgbClr val="FFFFCC"/>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C6B9-4F9C-BAE3-F7AAC4D071FA}"/>
            </c:ext>
          </c:extLst>
        </c:ser>
        <c:dLbls>
          <c:showLegendKey val="0"/>
          <c:showVal val="0"/>
          <c:showCatName val="0"/>
          <c:showSerName val="0"/>
          <c:showPercent val="0"/>
          <c:showBubbleSize val="0"/>
        </c:dLbls>
        <c:gapWidth val="150"/>
        <c:overlap val="100"/>
        <c:axId val="232644608"/>
        <c:axId val="232646528"/>
      </c:barChart>
      <c:catAx>
        <c:axId val="2326446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32646528"/>
        <c:crosses val="autoZero"/>
        <c:auto val="1"/>
        <c:lblAlgn val="ctr"/>
        <c:lblOffset val="100"/>
        <c:tickLblSkip val="1"/>
        <c:tickMarkSkip val="1"/>
        <c:noMultiLvlLbl val="0"/>
      </c:catAx>
      <c:valAx>
        <c:axId val="232646528"/>
        <c:scaling>
          <c:orientation val="minMax"/>
          <c:max val="0.2"/>
          <c:min val="0"/>
        </c:scaling>
        <c:delete val="0"/>
        <c:axPos val="l"/>
        <c:majorGridlines>
          <c:spPr>
            <a:ln w="3175">
              <a:solidFill>
                <a:srgbClr val="000000"/>
              </a:solidFill>
              <a:prstDash val="solid"/>
            </a:ln>
          </c:spPr>
        </c:majorGridlines>
        <c:title>
          <c:tx>
            <c:rich>
              <a:bodyPr/>
              <a:lstStyle/>
              <a:p>
                <a:pPr>
                  <a:defRPr sz="15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0.00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32644608"/>
        <c:crosses val="autoZero"/>
        <c:crossBetween val="between"/>
        <c:majorUnit val="0.02"/>
      </c:valAx>
      <c:spPr>
        <a:solidFill>
          <a:srgbClr val="C0C0C0"/>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0-636C-421C-A164-D787DAEF9993}"/>
            </c:ext>
          </c:extLst>
        </c:ser>
        <c:ser>
          <c:idx val="1"/>
          <c:order val="1"/>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1-636C-421C-A164-D787DAEF9993}"/>
            </c:ext>
          </c:extLst>
        </c:ser>
        <c:ser>
          <c:idx val="2"/>
          <c:order val="2"/>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2-636C-421C-A164-D787DAEF9993}"/>
            </c:ext>
          </c:extLst>
        </c:ser>
        <c:dLbls>
          <c:showLegendKey val="0"/>
          <c:showVal val="0"/>
          <c:showCatName val="0"/>
          <c:showSerName val="0"/>
          <c:showPercent val="0"/>
          <c:showBubbleSize val="0"/>
        </c:dLbls>
        <c:gapWidth val="150"/>
        <c:overlap val="100"/>
        <c:axId val="243065216"/>
        <c:axId val="249264000"/>
      </c:barChart>
      <c:barChart>
        <c:barDir val="col"/>
        <c:grouping val="stacked"/>
        <c:varyColors val="0"/>
        <c:ser>
          <c:idx val="3"/>
          <c:order val="3"/>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3-636C-421C-A164-D787DAEF9993}"/>
            </c:ext>
          </c:extLst>
        </c:ser>
        <c:ser>
          <c:idx val="4"/>
          <c:order val="4"/>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4-636C-421C-A164-D787DAEF9993}"/>
            </c:ext>
          </c:extLst>
        </c:ser>
        <c:ser>
          <c:idx val="5"/>
          <c:order val="5"/>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5-636C-421C-A164-D787DAEF9993}"/>
            </c:ext>
          </c:extLst>
        </c:ser>
        <c:dLbls>
          <c:showLegendKey val="0"/>
          <c:showVal val="0"/>
          <c:showCatName val="0"/>
          <c:showSerName val="0"/>
          <c:showPercent val="0"/>
          <c:showBubbleSize val="0"/>
        </c:dLbls>
        <c:gapWidth val="150"/>
        <c:overlap val="100"/>
        <c:axId val="249712640"/>
        <c:axId val="249714176"/>
      </c:barChart>
      <c:catAx>
        <c:axId val="243065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9264000"/>
        <c:crosses val="autoZero"/>
        <c:auto val="1"/>
        <c:lblAlgn val="ctr"/>
        <c:lblOffset val="100"/>
        <c:tickLblSkip val="1"/>
        <c:tickMarkSkip val="1"/>
        <c:noMultiLvlLbl val="0"/>
      </c:catAx>
      <c:valAx>
        <c:axId val="249264000"/>
        <c:scaling>
          <c:orientation val="minMax"/>
        </c:scaling>
        <c:delete val="0"/>
        <c:axPos val="l"/>
        <c:majorGridlines>
          <c:spPr>
            <a:ln w="3175">
              <a:solidFill>
                <a:srgbClr val="000000"/>
              </a:solidFill>
              <a:prstDash val="solid"/>
            </a:ln>
          </c:spPr>
        </c:majorGridlines>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3065216"/>
        <c:crosses val="autoZero"/>
        <c:crossBetween val="between"/>
      </c:valAx>
      <c:catAx>
        <c:axId val="249712640"/>
        <c:scaling>
          <c:orientation val="minMax"/>
        </c:scaling>
        <c:delete val="1"/>
        <c:axPos val="b"/>
        <c:majorTickMark val="out"/>
        <c:minorTickMark val="none"/>
        <c:tickLblPos val="nextTo"/>
        <c:crossAx val="249714176"/>
        <c:crossesAt val="0"/>
        <c:auto val="1"/>
        <c:lblAlgn val="ctr"/>
        <c:lblOffset val="100"/>
        <c:noMultiLvlLbl val="0"/>
      </c:catAx>
      <c:valAx>
        <c:axId val="249714176"/>
        <c:scaling>
          <c:orientation val="minMax"/>
          <c:max val="0.1"/>
          <c:min val="0"/>
        </c:scaling>
        <c:delete val="0"/>
        <c:axPos val="r"/>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9712640"/>
        <c:crosses val="max"/>
        <c:crossBetween val="between"/>
      </c:valAx>
      <c:spPr>
        <a:noFill/>
        <a:ln w="12700">
          <a:solidFill>
            <a:srgbClr val="808080"/>
          </a:solidFill>
          <a:prstDash val="solid"/>
        </a:ln>
      </c:spPr>
    </c:plotArea>
    <c:legend>
      <c:legendPos val="r"/>
      <c:legendEntry>
        <c:idx val="3"/>
        <c:delete val="1"/>
      </c:legendEntry>
      <c:legendEntry>
        <c:idx val="4"/>
        <c:delete val="1"/>
      </c:legendEntry>
      <c:legendEntry>
        <c:idx val="5"/>
        <c:delete val="1"/>
      </c:legendEntry>
      <c:overlay val="0"/>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7500559682674273"/>
          <c:y val="0.11838313090035042"/>
          <c:w val="0.5806490022887536"/>
          <c:h val="0.82796828234341768"/>
        </c:manualLayout>
      </c:layout>
      <c:barChart>
        <c:barDir val="bar"/>
        <c:grouping val="clustered"/>
        <c:varyColors val="0"/>
        <c:ser>
          <c:idx val="0"/>
          <c:order val="0"/>
          <c:tx>
            <c:strRef>
              <c:f>'Tornado Charts &amp; Risk Analysis'!$I$154</c:f>
              <c:strCache>
                <c:ptCount val="1"/>
                <c:pt idx="0">
                  <c:v>Sorted values</c:v>
                </c:pt>
              </c:strCache>
            </c:strRef>
          </c:tx>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c:spPr>
          <c:invertIfNegative val="0"/>
          <c:dPt>
            <c:idx val="0"/>
            <c:invertIfNegative val="0"/>
            <c:bubble3D val="0"/>
            <c:spPr>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w="9525" cap="flat" cmpd="sng" algn="ctr">
                <a:solidFill>
                  <a:schemeClr val="accent3">
                    <a:lumMod val="50000"/>
                  </a:schemeClr>
                </a:solidFill>
                <a:round/>
              </a:ln>
              <a:effectLst/>
            </c:spPr>
            <c:extLst>
              <c:ext xmlns:c16="http://schemas.microsoft.com/office/drawing/2014/chart" uri="{C3380CC4-5D6E-409C-BE32-E72D297353CC}">
                <c16:uniqueId val="{00000001-719D-44D2-BA2B-89782D674259}"/>
              </c:ext>
            </c:extLst>
          </c:dPt>
          <c:dPt>
            <c:idx val="1"/>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accent3">
                    <a:lumMod val="50000"/>
                  </a:schemeClr>
                </a:solidFill>
                <a:round/>
              </a:ln>
              <a:effectLst/>
            </c:spPr>
            <c:extLst>
              <c:ext xmlns:c16="http://schemas.microsoft.com/office/drawing/2014/chart" uri="{C3380CC4-5D6E-409C-BE32-E72D297353CC}">
                <c16:uniqueId val="{00000003-719D-44D2-BA2B-89782D674259}"/>
              </c:ext>
            </c:extLst>
          </c:dPt>
          <c:dPt>
            <c:idx val="2"/>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accent3">
                    <a:lumMod val="50000"/>
                  </a:schemeClr>
                </a:solidFill>
                <a:round/>
              </a:ln>
              <a:effectLst/>
            </c:spPr>
            <c:extLst>
              <c:ext xmlns:c16="http://schemas.microsoft.com/office/drawing/2014/chart" uri="{C3380CC4-5D6E-409C-BE32-E72D297353CC}">
                <c16:uniqueId val="{00000005-719D-44D2-BA2B-89782D674259}"/>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'Tornado Charts &amp; Risk Analysis'!$H$155:$H$170</c:f>
              <c:strCache>
                <c:ptCount val="16"/>
                <c:pt idx="0">
                  <c:v>Cost of Hydrogen</c:v>
                </c:pt>
                <c:pt idx="1">
                  <c:v>Salvage Value</c:v>
                </c:pt>
                <c:pt idx="2">
                  <c:v>Byproduct Sales</c:v>
                </c:pt>
                <c:pt idx="4">
                  <c:v>Feedstock Cost</c:v>
                </c:pt>
                <c:pt idx="5">
                  <c:v>Other Variable Operating Costs</c:v>
                </c:pt>
                <c:pt idx="6">
                  <c:v>Initial Equity Depreciable Capital</c:v>
                </c:pt>
                <c:pt idx="7">
                  <c:v>Yearly Replacement Costs</c:v>
                </c:pt>
                <c:pt idx="8">
                  <c:v>Fixed Operating Cost</c:v>
                </c:pt>
                <c:pt idx="9">
                  <c:v>Debt Interest</c:v>
                </c:pt>
                <c:pt idx="10">
                  <c:v>Taxes</c:v>
                </c:pt>
                <c:pt idx="11">
                  <c:v>Cash for Working Capital Reserve</c:v>
                </c:pt>
                <c:pt idx="12">
                  <c:v>Principal Payment</c:v>
                </c:pt>
                <c:pt idx="13">
                  <c:v>Decommissioning Costs</c:v>
                </c:pt>
                <c:pt idx="14">
                  <c:v>Other Non-Depreciable Capital Costs</c:v>
                </c:pt>
                <c:pt idx="15">
                  <c:v>Other Raw Material Cost</c:v>
                </c:pt>
              </c:strCache>
            </c:strRef>
          </c:cat>
          <c:val>
            <c:numRef>
              <c:f>'Tornado Charts &amp; Risk Analysis'!$I$155:$I$170</c:f>
              <c:numCache>
                <c:formatCode>_("$"* #,##0.00_);_("$"* \(#,##0.00\);_("$"* "-"??_);_(@_)</c:formatCode>
                <c:ptCount val="16"/>
                <c:pt idx="0">
                  <c:v>1.5582197865293927</c:v>
                </c:pt>
                <c:pt idx="1">
                  <c:v>1.5603382608962266E-3</c:v>
                </c:pt>
                <c:pt idx="2">
                  <c:v>0</c:v>
                </c:pt>
                <c:pt idx="4">
                  <c:v>0.82524955783637077</c:v>
                </c:pt>
                <c:pt idx="5">
                  <c:v>0.20561571448089225</c:v>
                </c:pt>
                <c:pt idx="6">
                  <c:v>0.1435766003247316</c:v>
                </c:pt>
                <c:pt idx="7">
                  <c:v>0.12137220296106475</c:v>
                </c:pt>
                <c:pt idx="8">
                  <c:v>0.11952400105681882</c:v>
                </c:pt>
                <c:pt idx="9">
                  <c:v>9.432006620325277E-2</c:v>
                </c:pt>
                <c:pt idx="10">
                  <c:v>2.7743522830533017E-2</c:v>
                </c:pt>
                <c:pt idx="11">
                  <c:v>1.5685799462749842E-2</c:v>
                </c:pt>
                <c:pt idx="12">
                  <c:v>4.2370725688043549E-3</c:v>
                </c:pt>
                <c:pt idx="13">
                  <c:v>1.5567912435341155E-3</c:v>
                </c:pt>
                <c:pt idx="14">
                  <c:v>8.987958215351488E-4</c:v>
                </c:pt>
                <c:pt idx="15">
                  <c:v>0</c:v>
                </c:pt>
              </c:numCache>
            </c:numRef>
          </c:val>
          <c:extLst>
            <c:ext xmlns:c16="http://schemas.microsoft.com/office/drawing/2014/chart" uri="{C3380CC4-5D6E-409C-BE32-E72D297353CC}">
              <c16:uniqueId val="{00000006-719D-44D2-BA2B-89782D674259}"/>
            </c:ext>
          </c:extLst>
        </c:ser>
        <c:dLbls>
          <c:showLegendKey val="0"/>
          <c:showVal val="0"/>
          <c:showCatName val="0"/>
          <c:showSerName val="0"/>
          <c:showPercent val="0"/>
          <c:showBubbleSize val="0"/>
        </c:dLbls>
        <c:gapWidth val="15"/>
        <c:axId val="254924288"/>
        <c:axId val="255255680"/>
      </c:barChart>
      <c:catAx>
        <c:axId val="254924288"/>
        <c:scaling>
          <c:orientation val="maxMin"/>
        </c:scaling>
        <c:delete val="1"/>
        <c:axPos val="l"/>
        <c:numFmt formatCode="0.000;;" sourceLinked="0"/>
        <c:majorTickMark val="none"/>
        <c:minorTickMark val="none"/>
        <c:tickLblPos val="nextTo"/>
        <c:crossAx val="255255680"/>
        <c:crosses val="autoZero"/>
        <c:auto val="1"/>
        <c:lblAlgn val="ctr"/>
        <c:lblOffset val="100"/>
        <c:noMultiLvlLbl val="0"/>
      </c:catAx>
      <c:valAx>
        <c:axId val="255255680"/>
        <c:scaling>
          <c:orientation val="minMax"/>
        </c:scaling>
        <c:delete val="0"/>
        <c:axPos val="b"/>
        <c:majorGridlines>
          <c:spPr>
            <a:ln w="9525" cap="flat" cmpd="sng" algn="ctr">
              <a:solidFill>
                <a:schemeClr val="bg1">
                  <a:lumMod val="9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t" anchorCtr="0"/>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54924288"/>
        <c:crosses val="max"/>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261473718427289"/>
          <c:y val="9.391989230914588E-2"/>
          <c:w val="0.78497440944881891"/>
          <c:h val="0.31475063124231972"/>
        </c:manualLayout>
      </c:layout>
      <c:barChart>
        <c:barDir val="bar"/>
        <c:grouping val="stacked"/>
        <c:varyColors val="0"/>
        <c:ser>
          <c:idx val="0"/>
          <c:order val="0"/>
          <c:tx>
            <c:strRef>
              <c:f>'Tornado Charts &amp; Risk Analysis'!$K$155</c:f>
              <c:strCache>
                <c:ptCount val="1"/>
                <c:pt idx="0">
                  <c:v>Cost of Hydrogen</c:v>
                </c:pt>
              </c:strCache>
            </c:strRef>
          </c:tx>
          <c:spPr>
            <a:solidFill>
              <a:srgbClr val="303C1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Analysis'!$L$154:$M$154</c:f>
              <c:strCache>
                <c:ptCount val="2"/>
                <c:pt idx="0">
                  <c:v>Revenues
 $/kg H2</c:v>
                </c:pt>
                <c:pt idx="1">
                  <c:v>Expenses
 $/kg H2</c:v>
                </c:pt>
              </c:strCache>
            </c:strRef>
          </c:cat>
          <c:val>
            <c:numRef>
              <c:f>'Tornado Charts &amp; Risk Analysis'!$L$155:$M$155</c:f>
              <c:numCache>
                <c:formatCode>General</c:formatCode>
                <c:ptCount val="2"/>
                <c:pt idx="0" formatCode="_(&quot;$&quot;* #,##0.00_);_(&quot;$&quot;* \(#,##0.00\);_(&quot;$&quot;* &quot;-&quot;??_);_(@_)">
                  <c:v>1.5582197865293927</c:v>
                </c:pt>
              </c:numCache>
            </c:numRef>
          </c:val>
          <c:extLst>
            <c:ext xmlns:c16="http://schemas.microsoft.com/office/drawing/2014/chart" uri="{C3380CC4-5D6E-409C-BE32-E72D297353CC}">
              <c16:uniqueId val="{00000000-8F09-4F3E-8E88-9B9B44EDCDF1}"/>
            </c:ext>
          </c:extLst>
        </c:ser>
        <c:ser>
          <c:idx val="1"/>
          <c:order val="1"/>
          <c:tx>
            <c:strRef>
              <c:f>'Tornado Charts &amp; Risk Analysis'!$K$156</c:f>
              <c:strCache>
                <c:ptCount val="1"/>
                <c:pt idx="0">
                  <c:v>Salvage Value</c:v>
                </c:pt>
              </c:strCache>
            </c:strRef>
          </c:tx>
          <c:spPr>
            <a:solidFill>
              <a:srgbClr val="586D2D"/>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Analysis'!$L$156:$M$156</c:f>
              <c:numCache>
                <c:formatCode>General</c:formatCode>
                <c:ptCount val="2"/>
                <c:pt idx="0" formatCode="_(&quot;$&quot;* #,##0.00_);_(&quot;$&quot;* \(#,##0.00\);_(&quot;$&quot;* &quot;-&quot;??_);_(@_)">
                  <c:v>1.5603382608962266E-3</c:v>
                </c:pt>
              </c:numCache>
            </c:numRef>
          </c:val>
          <c:extLst>
            <c:ext xmlns:c16="http://schemas.microsoft.com/office/drawing/2014/chart" uri="{C3380CC4-5D6E-409C-BE32-E72D297353CC}">
              <c16:uniqueId val="{00000001-8F09-4F3E-8E88-9B9B44EDCDF1}"/>
            </c:ext>
          </c:extLst>
        </c:ser>
        <c:ser>
          <c:idx val="2"/>
          <c:order val="2"/>
          <c:tx>
            <c:strRef>
              <c:f>'Tornado Charts &amp; Risk Analysis'!$K$157</c:f>
              <c:strCache>
                <c:ptCount val="1"/>
                <c:pt idx="0">
                  <c:v>Byproduct Sales</c:v>
                </c:pt>
              </c:strCache>
            </c:strRef>
          </c:tx>
          <c:spPr>
            <a:solidFill>
              <a:srgbClr val="A0BF61"/>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Analysis'!$L$157:$M$157</c:f>
              <c:numCache>
                <c:formatCode>General</c:formatCode>
                <c:ptCount val="2"/>
                <c:pt idx="0" formatCode="_(&quot;$&quot;* #,##0.00_);_(&quot;$&quot;* \(#,##0.00\);_(&quot;$&quot;* &quot;-&quot;??_);_(@_)">
                  <c:v>0</c:v>
                </c:pt>
              </c:numCache>
            </c:numRef>
          </c:val>
          <c:extLst>
            <c:ext xmlns:c16="http://schemas.microsoft.com/office/drawing/2014/chart" uri="{C3380CC4-5D6E-409C-BE32-E72D297353CC}">
              <c16:uniqueId val="{00000002-8F09-4F3E-8E88-9B9B44EDCDF1}"/>
            </c:ext>
          </c:extLst>
        </c:ser>
        <c:ser>
          <c:idx val="3"/>
          <c:order val="3"/>
          <c:tx>
            <c:strRef>
              <c:f>'Tornado Charts &amp; Risk Analysis'!$K$158</c:f>
              <c:strCache>
                <c:ptCount val="1"/>
              </c:strCache>
            </c:strRef>
          </c:tx>
          <c:spPr>
            <a:solidFill>
              <a:schemeClr val="accent4"/>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Analysis'!$L$158:$M$158</c:f>
              <c:numCache>
                <c:formatCode>_("$"* #,##0.00_);_("$"* \(#,##0.00\);_("$"* "-"??_);_(@_)</c:formatCode>
                <c:ptCount val="2"/>
              </c:numCache>
            </c:numRef>
          </c:val>
          <c:extLst>
            <c:ext xmlns:c16="http://schemas.microsoft.com/office/drawing/2014/chart" uri="{C3380CC4-5D6E-409C-BE32-E72D297353CC}">
              <c16:uniqueId val="{00000003-8F09-4F3E-8E88-9B9B44EDCDF1}"/>
            </c:ext>
          </c:extLst>
        </c:ser>
        <c:ser>
          <c:idx val="4"/>
          <c:order val="4"/>
          <c:tx>
            <c:strRef>
              <c:f>'Tornado Charts &amp; Risk Analysis'!$K$159</c:f>
              <c:strCache>
                <c:ptCount val="1"/>
                <c:pt idx="0">
                  <c:v>Feedstock Cost</c:v>
                </c:pt>
              </c:strCache>
            </c:strRef>
          </c:tx>
          <c:spPr>
            <a:solidFill>
              <a:srgbClr val="0000F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Analysis'!$L$159:$M$159</c:f>
              <c:numCache>
                <c:formatCode>_("$"* #,##0.00_);_("$"* \(#,##0.00\);_("$"* "-"??_);_(@_)</c:formatCode>
                <c:ptCount val="2"/>
                <c:pt idx="1">
                  <c:v>0.82524955783637077</c:v>
                </c:pt>
              </c:numCache>
            </c:numRef>
          </c:val>
          <c:extLst>
            <c:ext xmlns:c16="http://schemas.microsoft.com/office/drawing/2014/chart" uri="{C3380CC4-5D6E-409C-BE32-E72D297353CC}">
              <c16:uniqueId val="{00000004-8F09-4F3E-8E88-9B9B44EDCDF1}"/>
            </c:ext>
          </c:extLst>
        </c:ser>
        <c:ser>
          <c:idx val="5"/>
          <c:order val="5"/>
          <c:tx>
            <c:strRef>
              <c:f>'Tornado Charts &amp; Risk Analysis'!$K$160</c:f>
              <c:strCache>
                <c:ptCount val="1"/>
                <c:pt idx="0">
                  <c:v>Other Variable Operating Costs</c:v>
                </c:pt>
              </c:strCache>
            </c:strRef>
          </c:tx>
          <c:spPr>
            <a:solidFill>
              <a:srgbClr val="D6000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Analysis'!$L$160:$M$160</c:f>
              <c:numCache>
                <c:formatCode>_("$"* #,##0.00_);_("$"* \(#,##0.00\);_("$"* "-"??_);_(@_)</c:formatCode>
                <c:ptCount val="2"/>
                <c:pt idx="1">
                  <c:v>0.20561571448089225</c:v>
                </c:pt>
              </c:numCache>
            </c:numRef>
          </c:val>
          <c:extLst>
            <c:ext xmlns:c16="http://schemas.microsoft.com/office/drawing/2014/chart" uri="{C3380CC4-5D6E-409C-BE32-E72D297353CC}">
              <c16:uniqueId val="{00000005-8F09-4F3E-8E88-9B9B44EDCDF1}"/>
            </c:ext>
          </c:extLst>
        </c:ser>
        <c:ser>
          <c:idx val="6"/>
          <c:order val="6"/>
          <c:tx>
            <c:strRef>
              <c:f>'Tornado Charts &amp; Risk Analysis'!$K$161</c:f>
              <c:strCache>
                <c:ptCount val="1"/>
                <c:pt idx="0">
                  <c:v>Initial Equity Depreciable Capital</c:v>
                </c:pt>
              </c:strCache>
            </c:strRef>
          </c:tx>
          <c:spPr>
            <a:solidFill>
              <a:srgbClr val="00AC0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Analysis'!$L$161:$M$161</c:f>
              <c:numCache>
                <c:formatCode>_("$"* #,##0.00_);_("$"* \(#,##0.00\);_("$"* "-"??_);_(@_)</c:formatCode>
                <c:ptCount val="2"/>
                <c:pt idx="1">
                  <c:v>0.1435766003247316</c:v>
                </c:pt>
              </c:numCache>
            </c:numRef>
          </c:val>
          <c:extLst>
            <c:ext xmlns:c16="http://schemas.microsoft.com/office/drawing/2014/chart" uri="{C3380CC4-5D6E-409C-BE32-E72D297353CC}">
              <c16:uniqueId val="{00000006-8F09-4F3E-8E88-9B9B44EDCDF1}"/>
            </c:ext>
          </c:extLst>
        </c:ser>
        <c:ser>
          <c:idx val="7"/>
          <c:order val="7"/>
          <c:tx>
            <c:strRef>
              <c:f>'Tornado Charts &amp; Risk Analysis'!$K$162</c:f>
              <c:strCache>
                <c:ptCount val="1"/>
                <c:pt idx="0">
                  <c:v>Yearly Replacement Costs</c:v>
                </c:pt>
              </c:strCache>
            </c:strRef>
          </c:tx>
          <c:spPr>
            <a:solidFill>
              <a:srgbClr val="000096"/>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Analysis'!$L$162:$M$162</c:f>
              <c:numCache>
                <c:formatCode>_("$"* #,##0.00_);_("$"* \(#,##0.00\);_("$"* "-"??_);_(@_)</c:formatCode>
                <c:ptCount val="2"/>
                <c:pt idx="1">
                  <c:v>0.12137220296106475</c:v>
                </c:pt>
              </c:numCache>
            </c:numRef>
          </c:val>
          <c:extLst>
            <c:ext xmlns:c16="http://schemas.microsoft.com/office/drawing/2014/chart" uri="{C3380CC4-5D6E-409C-BE32-E72D297353CC}">
              <c16:uniqueId val="{00000007-8F09-4F3E-8E88-9B9B44EDCDF1}"/>
            </c:ext>
          </c:extLst>
        </c:ser>
        <c:ser>
          <c:idx val="8"/>
          <c:order val="8"/>
          <c:tx>
            <c:strRef>
              <c:f>'Tornado Charts &amp; Risk Analysis'!$K$163</c:f>
              <c:strCache>
                <c:ptCount val="1"/>
                <c:pt idx="0">
                  <c:v>Fixed Operating Cost</c:v>
                </c:pt>
              </c:strCache>
            </c:strRef>
          </c:tx>
          <c:spPr>
            <a:solidFill>
              <a:srgbClr val="E6009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Analysis'!$L$163:$M$163</c:f>
              <c:numCache>
                <c:formatCode>_("$"* #,##0.00_);_("$"* \(#,##0.00\);_("$"* "-"??_);_(@_)</c:formatCode>
                <c:ptCount val="2"/>
                <c:pt idx="1">
                  <c:v>0.11952400105681882</c:v>
                </c:pt>
              </c:numCache>
            </c:numRef>
          </c:val>
          <c:extLst>
            <c:ext xmlns:c16="http://schemas.microsoft.com/office/drawing/2014/chart" uri="{C3380CC4-5D6E-409C-BE32-E72D297353CC}">
              <c16:uniqueId val="{00000008-8F09-4F3E-8E88-9B9B44EDCDF1}"/>
            </c:ext>
          </c:extLst>
        </c:ser>
        <c:ser>
          <c:idx val="9"/>
          <c:order val="9"/>
          <c:tx>
            <c:strRef>
              <c:f>'Tornado Charts &amp; Risk Analysis'!$K$164</c:f>
              <c:strCache>
                <c:ptCount val="1"/>
                <c:pt idx="0">
                  <c:v>Debt Interest</c:v>
                </c:pt>
              </c:strCache>
            </c:strRef>
          </c:tx>
          <c:spPr>
            <a:solidFill>
              <a:srgbClr val="B7AB11"/>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Analysis'!$L$164:$M$164</c:f>
              <c:numCache>
                <c:formatCode>_("$"* #,##0.00_);_("$"* \(#,##0.00\);_("$"* "-"??_);_(@_)</c:formatCode>
                <c:ptCount val="2"/>
                <c:pt idx="1">
                  <c:v>9.432006620325277E-2</c:v>
                </c:pt>
              </c:numCache>
            </c:numRef>
          </c:val>
          <c:extLst>
            <c:ext xmlns:c16="http://schemas.microsoft.com/office/drawing/2014/chart" uri="{C3380CC4-5D6E-409C-BE32-E72D297353CC}">
              <c16:uniqueId val="{00000009-8F09-4F3E-8E88-9B9B44EDCDF1}"/>
            </c:ext>
          </c:extLst>
        </c:ser>
        <c:ser>
          <c:idx val="10"/>
          <c:order val="10"/>
          <c:tx>
            <c:strRef>
              <c:f>'Tornado Charts &amp; Risk Analysis'!$K$165</c:f>
              <c:strCache>
                <c:ptCount val="1"/>
                <c:pt idx="0">
                  <c:v>Taxes</c:v>
                </c:pt>
              </c:strCache>
            </c:strRef>
          </c:tx>
          <c:spPr>
            <a:solidFill>
              <a:srgbClr val="A800D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Analysis'!$L$165:$M$165</c:f>
              <c:numCache>
                <c:formatCode>_("$"* #,##0.00_);_("$"* \(#,##0.00\);_("$"* "-"??_);_(@_)</c:formatCode>
                <c:ptCount val="2"/>
                <c:pt idx="1">
                  <c:v>2.7743522830533017E-2</c:v>
                </c:pt>
              </c:numCache>
            </c:numRef>
          </c:val>
          <c:extLst>
            <c:ext xmlns:c16="http://schemas.microsoft.com/office/drawing/2014/chart" uri="{C3380CC4-5D6E-409C-BE32-E72D297353CC}">
              <c16:uniqueId val="{0000000A-8F09-4F3E-8E88-9B9B44EDCDF1}"/>
            </c:ext>
          </c:extLst>
        </c:ser>
        <c:ser>
          <c:idx val="11"/>
          <c:order val="11"/>
          <c:tx>
            <c:strRef>
              <c:f>'Tornado Charts &amp; Risk Analysis'!$K$166</c:f>
              <c:strCache>
                <c:ptCount val="1"/>
                <c:pt idx="0">
                  <c:v>Cash for Working Capital Reserve</c:v>
                </c:pt>
              </c:strCache>
            </c:strRef>
          </c:tx>
          <c:spPr>
            <a:solidFill>
              <a:srgbClr val="8484F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Analysis'!$L$166:$M$166</c:f>
              <c:numCache>
                <c:formatCode>_("$"* #,##0.00_);_("$"* \(#,##0.00\);_("$"* "-"??_);_(@_)</c:formatCode>
                <c:ptCount val="2"/>
                <c:pt idx="1">
                  <c:v>1.5685799462749842E-2</c:v>
                </c:pt>
              </c:numCache>
            </c:numRef>
          </c:val>
          <c:extLst>
            <c:ext xmlns:c16="http://schemas.microsoft.com/office/drawing/2014/chart" uri="{C3380CC4-5D6E-409C-BE32-E72D297353CC}">
              <c16:uniqueId val="{0000000B-8F09-4F3E-8E88-9B9B44EDCDF1}"/>
            </c:ext>
          </c:extLst>
        </c:ser>
        <c:ser>
          <c:idx val="12"/>
          <c:order val="12"/>
          <c:tx>
            <c:strRef>
              <c:f>'Tornado Charts &amp; Risk Analysis'!$K$167</c:f>
              <c:strCache>
                <c:ptCount val="1"/>
                <c:pt idx="0">
                  <c:v>Principal Payment</c:v>
                </c:pt>
              </c:strCache>
            </c:strRef>
          </c:tx>
          <c:spPr>
            <a:solidFill>
              <a:srgbClr val="82413A"/>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Analysis'!$L$167:$M$167</c:f>
              <c:numCache>
                <c:formatCode>_("$"* #,##0.00_);_("$"* \(#,##0.00\);_("$"* "-"??_);_(@_)</c:formatCode>
                <c:ptCount val="2"/>
                <c:pt idx="1">
                  <c:v>4.2370725688043549E-3</c:v>
                </c:pt>
              </c:numCache>
            </c:numRef>
          </c:val>
          <c:extLst>
            <c:ext xmlns:c16="http://schemas.microsoft.com/office/drawing/2014/chart" uri="{C3380CC4-5D6E-409C-BE32-E72D297353CC}">
              <c16:uniqueId val="{0000000C-8F09-4F3E-8E88-9B9B44EDCDF1}"/>
            </c:ext>
          </c:extLst>
        </c:ser>
        <c:ser>
          <c:idx val="13"/>
          <c:order val="13"/>
          <c:tx>
            <c:strRef>
              <c:f>'Tornado Charts &amp; Risk Analysis'!$K$168</c:f>
              <c:strCache>
                <c:ptCount val="1"/>
                <c:pt idx="0">
                  <c:v>Decommissioning Costs</c:v>
                </c:pt>
              </c:strCache>
            </c:strRef>
          </c:tx>
          <c:spPr>
            <a:solidFill>
              <a:srgbClr val="00C898"/>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Analysis'!$L$168:$M$168</c:f>
              <c:numCache>
                <c:formatCode>_("$"* #,##0.00_);_("$"* \(#,##0.00\);_("$"* "-"??_);_(@_)</c:formatCode>
                <c:ptCount val="2"/>
                <c:pt idx="1">
                  <c:v>1.5567912435341155E-3</c:v>
                </c:pt>
              </c:numCache>
            </c:numRef>
          </c:val>
          <c:extLst>
            <c:ext xmlns:c16="http://schemas.microsoft.com/office/drawing/2014/chart" uri="{C3380CC4-5D6E-409C-BE32-E72D297353CC}">
              <c16:uniqueId val="{0000000D-8F09-4F3E-8E88-9B9B44EDCDF1}"/>
            </c:ext>
          </c:extLst>
        </c:ser>
        <c:ser>
          <c:idx val="14"/>
          <c:order val="14"/>
          <c:tx>
            <c:strRef>
              <c:f>'Tornado Charts &amp; Risk Analysis'!$K$169</c:f>
              <c:strCache>
                <c:ptCount val="1"/>
                <c:pt idx="0">
                  <c:v>Other Non-Depreciable Capital Costs</c:v>
                </c:pt>
              </c:strCache>
            </c:strRef>
          </c:tx>
          <c:spPr>
            <a:solidFill>
              <a:srgbClr val="006876"/>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Analysis'!$L$169:$M$169</c:f>
              <c:numCache>
                <c:formatCode>_("$"* #,##0.00_);_("$"* \(#,##0.00\);_("$"* "-"??_);_(@_)</c:formatCode>
                <c:ptCount val="2"/>
                <c:pt idx="1">
                  <c:v>8.987958215351488E-4</c:v>
                </c:pt>
              </c:numCache>
            </c:numRef>
          </c:val>
          <c:extLst>
            <c:ext xmlns:c16="http://schemas.microsoft.com/office/drawing/2014/chart" uri="{C3380CC4-5D6E-409C-BE32-E72D297353CC}">
              <c16:uniqueId val="{0000000E-8F09-4F3E-8E88-9B9B44EDCDF1}"/>
            </c:ext>
          </c:extLst>
        </c:ser>
        <c:ser>
          <c:idx val="15"/>
          <c:order val="15"/>
          <c:tx>
            <c:strRef>
              <c:f>'Tornado Charts &amp; Risk Analysis'!$K$170</c:f>
              <c:strCache>
                <c:ptCount val="1"/>
                <c:pt idx="0">
                  <c:v>Other Raw Material Cost</c:v>
                </c:pt>
              </c:strCache>
            </c:strRef>
          </c:tx>
          <c:spPr>
            <a:solidFill>
              <a:srgbClr val="A2BF37"/>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Analysis'!$L$170:$M$170</c:f>
              <c:numCache>
                <c:formatCode>_("$"* #,##0.00_);_("$"* \(#,##0.00\);_("$"* "-"??_);_(@_)</c:formatCode>
                <c:ptCount val="2"/>
                <c:pt idx="1">
                  <c:v>0</c:v>
                </c:pt>
              </c:numCache>
            </c:numRef>
          </c:val>
          <c:extLst>
            <c:ext xmlns:c16="http://schemas.microsoft.com/office/drawing/2014/chart" uri="{C3380CC4-5D6E-409C-BE32-E72D297353CC}">
              <c16:uniqueId val="{0000000F-8F09-4F3E-8E88-9B9B44EDCDF1}"/>
            </c:ext>
          </c:extLst>
        </c:ser>
        <c:dLbls>
          <c:showLegendKey val="0"/>
          <c:showVal val="0"/>
          <c:showCatName val="0"/>
          <c:showSerName val="0"/>
          <c:showPercent val="0"/>
          <c:showBubbleSize val="0"/>
        </c:dLbls>
        <c:gapWidth val="20"/>
        <c:overlap val="100"/>
        <c:axId val="267054464"/>
        <c:axId val="267056256"/>
      </c:barChart>
      <c:scatterChart>
        <c:scatterStyle val="lineMarker"/>
        <c:varyColors val="0"/>
        <c:ser>
          <c:idx val="16"/>
          <c:order val="16"/>
          <c:tx>
            <c:v>Totals</c:v>
          </c:tx>
          <c:spPr>
            <a:ln w="2540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'Tornado Charts &amp; Risk Analysis'!$L$171:$M$171</c:f>
              <c:numCache>
                <c:formatCode>_("$"* #,##0.00_);_("$"* \(#,##0.00\);_("$"* "-"??_);_(@_)</c:formatCode>
                <c:ptCount val="2"/>
                <c:pt idx="0">
                  <c:v>1.5597801247902889</c:v>
                </c:pt>
                <c:pt idx="1">
                  <c:v>1.5597801247902876</c:v>
                </c:pt>
              </c:numCache>
            </c:numRef>
          </c:xVal>
          <c:yVal>
            <c:numLit>
              <c:formatCode>General</c:formatCode>
              <c:ptCount val="2"/>
              <c:pt idx="0">
                <c:v>1</c:v>
              </c:pt>
              <c:pt idx="1">
                <c:v>2</c:v>
              </c:pt>
            </c:numLit>
          </c:yVal>
          <c:smooth val="0"/>
          <c:extLst>
            <c:ext xmlns:c16="http://schemas.microsoft.com/office/drawing/2014/chart" uri="{C3380CC4-5D6E-409C-BE32-E72D297353CC}">
              <c16:uniqueId val="{00000010-8F09-4F3E-8E88-9B9B44EDCDF1}"/>
            </c:ext>
          </c:extLst>
        </c:ser>
        <c:dLbls>
          <c:showLegendKey val="0"/>
          <c:showVal val="0"/>
          <c:showCatName val="0"/>
          <c:showSerName val="0"/>
          <c:showPercent val="0"/>
          <c:showBubbleSize val="0"/>
        </c:dLbls>
        <c:axId val="267365376"/>
        <c:axId val="267363840"/>
      </c:scatterChart>
      <c:catAx>
        <c:axId val="26705446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67056256"/>
        <c:crosses val="autoZero"/>
        <c:auto val="1"/>
        <c:lblAlgn val="ctr"/>
        <c:lblOffset val="100"/>
        <c:noMultiLvlLbl val="0"/>
      </c:catAx>
      <c:valAx>
        <c:axId val="267056256"/>
        <c:scaling>
          <c:orientation val="minMax"/>
        </c:scaling>
        <c:delete val="0"/>
        <c:axPos val="b"/>
        <c:majorGridlines>
          <c:spPr>
            <a:ln w="0" cap="flat" cmpd="sng" algn="ctr">
              <a:solidFill>
                <a:schemeClr val="bg1">
                  <a:lumMod val="95000"/>
                </a:schemeClr>
              </a:solidFill>
              <a:round/>
            </a:ln>
            <a:effectLst/>
          </c:spPr>
        </c:majorGridlines>
        <c:numFmt formatCode="_(&quot;$&quot;* #,##0.00_);;" sourceLinked="0"/>
        <c:majorTickMark val="out"/>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67054464"/>
        <c:crosses val="max"/>
        <c:crossBetween val="between"/>
      </c:valAx>
      <c:valAx>
        <c:axId val="267363840"/>
        <c:scaling>
          <c:orientation val="maxMin"/>
          <c:max val="2.5"/>
          <c:min val="0.5"/>
        </c:scaling>
        <c:delete val="1"/>
        <c:axPos val="r"/>
        <c:numFmt formatCode="General" sourceLinked="1"/>
        <c:majorTickMark val="out"/>
        <c:minorTickMark val="none"/>
        <c:tickLblPos val="nextTo"/>
        <c:crossAx val="267365376"/>
        <c:crosses val="max"/>
        <c:crossBetween val="midCat"/>
      </c:valAx>
      <c:valAx>
        <c:axId val="267365376"/>
        <c:scaling>
          <c:orientation val="minMax"/>
        </c:scaling>
        <c:delete val="1"/>
        <c:axPos val="t"/>
        <c:numFmt formatCode="_(&quot;$&quot;* #,##0.00_);_(&quot;$&quot;* \(#,##0.00\);_(&quot;$&quot;* &quot;-&quot;??_);_(@_)" sourceLinked="1"/>
        <c:majorTickMark val="out"/>
        <c:minorTickMark val="none"/>
        <c:tickLblPos val="nextTo"/>
        <c:crossAx val="267363840"/>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615551426533869"/>
          <c:y val="4.9523465153666311E-2"/>
          <c:w val="0.60875437728064841"/>
          <c:h val="0.84603484367494597"/>
        </c:manualLayout>
      </c:layout>
      <c:barChart>
        <c:barDir val="bar"/>
        <c:grouping val="stacked"/>
        <c:varyColors val="0"/>
        <c:ser>
          <c:idx val="0"/>
          <c:order val="0"/>
          <c:tx>
            <c:strRef>
              <c:f>'Tornado Charts &amp; Risk Analysis'!$H$100</c:f>
              <c:strCache>
                <c:ptCount val="1"/>
                <c:pt idx="0">
                  <c:v>dL0</c:v>
                </c:pt>
              </c:strCache>
            </c:strRef>
          </c:tx>
          <c:spPr>
            <a:noFill/>
            <a:ln w="9525" cap="flat" cmpd="sng" algn="ctr">
              <a:noFill/>
              <a:round/>
            </a:ln>
            <a:effectLst/>
          </c:spPr>
          <c:invertIfNegative val="0"/>
          <c:cat>
            <c:strRef>
              <c:f>'Tornado Charts &amp; Risk Analysis'!$D$101:$D$107</c:f>
              <c:strCache>
                <c:ptCount val="7"/>
                <c:pt idx="0">
                  <c:v>Feedstock Consumption (% of baseline)
(95%, 100%, 105%)</c:v>
                </c:pt>
                <c:pt idx="1">
                  <c:v>Operating Capacity Factor
(95%, 90%, 86%)</c:v>
                </c:pt>
                <c:pt idx="2">
                  <c:v>Total Capital Investment
($460,000K, $484,210K, $508,421K) </c:v>
                </c:pt>
                <c:pt idx="3">
                  <c:v>Plant Design Capacity (kg of H2/day)
(398,356, 379,387, 360,418) </c:v>
                </c:pt>
                <c:pt idx="4">
                  <c:v>After-tax Real IRR
(8%, 8%, 8%)</c:v>
                </c:pt>
                <c:pt idx="5">
                  <c:v>Total Fixed Operating Cost
($13,871K, $14,601K, $15,331K) </c:v>
                </c:pt>
                <c:pt idx="6">
                  <c:v>Utilities Consumption (% of baseline)
(95%, 100%, 105%)</c:v>
                </c:pt>
              </c:strCache>
            </c:strRef>
          </c:cat>
          <c:val>
            <c:numRef>
              <c:f>'Tornado Charts &amp; Risk Analysis'!$H$101:$H$107</c:f>
              <c:numCache>
                <c:formatCode>General</c:formatCode>
                <c:ptCount val="7"/>
                <c:pt idx="0">
                  <c:v>1.5080814671972416</c:v>
                </c:pt>
                <c:pt idx="1">
                  <c:v>1.5348626802275835</c:v>
                </c:pt>
                <c:pt idx="2">
                  <c:v>1.5419997659953315</c:v>
                </c:pt>
                <c:pt idx="3">
                  <c:v>1.5440945172151936</c:v>
                </c:pt>
                <c:pt idx="4">
                  <c:v>1.551049937139557</c:v>
                </c:pt>
                <c:pt idx="5">
                  <c:v>1.5521337610311308</c:v>
                </c:pt>
                <c:pt idx="6">
                  <c:v>1.5559242505286783</c:v>
                </c:pt>
              </c:numCache>
            </c:numRef>
          </c:val>
          <c:extLst>
            <c:ext xmlns:c16="http://schemas.microsoft.com/office/drawing/2014/chart" uri="{C3380CC4-5D6E-409C-BE32-E72D297353CC}">
              <c16:uniqueId val="{00000000-FD9E-48E0-BDF2-1E9EFCB1BA06}"/>
            </c:ext>
          </c:extLst>
        </c:ser>
        <c:ser>
          <c:idx val="1"/>
          <c:order val="1"/>
          <c:tx>
            <c:strRef>
              <c:f>'Tornado Charts &amp; Risk Analysis'!$I$100</c:f>
              <c:strCache>
                <c:ptCount val="1"/>
                <c:pt idx="0">
                  <c:v>dL1</c:v>
                </c:pt>
              </c:strCache>
            </c:strRef>
          </c:tx>
          <c:spPr>
            <a:gradFill rotWithShape="1">
              <a:gsLst>
                <a:gs pos="0">
                  <a:srgbClr val="DAFDA7"/>
                </a:gs>
                <a:gs pos="35000">
                  <a:srgbClr val="E4FDC2"/>
                </a:gs>
                <a:gs pos="100000">
                  <a:srgbClr val="F5FFE6"/>
                </a:gs>
              </a:gsLst>
              <a:lin ang="16200000" scaled="1"/>
            </a:gradFill>
            <a:ln w="9525" cap="flat" cmpd="sng" algn="ctr">
              <a:solidFill>
                <a:srgbClr val="97B757"/>
              </a:solidFill>
              <a:round/>
            </a:ln>
            <a:effectLst>
              <a:outerShdw blurRad="40000" dist="20000" dir="5400000" rotWithShape="0">
                <a:srgbClr val="000000">
                  <a:alpha val="38000"/>
                </a:srgbClr>
              </a:outerShdw>
            </a:effectLst>
          </c:spPr>
          <c:invertIfNegative val="0"/>
          <c:cat>
            <c:strRef>
              <c:f>'Tornado Charts &amp; Risk Analysis'!$D$101:$D$107</c:f>
              <c:strCache>
                <c:ptCount val="7"/>
                <c:pt idx="0">
                  <c:v>Feedstock Consumption (% of baseline)
(95%, 100%, 105%)</c:v>
                </c:pt>
                <c:pt idx="1">
                  <c:v>Operating Capacity Factor
(95%, 90%, 86%)</c:v>
                </c:pt>
                <c:pt idx="2">
                  <c:v>Total Capital Investment
($460,000K, $484,210K, $508,421K) </c:v>
                </c:pt>
                <c:pt idx="3">
                  <c:v>Plant Design Capacity (kg of H2/day)
(398,356, 379,387, 360,418) </c:v>
                </c:pt>
                <c:pt idx="4">
                  <c:v>After-tax Real IRR
(8%, 8%, 8%)</c:v>
                </c:pt>
                <c:pt idx="5">
                  <c:v>Total Fixed Operating Cost
($13,871K, $14,601K, $15,331K) </c:v>
                </c:pt>
                <c:pt idx="6">
                  <c:v>Utilities Consumption (% of baseline)
(95%, 100%, 105%)</c:v>
                </c:pt>
              </c:strCache>
            </c:strRef>
          </c:cat>
          <c:val>
            <c:numRef>
              <c:f>'Tornado Charts &amp; Risk Analysis'!$I$101:$I$107</c:f>
              <c:numCache>
                <c:formatCode>General</c:formatCode>
                <c:ptCount val="7"/>
                <c:pt idx="0">
                  <c:v>5.0138319332151182E-2</c:v>
                </c:pt>
                <c:pt idx="1">
                  <c:v>2.3357106301809205E-2</c:v>
                </c:pt>
                <c:pt idx="2">
                  <c:v>1.6220020534061241E-2</c:v>
                </c:pt>
                <c:pt idx="3">
                  <c:v>1.4125269314199107E-2</c:v>
                </c:pt>
                <c:pt idx="4">
                  <c:v>7.1698493898357807E-3</c:v>
                </c:pt>
                <c:pt idx="5">
                  <c:v>6.0860254982619821E-3</c:v>
                </c:pt>
                <c:pt idx="6">
                  <c:v>2.2955360007144154E-3</c:v>
                </c:pt>
              </c:numCache>
            </c:numRef>
          </c:val>
          <c:extLst>
            <c:ext xmlns:c16="http://schemas.microsoft.com/office/drawing/2014/chart" uri="{C3380CC4-5D6E-409C-BE32-E72D297353CC}">
              <c16:uniqueId val="{00000001-FD9E-48E0-BDF2-1E9EFCB1BA06}"/>
            </c:ext>
          </c:extLst>
        </c:ser>
        <c:ser>
          <c:idx val="2"/>
          <c:order val="2"/>
          <c:tx>
            <c:strRef>
              <c:f>'Tornado Charts &amp; Risk Analysis'!$J$100</c:f>
              <c:strCache>
                <c:ptCount val="1"/>
                <c:pt idx="0">
                  <c:v>dL2</c:v>
                </c:pt>
              </c:strCache>
            </c:strRef>
          </c:tx>
          <c:spPr>
            <a:gradFill rotWithShape="1">
              <a:gsLst>
                <a:gs pos="0">
                  <a:srgbClr val="FFA2A1"/>
                </a:gs>
                <a:gs pos="35000">
                  <a:srgbClr val="FFBEBD"/>
                </a:gs>
                <a:gs pos="100000">
                  <a:srgbClr val="FFE5E5"/>
                </a:gs>
              </a:gsLst>
              <a:lin ang="16200000" scaled="1"/>
            </a:gradFill>
            <a:ln w="9525" cap="flat" cmpd="sng" algn="ctr">
              <a:solidFill>
                <a:srgbClr val="B54E4B"/>
              </a:solidFill>
              <a:round/>
            </a:ln>
            <a:effectLst>
              <a:outerShdw blurRad="40000" dist="20000" dir="5400000" rotWithShape="0">
                <a:srgbClr val="000000">
                  <a:alpha val="38000"/>
                </a:srgbClr>
              </a:outerShdw>
            </a:effectLst>
          </c:spPr>
          <c:invertIfNegative val="0"/>
          <c:cat>
            <c:strRef>
              <c:f>'Tornado Charts &amp; Risk Analysis'!$D$101:$D$107</c:f>
              <c:strCache>
                <c:ptCount val="7"/>
                <c:pt idx="0">
                  <c:v>Feedstock Consumption (% of baseline)
(95%, 100%, 105%)</c:v>
                </c:pt>
                <c:pt idx="1">
                  <c:v>Operating Capacity Factor
(95%, 90%, 86%)</c:v>
                </c:pt>
                <c:pt idx="2">
                  <c:v>Total Capital Investment
($460,000K, $484,210K, $508,421K) </c:v>
                </c:pt>
                <c:pt idx="3">
                  <c:v>Plant Design Capacity (kg of H2/day)
(398,356, 379,387, 360,418) </c:v>
                </c:pt>
                <c:pt idx="4">
                  <c:v>After-tax Real IRR
(8%, 8%, 8%)</c:v>
                </c:pt>
                <c:pt idx="5">
                  <c:v>Total Fixed Operating Cost
($13,871K, $14,601K, $15,331K) </c:v>
                </c:pt>
                <c:pt idx="6">
                  <c:v>Utilities Consumption (% of baseline)
(95%, 100%, 105%)</c:v>
                </c:pt>
              </c:strCache>
            </c:strRef>
          </c:cat>
          <c:val>
            <c:numRef>
              <c:f>'Tornado Charts &amp; Risk Analysis'!$J$101:$J$107</c:f>
              <c:numCache>
                <c:formatCode>General</c:formatCode>
                <c:ptCount val="7"/>
                <c:pt idx="0">
                  <c:v>4.9912940667755201E-2</c:v>
                </c:pt>
                <c:pt idx="1">
                  <c:v>2.5578505700281307E-2</c:v>
                </c:pt>
                <c:pt idx="2">
                  <c:v>1.6220020534061241E-2</c:v>
                </c:pt>
                <c:pt idx="3">
                  <c:v>1.5221767083207549E-2</c:v>
                </c:pt>
                <c:pt idx="4">
                  <c:v>7.489216853342251E-3</c:v>
                </c:pt>
                <c:pt idx="5">
                  <c:v>6.0860254982619821E-3</c:v>
                </c:pt>
                <c:pt idx="6">
                  <c:v>2.2955360007135273E-3</c:v>
                </c:pt>
              </c:numCache>
            </c:numRef>
          </c:val>
          <c:extLst>
            <c:ext xmlns:c16="http://schemas.microsoft.com/office/drawing/2014/chart" uri="{C3380CC4-5D6E-409C-BE32-E72D297353CC}">
              <c16:uniqueId val="{00000002-FD9E-48E0-BDF2-1E9EFCB1BA06}"/>
            </c:ext>
          </c:extLst>
        </c:ser>
        <c:dLbls>
          <c:showLegendKey val="0"/>
          <c:showVal val="0"/>
          <c:showCatName val="0"/>
          <c:showSerName val="0"/>
          <c:showPercent val="0"/>
          <c:showBubbleSize val="0"/>
        </c:dLbls>
        <c:gapWidth val="50"/>
        <c:overlap val="100"/>
        <c:axId val="276383616"/>
        <c:axId val="278454272"/>
      </c:barChart>
      <c:scatterChart>
        <c:scatterStyle val="lineMarker"/>
        <c:varyColors val="0"/>
        <c:ser>
          <c:idx val="3"/>
          <c:order val="3"/>
          <c:spPr>
            <a:ln w="25400" cap="flat" cmpd="sng" algn="ctr">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l"/>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Analysis'!$E$101:$E$107</c:f>
              <c:numCache>
                <c:formatCode>0.000</c:formatCode>
                <c:ptCount val="7"/>
                <c:pt idx="0">
                  <c:v>1.5080814671972416</c:v>
                </c:pt>
                <c:pt idx="1">
                  <c:v>1.5348626802275835</c:v>
                </c:pt>
                <c:pt idx="2">
                  <c:v>1.5419997659953315</c:v>
                </c:pt>
                <c:pt idx="3">
                  <c:v>1.5440945172151936</c:v>
                </c:pt>
                <c:pt idx="4">
                  <c:v>1.551049937139557</c:v>
                </c:pt>
                <c:pt idx="5">
                  <c:v>1.5521337610311308</c:v>
                </c:pt>
                <c:pt idx="6">
                  <c:v>1.5559242505286783</c:v>
                </c:pt>
              </c:numCache>
            </c:numRef>
          </c:xVal>
          <c:yVal>
            <c:numRef>
              <c:f>'Tornado Charts &amp; Risk Analysis'!$C$101:$C$107</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3-FD9E-48E0-BDF2-1E9EFCB1BA06}"/>
            </c:ext>
          </c:extLst>
        </c:ser>
        <c:ser>
          <c:idx val="4"/>
          <c:order val="4"/>
          <c:spPr>
            <a:ln w="25400" cap="rnd">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Analysis'!$G$101:$G$107</c:f>
              <c:numCache>
                <c:formatCode>0.000</c:formatCode>
                <c:ptCount val="7"/>
                <c:pt idx="0">
                  <c:v>1.6081327271971479</c:v>
                </c:pt>
                <c:pt idx="1">
                  <c:v>1.5837982922296741</c:v>
                </c:pt>
                <c:pt idx="2">
                  <c:v>1.574439807063454</c:v>
                </c:pt>
                <c:pt idx="3">
                  <c:v>1.5734415536126003</c:v>
                </c:pt>
                <c:pt idx="4">
                  <c:v>1.565709003382735</c:v>
                </c:pt>
                <c:pt idx="5">
                  <c:v>1.5643058120276547</c:v>
                </c:pt>
                <c:pt idx="6">
                  <c:v>1.5605153225301063</c:v>
                </c:pt>
              </c:numCache>
            </c:numRef>
          </c:xVal>
          <c:yVal>
            <c:numRef>
              <c:f>'Tornado Charts &amp; Risk Analysis'!$C$101:$C$107</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4-FD9E-48E0-BDF2-1E9EFCB1BA06}"/>
            </c:ext>
          </c:extLst>
        </c:ser>
        <c:ser>
          <c:idx val="5"/>
          <c:order val="5"/>
          <c:spPr>
            <a:ln w="25400" cap="rnd">
              <a:noFill/>
              <a:round/>
            </a:ln>
            <a:effectLst>
              <a:outerShdw blurRad="40000" dist="20000" dir="5400000" rotWithShape="0">
                <a:srgbClr val="000000">
                  <a:alpha val="38000"/>
                </a:srgbClr>
              </a:outerShdw>
            </a:effectLst>
          </c:spPr>
          <c:marker>
            <c:symbol val="none"/>
          </c:marker>
          <c:dLbls>
            <c:numFmt formatCode="#,##0.00" sourceLinked="0"/>
            <c:spPr>
              <a:solidFill>
                <a:schemeClr val="bg1"/>
              </a:solidFill>
              <a:ln>
                <a:solidFill>
                  <a:schemeClr val="bg1">
                    <a:lumMod val="65000"/>
                  </a:schemeClr>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Analysis'!$F$101</c:f>
              <c:numCache>
                <c:formatCode>0.000</c:formatCode>
                <c:ptCount val="1"/>
                <c:pt idx="0">
                  <c:v>1.5582197865293927</c:v>
                </c:pt>
              </c:numCache>
            </c:numRef>
          </c:xVal>
          <c:yVal>
            <c:numRef>
              <c:f>'Tornado Charts &amp; Risk Analysis'!$C$101</c:f>
              <c:numCache>
                <c:formatCode>General</c:formatCode>
                <c:ptCount val="1"/>
                <c:pt idx="0">
                  <c:v>1</c:v>
                </c:pt>
              </c:numCache>
            </c:numRef>
          </c:yVal>
          <c:smooth val="0"/>
          <c:extLst>
            <c:ext xmlns:c16="http://schemas.microsoft.com/office/drawing/2014/chart" uri="{C3380CC4-5D6E-409C-BE32-E72D297353CC}">
              <c16:uniqueId val="{00000005-FD9E-48E0-BDF2-1E9EFCB1BA06}"/>
            </c:ext>
          </c:extLst>
        </c:ser>
        <c:dLbls>
          <c:showLegendKey val="0"/>
          <c:showVal val="0"/>
          <c:showCatName val="0"/>
          <c:showSerName val="0"/>
          <c:showPercent val="0"/>
          <c:showBubbleSize val="0"/>
        </c:dLbls>
        <c:axId val="280497536"/>
        <c:axId val="278457728"/>
      </c:scatterChart>
      <c:catAx>
        <c:axId val="276383616"/>
        <c:scaling>
          <c:orientation val="maxMin"/>
        </c:scaling>
        <c:delete val="1"/>
        <c:axPos val="l"/>
        <c:majorGridlines>
          <c:spPr>
            <a:ln w="9525" cap="flat" cmpd="sng" algn="ctr">
              <a:solidFill>
                <a:schemeClr val="bg1">
                  <a:lumMod val="95000"/>
                </a:schemeClr>
              </a:solidFill>
              <a:round/>
            </a:ln>
            <a:effectLst/>
          </c:spPr>
        </c:majorGridlines>
        <c:numFmt formatCode="General" sourceLinked="1"/>
        <c:majorTickMark val="none"/>
        <c:minorTickMark val="none"/>
        <c:tickLblPos val="nextTo"/>
        <c:crossAx val="278454272"/>
        <c:crosses val="autoZero"/>
        <c:auto val="1"/>
        <c:lblAlgn val="ctr"/>
        <c:lblOffset val="100"/>
        <c:noMultiLvlLbl val="0"/>
      </c:catAx>
      <c:valAx>
        <c:axId val="278454272"/>
        <c:scaling>
          <c:orientation val="minMax"/>
        </c:scaling>
        <c:delete val="0"/>
        <c:axPos val="b"/>
        <c:majorGridlines>
          <c:spPr>
            <a:ln w="9525" cap="flat" cmpd="sng" algn="ctr">
              <a:solidFill>
                <a:schemeClr val="bg1">
                  <a:lumMod val="95000"/>
                </a:schemeClr>
              </a:solidFill>
              <a:round/>
            </a:ln>
            <a:effectLst/>
          </c:spPr>
        </c:majorGridlines>
        <c:numFmt formatCode="&quot;$&quot;#,##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76383616"/>
        <c:crosses val="max"/>
        <c:crossBetween val="between"/>
      </c:valAx>
      <c:valAx>
        <c:axId val="278457728"/>
        <c:scaling>
          <c:orientation val="maxMin"/>
          <c:min val="0.5"/>
        </c:scaling>
        <c:delete val="1"/>
        <c:axPos val="r"/>
        <c:numFmt formatCode="General" sourceLinked="1"/>
        <c:majorTickMark val="out"/>
        <c:minorTickMark val="none"/>
        <c:tickLblPos val="nextTo"/>
        <c:crossAx val="280497536"/>
        <c:crosses val="max"/>
        <c:crossBetween val="midCat"/>
      </c:valAx>
      <c:valAx>
        <c:axId val="280497536"/>
        <c:scaling>
          <c:orientation val="minMax"/>
        </c:scaling>
        <c:delete val="1"/>
        <c:axPos val="t"/>
        <c:numFmt formatCode="0.000" sourceLinked="1"/>
        <c:majorTickMark val="out"/>
        <c:minorTickMark val="none"/>
        <c:tickLblPos val="nextTo"/>
        <c:crossAx val="278457728"/>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'Tornado Charts &amp; Risk Analysis'!$E$174</c:f>
              <c:strCache>
                <c:ptCount val="1"/>
                <c:pt idx="0">
                  <c:v>Base</c:v>
                </c:pt>
              </c:strCache>
            </c:strRef>
          </c:tx>
          <c:spPr>
            <a:noFill/>
            <a:ln>
              <a:noFill/>
            </a:ln>
            <a:effectLst/>
          </c:spPr>
          <c:invertIfNegative val="0"/>
          <c:dPt>
            <c:idx val="0"/>
            <c:invertIfNegative val="0"/>
            <c:bubble3D val="0"/>
            <c:spPr>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tileRect/>
              </a:gradFill>
              <a:ln>
                <a:noFill/>
              </a:ln>
              <a:effectLst/>
            </c:spPr>
            <c:extLst>
              <c:ext xmlns:c16="http://schemas.microsoft.com/office/drawing/2014/chart" uri="{C3380CC4-5D6E-409C-BE32-E72D297353CC}">
                <c16:uniqueId val="{00000001-C08B-4218-8268-DEA2742113BE}"/>
              </c:ext>
            </c:extLst>
          </c:dPt>
          <c:dPt>
            <c:idx val="6"/>
            <c:invertIfNegative val="0"/>
            <c:bubble3D val="0"/>
            <c:spPr>
              <a:gradFill>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gradFill>
              <a:ln>
                <a:noFill/>
              </a:ln>
              <a:effectLst/>
            </c:spPr>
            <c:extLst>
              <c:ext xmlns:c16="http://schemas.microsoft.com/office/drawing/2014/chart" uri="{C3380CC4-5D6E-409C-BE32-E72D297353CC}">
                <c16:uniqueId val="{00000003-C08B-4218-8268-DEA2742113BE}"/>
              </c:ext>
            </c:extLst>
          </c:dPt>
          <c:dLbls>
            <c:dLbl>
              <c:idx val="1"/>
              <c:delete val="1"/>
              <c:extLst>
                <c:ext xmlns:c15="http://schemas.microsoft.com/office/drawing/2012/chart" uri="{CE6537A1-D6FC-4f65-9D91-7224C49458BB}"/>
                <c:ext xmlns:c16="http://schemas.microsoft.com/office/drawing/2014/chart" uri="{C3380CC4-5D6E-409C-BE32-E72D297353CC}">
                  <c16:uniqueId val="{00000004-C08B-4218-8268-DEA2742113BE}"/>
                </c:ext>
              </c:extLst>
            </c:dLbl>
            <c:dLbl>
              <c:idx val="2"/>
              <c:delete val="1"/>
              <c:extLst>
                <c:ext xmlns:c15="http://schemas.microsoft.com/office/drawing/2012/chart" uri="{CE6537A1-D6FC-4f65-9D91-7224C49458BB}"/>
                <c:ext xmlns:c16="http://schemas.microsoft.com/office/drawing/2014/chart" uri="{C3380CC4-5D6E-409C-BE32-E72D297353CC}">
                  <c16:uniqueId val="{00000005-C08B-4218-8268-DEA2742113BE}"/>
                </c:ext>
              </c:extLst>
            </c:dLbl>
            <c:dLbl>
              <c:idx val="3"/>
              <c:delete val="1"/>
              <c:extLst>
                <c:ext xmlns:c15="http://schemas.microsoft.com/office/drawing/2012/chart" uri="{CE6537A1-D6FC-4f65-9D91-7224C49458BB}"/>
                <c:ext xmlns:c16="http://schemas.microsoft.com/office/drawing/2014/chart" uri="{C3380CC4-5D6E-409C-BE32-E72D297353CC}">
                  <c16:uniqueId val="{00000006-C08B-4218-8268-DEA2742113BE}"/>
                </c:ext>
              </c:extLst>
            </c:dLbl>
            <c:dLbl>
              <c:idx val="4"/>
              <c:delete val="1"/>
              <c:extLst>
                <c:ext xmlns:c15="http://schemas.microsoft.com/office/drawing/2012/chart" uri="{CE6537A1-D6FC-4f65-9D91-7224C49458BB}"/>
                <c:ext xmlns:c16="http://schemas.microsoft.com/office/drawing/2014/chart" uri="{C3380CC4-5D6E-409C-BE32-E72D297353CC}">
                  <c16:uniqueId val="{00000007-C08B-4218-8268-DEA2742113BE}"/>
                </c:ext>
              </c:extLst>
            </c:dLbl>
            <c:dLbl>
              <c:idx val="5"/>
              <c:delete val="1"/>
              <c:extLst>
                <c:ext xmlns:c15="http://schemas.microsoft.com/office/drawing/2012/chart" uri="{CE6537A1-D6FC-4f65-9D91-7224C49458BB}"/>
                <c:ext xmlns:c16="http://schemas.microsoft.com/office/drawing/2014/chart" uri="{C3380CC4-5D6E-409C-BE32-E72D297353CC}">
                  <c16:uniqueId val="{00000008-C08B-4218-8268-DEA2742113BE}"/>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Feedstock consumption (% of most likely value)
= -5%</c:v>
                </c:pt>
                <c:pt idx="2">
                  <c:v>Operating capacity factor
= +5%</c:v>
                </c:pt>
                <c:pt idx="3">
                  <c:v>Total capital investment ($)
= -5%</c:v>
                </c:pt>
                <c:pt idx="4">
                  <c:v>Total fixed operating cost ($/year)
= -5%</c:v>
                </c:pt>
                <c:pt idx="5">
                  <c:v>Utilities consumption (% of most likely value)
= -5%</c:v>
                </c:pt>
                <c:pt idx="6">
                  <c:v>Adjusted</c:v>
                </c:pt>
              </c:strCache>
            </c:strRef>
          </c:cat>
          <c:val>
            <c:numRef>
              <c:f>'Tornado Charts &amp; Risk Analysis'!$E$175:$E$181</c:f>
              <c:numCache>
                <c:formatCode>_("$"* #,##0.00_);_("$"* \(#,##0.00\);_("$"* "-"??_);_(@_)</c:formatCode>
                <c:ptCount val="7"/>
                <c:pt idx="0">
                  <c:v>1.5582197865293927</c:v>
                </c:pt>
                <c:pt idx="1">
                  <c:v>1.5080814671972416</c:v>
                </c:pt>
                <c:pt idx="2">
                  <c:v>1.4849455982621349</c:v>
                </c:pt>
                <c:pt idx="3">
                  <c:v>1.4695032556748413</c:v>
                </c:pt>
                <c:pt idx="4">
                  <c:v>1.4639005088269184</c:v>
                </c:pt>
                <c:pt idx="5">
                  <c:v>1.4616049728262039</c:v>
                </c:pt>
                <c:pt idx="6">
                  <c:v>1.4616049728262039</c:v>
                </c:pt>
              </c:numCache>
            </c:numRef>
          </c:val>
          <c:extLst>
            <c:ext xmlns:c16="http://schemas.microsoft.com/office/drawing/2014/chart" uri="{C3380CC4-5D6E-409C-BE32-E72D297353CC}">
              <c16:uniqueId val="{00000009-C08B-4218-8268-DEA2742113BE}"/>
            </c:ext>
          </c:extLst>
        </c:ser>
        <c:ser>
          <c:idx val="1"/>
          <c:order val="1"/>
          <c:tx>
            <c:strRef>
              <c:f>'Tornado Charts &amp; Risk Analysis'!$F$174</c:f>
              <c:strCache>
                <c:ptCount val="1"/>
                <c:pt idx="0">
                  <c:v>Decrease</c:v>
                </c:pt>
              </c:strCache>
            </c:strRef>
          </c:tx>
          <c:spPr>
            <a:gradFill flip="none" rotWithShape="1">
              <a:gsLst>
                <a:gs pos="31000">
                  <a:schemeClr val="accent3">
                    <a:lumMod val="60000"/>
                    <a:lumOff val="40000"/>
                  </a:schemeClr>
                </a:gs>
                <a:gs pos="0">
                  <a:schemeClr val="accent3">
                    <a:lumMod val="97000"/>
                    <a:lumOff val="3000"/>
                  </a:schemeClr>
                </a:gs>
                <a:gs pos="100000">
                  <a:schemeClr val="accent3">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3">
                        <a:lumMod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Feedstock consumption (% of most likely value)
= -5%</c:v>
                </c:pt>
                <c:pt idx="2">
                  <c:v>Operating capacity factor
= +5%</c:v>
                </c:pt>
                <c:pt idx="3">
                  <c:v>Total capital investment ($)
= -5%</c:v>
                </c:pt>
                <c:pt idx="4">
                  <c:v>Total fixed operating cost ($/year)
= -5%</c:v>
                </c:pt>
                <c:pt idx="5">
                  <c:v>Utilities consumption (% of most likely value)
= -5%</c:v>
                </c:pt>
                <c:pt idx="6">
                  <c:v>Adjusted</c:v>
                </c:pt>
              </c:strCache>
            </c:strRef>
          </c:cat>
          <c:val>
            <c:numRef>
              <c:f>'Tornado Charts &amp; Risk Analysis'!$F$175:$F$181</c:f>
              <c:numCache>
                <c:formatCode>_("$"* #,##0.00_);_("$"* \(#,##0.00\);_("$"* "-"??_);_(@_)</c:formatCode>
                <c:ptCount val="7"/>
                <c:pt idx="1">
                  <c:v>5.0138319332151182E-2</c:v>
                </c:pt>
                <c:pt idx="2">
                  <c:v>2.3135868935106663E-2</c:v>
                </c:pt>
                <c:pt idx="3">
                  <c:v>1.54423425872936E-2</c:v>
                </c:pt>
                <c:pt idx="4">
                  <c:v>5.6027468479229459E-3</c:v>
                </c:pt>
                <c:pt idx="5">
                  <c:v>2.2955360007144154E-3</c:v>
                </c:pt>
              </c:numCache>
            </c:numRef>
          </c:val>
          <c:extLst>
            <c:ext xmlns:c16="http://schemas.microsoft.com/office/drawing/2014/chart" uri="{C3380CC4-5D6E-409C-BE32-E72D297353CC}">
              <c16:uniqueId val="{0000000A-C08B-4218-8268-DEA2742113BE}"/>
            </c:ext>
          </c:extLst>
        </c:ser>
        <c:ser>
          <c:idx val="2"/>
          <c:order val="2"/>
          <c:tx>
            <c:strRef>
              <c:f>'Tornado Charts &amp; Risk Analysis'!$G$174</c:f>
              <c:strCache>
                <c:ptCount val="1"/>
                <c:pt idx="0">
                  <c:v>Increase</c:v>
                </c:pt>
              </c:strCache>
            </c:strRef>
          </c:tx>
          <c:spPr>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7A0000"/>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Feedstock consumption (% of most likely value)
= -5%</c:v>
                </c:pt>
                <c:pt idx="2">
                  <c:v>Operating capacity factor
= +5%</c:v>
                </c:pt>
                <c:pt idx="3">
                  <c:v>Total capital investment ($)
= -5%</c:v>
                </c:pt>
                <c:pt idx="4">
                  <c:v>Total fixed operating cost ($/year)
= -5%</c:v>
                </c:pt>
                <c:pt idx="5">
                  <c:v>Utilities consumption (% of most likely value)
= -5%</c:v>
                </c:pt>
                <c:pt idx="6">
                  <c:v>Adjusted</c:v>
                </c:pt>
              </c:strCache>
            </c:strRef>
          </c:cat>
          <c:val>
            <c:numRef>
              <c:f>'Tornado Charts &amp; Risk Analysis'!$G$175:$G$181</c:f>
              <c:numCache>
                <c:formatCode>_("$"* #,##0.00_);_("$"* \(#,##0.00\);_("$"* "-"??_);_(@_)</c:formatCode>
                <c:ptCount val="7"/>
                <c:pt idx="1">
                  <c:v>0</c:v>
                </c:pt>
                <c:pt idx="2">
                  <c:v>0</c:v>
                </c:pt>
                <c:pt idx="3">
                  <c:v>0</c:v>
                </c:pt>
                <c:pt idx="4">
                  <c:v>0</c:v>
                </c:pt>
                <c:pt idx="5">
                  <c:v>0</c:v>
                </c:pt>
              </c:numCache>
            </c:numRef>
          </c:val>
          <c:extLst>
            <c:ext xmlns:c16="http://schemas.microsoft.com/office/drawing/2014/chart" uri="{C3380CC4-5D6E-409C-BE32-E72D297353CC}">
              <c16:uniqueId val="{0000000B-C08B-4218-8268-DEA2742113BE}"/>
            </c:ext>
          </c:extLst>
        </c:ser>
        <c:dLbls>
          <c:showLegendKey val="0"/>
          <c:showVal val="0"/>
          <c:showCatName val="0"/>
          <c:showSerName val="0"/>
          <c:showPercent val="0"/>
          <c:showBubbleSize val="0"/>
        </c:dLbls>
        <c:gapWidth val="5"/>
        <c:overlap val="100"/>
        <c:axId val="343819008"/>
        <c:axId val="343825408"/>
      </c:barChart>
      <c:catAx>
        <c:axId val="343819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crossAx val="343825408"/>
        <c:crosses val="autoZero"/>
        <c:auto val="1"/>
        <c:lblAlgn val="ctr"/>
        <c:lblOffset val="100"/>
        <c:noMultiLvlLbl val="0"/>
      </c:catAx>
      <c:valAx>
        <c:axId val="343825408"/>
        <c:scaling>
          <c:orientation val="minMax"/>
        </c:scaling>
        <c:delete val="0"/>
        <c:axPos val="l"/>
        <c:majorGridlines>
          <c:spPr>
            <a:ln w="9525" cap="flat" cmpd="sng" algn="ctr">
              <a:solidFill>
                <a:schemeClr val="bg1">
                  <a:lumMod val="95000"/>
                </a:schemeClr>
              </a:solidFill>
              <a:round/>
            </a:ln>
            <a:effectLst>
              <a:outerShdw blurRad="50800" dist="50800" dir="5400000" algn="ctr" rotWithShape="0">
                <a:schemeClr val="bg1">
                  <a:lumMod val="95000"/>
                </a:schemeClr>
              </a:outerShdw>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34381900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736021523921218"/>
          <c:y val="4.7928894869667373E-2"/>
          <c:w val="0.77171885593131795"/>
          <c:h val="0.69950877377025256"/>
        </c:manualLayout>
      </c:layout>
      <c:scatterChart>
        <c:scatterStyle val="lineMarker"/>
        <c:varyColors val="0"/>
        <c:ser>
          <c:idx val="1"/>
          <c:order val="1"/>
          <c:tx>
            <c:strRef>
              <c:f>'Tornado Charts &amp; Risk Analysis'!$I$201</c:f>
              <c:strCache>
                <c:ptCount val="1"/>
                <c:pt idx="0">
                  <c:v>Cumulative probability</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'Tornado Charts &amp; Risk Analysis'!$G$202:$G$221</c:f>
              <c:numCache>
                <c:formatCode>_(* #,##0_);_(* \(#,##0\);_(* "-"??_);_(@_)</c:formatCode>
                <c:ptCount val="20"/>
                <c:pt idx="0">
                  <c:v>1.4762277491586824</c:v>
                </c:pt>
                <c:pt idx="1">
                  <c:v>1.4848698526561375</c:v>
                </c:pt>
                <c:pt idx="2">
                  <c:v>1.4935119561535921</c:v>
                </c:pt>
                <c:pt idx="3">
                  <c:v>1.5021540596510472</c:v>
                </c:pt>
                <c:pt idx="4">
                  <c:v>1.5107961631485018</c:v>
                </c:pt>
                <c:pt idx="5">
                  <c:v>1.5194382666459569</c:v>
                </c:pt>
                <c:pt idx="6">
                  <c:v>1.5280803701434116</c:v>
                </c:pt>
                <c:pt idx="7">
                  <c:v>1.5367224736408667</c:v>
                </c:pt>
                <c:pt idx="8">
                  <c:v>1.5453645771383213</c:v>
                </c:pt>
                <c:pt idx="9">
                  <c:v>1.5540066806357764</c:v>
                </c:pt>
                <c:pt idx="10">
                  <c:v>1.5626487841332311</c:v>
                </c:pt>
                <c:pt idx="11">
                  <c:v>1.5712908876306861</c:v>
                </c:pt>
                <c:pt idx="12">
                  <c:v>1.5799329911281408</c:v>
                </c:pt>
                <c:pt idx="13">
                  <c:v>1.5885750946255959</c:v>
                </c:pt>
                <c:pt idx="14">
                  <c:v>1.5972171981230505</c:v>
                </c:pt>
                <c:pt idx="15">
                  <c:v>1.6058593016205056</c:v>
                </c:pt>
                <c:pt idx="16">
                  <c:v>1.6145014051179603</c:v>
                </c:pt>
                <c:pt idx="17">
                  <c:v>1.6231435086154153</c:v>
                </c:pt>
                <c:pt idx="18">
                  <c:v>1.63178561211287</c:v>
                </c:pt>
                <c:pt idx="19">
                  <c:v>1.6404282156103249</c:v>
                </c:pt>
              </c:numCache>
            </c:numRef>
          </c:xVal>
          <c:yVal>
            <c:numRef>
              <c:f>'Tornado Charts &amp; Risk Analysis'!$I$202:$I$221</c:f>
              <c:numCache>
                <c:formatCode>General</c:formatCode>
                <c:ptCount val="20"/>
                <c:pt idx="0">
                  <c:v>5.0000000000000001E-4</c:v>
                </c:pt>
                <c:pt idx="1">
                  <c:v>5.0000000000000001E-4</c:v>
                </c:pt>
                <c:pt idx="2">
                  <c:v>2E-3</c:v>
                </c:pt>
                <c:pt idx="3">
                  <c:v>1.7000000000000001E-2</c:v>
                </c:pt>
                <c:pt idx="4">
                  <c:v>4.1000000000000002E-2</c:v>
                </c:pt>
                <c:pt idx="5">
                  <c:v>9.8000000000000004E-2</c:v>
                </c:pt>
                <c:pt idx="6">
                  <c:v>0.17099999999999999</c:v>
                </c:pt>
                <c:pt idx="7">
                  <c:v>0.2515</c:v>
                </c:pt>
                <c:pt idx="8">
                  <c:v>0.36299999999999999</c:v>
                </c:pt>
                <c:pt idx="9">
                  <c:v>0.49149999999999999</c:v>
                </c:pt>
                <c:pt idx="10">
                  <c:v>0.63149999999999995</c:v>
                </c:pt>
                <c:pt idx="11">
                  <c:v>0.75049999999999994</c:v>
                </c:pt>
                <c:pt idx="12">
                  <c:v>0.84449999999999992</c:v>
                </c:pt>
                <c:pt idx="13">
                  <c:v>0.90899999999999992</c:v>
                </c:pt>
                <c:pt idx="14">
                  <c:v>0.95099999999999996</c:v>
                </c:pt>
                <c:pt idx="15">
                  <c:v>0.98299999999999998</c:v>
                </c:pt>
                <c:pt idx="16">
                  <c:v>0.995</c:v>
                </c:pt>
                <c:pt idx="17">
                  <c:v>0.99849999999999994</c:v>
                </c:pt>
                <c:pt idx="18">
                  <c:v>0.99899999999999989</c:v>
                </c:pt>
                <c:pt idx="19">
                  <c:v>0.99999999999999989</c:v>
                </c:pt>
              </c:numCache>
            </c:numRef>
          </c:yVal>
          <c:smooth val="0"/>
          <c:extLst>
            <c:ext xmlns:c16="http://schemas.microsoft.com/office/drawing/2014/chart" uri="{C3380CC4-5D6E-409C-BE32-E72D297353CC}">
              <c16:uniqueId val="{00000002-4B22-4F8D-99CE-30F97D5C7E97}"/>
            </c:ext>
          </c:extLst>
        </c:ser>
        <c:dLbls>
          <c:showLegendKey val="0"/>
          <c:showVal val="0"/>
          <c:showCatName val="0"/>
          <c:showSerName val="0"/>
          <c:showPercent val="0"/>
          <c:showBubbleSize val="0"/>
        </c:dLbls>
        <c:axId val="784145800"/>
        <c:axId val="784139568"/>
      </c:scatterChart>
      <c:scatterChart>
        <c:scatterStyle val="lineMarker"/>
        <c:varyColors val="0"/>
        <c:ser>
          <c:idx val="0"/>
          <c:order val="0"/>
          <c:tx>
            <c:strRef>
              <c:f>'Tornado Charts &amp; Risk Analysis'!$H$201</c:f>
              <c:strCache>
                <c:ptCount val="1"/>
                <c:pt idx="0">
                  <c:v>Probability</c:v>
                </c:pt>
              </c:strCache>
            </c:strRef>
          </c:tx>
          <c:spPr>
            <a:ln w="19050" cap="rnd">
              <a:noFill/>
              <a:round/>
            </a:ln>
            <a:effectLst/>
          </c:spPr>
          <c:marker>
            <c:symbol val="diamond"/>
            <c:size val="5"/>
            <c:spPr>
              <a:solidFill>
                <a:schemeClr val="accent1">
                  <a:lumMod val="50000"/>
                </a:schemeClr>
              </a:solidFill>
              <a:ln w="9525">
                <a:solidFill>
                  <a:schemeClr val="tx1"/>
                </a:solidFill>
              </a:ln>
              <a:effectLst/>
            </c:spPr>
          </c:marker>
          <c:errBars>
            <c:errDir val="y"/>
            <c:errBarType val="minus"/>
            <c:errValType val="percentage"/>
            <c:noEndCap val="0"/>
            <c:val val="100"/>
            <c:spPr>
              <a:noFill/>
              <a:ln w="120650" cap="flat" cmpd="sng" algn="ctr">
                <a:solidFill>
                  <a:schemeClr val="tx2">
                    <a:lumMod val="60000"/>
                    <a:lumOff val="40000"/>
                    <a:alpha val="30000"/>
                  </a:schemeClr>
                </a:solidFill>
                <a:round/>
              </a:ln>
              <a:effectLst/>
            </c:spPr>
          </c:errBars>
          <c:xVal>
            <c:numRef>
              <c:f>'Tornado Charts &amp; Risk Analysis'!$G$202:$G$221</c:f>
              <c:numCache>
                <c:formatCode>_(* #,##0_);_(* \(#,##0\);_(* "-"??_);_(@_)</c:formatCode>
                <c:ptCount val="20"/>
                <c:pt idx="0">
                  <c:v>1.4762277491586824</c:v>
                </c:pt>
                <c:pt idx="1">
                  <c:v>1.4848698526561375</c:v>
                </c:pt>
                <c:pt idx="2">
                  <c:v>1.4935119561535921</c:v>
                </c:pt>
                <c:pt idx="3">
                  <c:v>1.5021540596510472</c:v>
                </c:pt>
                <c:pt idx="4">
                  <c:v>1.5107961631485018</c:v>
                </c:pt>
                <c:pt idx="5">
                  <c:v>1.5194382666459569</c:v>
                </c:pt>
                <c:pt idx="6">
                  <c:v>1.5280803701434116</c:v>
                </c:pt>
                <c:pt idx="7">
                  <c:v>1.5367224736408667</c:v>
                </c:pt>
                <c:pt idx="8">
                  <c:v>1.5453645771383213</c:v>
                </c:pt>
                <c:pt idx="9">
                  <c:v>1.5540066806357764</c:v>
                </c:pt>
                <c:pt idx="10">
                  <c:v>1.5626487841332311</c:v>
                </c:pt>
                <c:pt idx="11">
                  <c:v>1.5712908876306861</c:v>
                </c:pt>
                <c:pt idx="12">
                  <c:v>1.5799329911281408</c:v>
                </c:pt>
                <c:pt idx="13">
                  <c:v>1.5885750946255959</c:v>
                </c:pt>
                <c:pt idx="14">
                  <c:v>1.5972171981230505</c:v>
                </c:pt>
                <c:pt idx="15">
                  <c:v>1.6058593016205056</c:v>
                </c:pt>
                <c:pt idx="16">
                  <c:v>1.6145014051179603</c:v>
                </c:pt>
                <c:pt idx="17">
                  <c:v>1.6231435086154153</c:v>
                </c:pt>
                <c:pt idx="18">
                  <c:v>1.63178561211287</c:v>
                </c:pt>
                <c:pt idx="19">
                  <c:v>1.6404282156103249</c:v>
                </c:pt>
              </c:numCache>
            </c:numRef>
          </c:xVal>
          <c:yVal>
            <c:numRef>
              <c:f>'Tornado Charts &amp; Risk Analysis'!$H$202:$H$221</c:f>
              <c:numCache>
                <c:formatCode>General</c:formatCode>
                <c:ptCount val="20"/>
                <c:pt idx="0">
                  <c:v>5.0000000000000001E-4</c:v>
                </c:pt>
                <c:pt idx="1">
                  <c:v>0</c:v>
                </c:pt>
                <c:pt idx="2">
                  <c:v>1.5E-3</c:v>
                </c:pt>
                <c:pt idx="3">
                  <c:v>1.4999999999999999E-2</c:v>
                </c:pt>
                <c:pt idx="4">
                  <c:v>2.4E-2</c:v>
                </c:pt>
                <c:pt idx="5">
                  <c:v>5.7000000000000002E-2</c:v>
                </c:pt>
                <c:pt idx="6">
                  <c:v>7.2999999999999995E-2</c:v>
                </c:pt>
                <c:pt idx="7">
                  <c:v>8.0500000000000002E-2</c:v>
                </c:pt>
                <c:pt idx="8">
                  <c:v>0.1115</c:v>
                </c:pt>
                <c:pt idx="9">
                  <c:v>0.1285</c:v>
                </c:pt>
                <c:pt idx="10">
                  <c:v>0.14000000000000001</c:v>
                </c:pt>
                <c:pt idx="11">
                  <c:v>0.11899999999999999</c:v>
                </c:pt>
                <c:pt idx="12">
                  <c:v>9.4E-2</c:v>
                </c:pt>
                <c:pt idx="13">
                  <c:v>6.4500000000000002E-2</c:v>
                </c:pt>
                <c:pt idx="14">
                  <c:v>4.2000000000000003E-2</c:v>
                </c:pt>
                <c:pt idx="15">
                  <c:v>3.2000000000000001E-2</c:v>
                </c:pt>
                <c:pt idx="16">
                  <c:v>1.2E-2</c:v>
                </c:pt>
                <c:pt idx="17">
                  <c:v>3.5000000000000001E-3</c:v>
                </c:pt>
                <c:pt idx="18">
                  <c:v>5.0000000000000001E-4</c:v>
                </c:pt>
                <c:pt idx="19">
                  <c:v>1E-3</c:v>
                </c:pt>
              </c:numCache>
            </c:numRef>
          </c:yVal>
          <c:smooth val="0"/>
          <c:extLst>
            <c:ext xmlns:c16="http://schemas.microsoft.com/office/drawing/2014/chart" uri="{C3380CC4-5D6E-409C-BE32-E72D297353CC}">
              <c16:uniqueId val="{00000000-4B22-4F8D-99CE-30F97D5C7E97}"/>
            </c:ext>
          </c:extLst>
        </c:ser>
        <c:dLbls>
          <c:showLegendKey val="0"/>
          <c:showVal val="0"/>
          <c:showCatName val="0"/>
          <c:showSerName val="0"/>
          <c:showPercent val="0"/>
          <c:showBubbleSize val="0"/>
        </c:dLbls>
        <c:axId val="749827128"/>
        <c:axId val="749826144"/>
      </c:scatterChart>
      <c:valAx>
        <c:axId val="7841458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4139568"/>
        <c:crosses val="autoZero"/>
        <c:crossBetween val="midCat"/>
      </c:valAx>
      <c:valAx>
        <c:axId val="784139568"/>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84145800"/>
        <c:crosses val="autoZero"/>
        <c:crossBetween val="midCat"/>
      </c:valAx>
      <c:valAx>
        <c:axId val="749826144"/>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49827128"/>
        <c:crosses val="max"/>
        <c:crossBetween val="midCat"/>
      </c:valAx>
      <c:valAx>
        <c:axId val="749827128"/>
        <c:scaling>
          <c:orientation val="minMax"/>
        </c:scaling>
        <c:delete val="1"/>
        <c:axPos val="b"/>
        <c:numFmt formatCode="_(* #,##0_);_(* \(#,##0\);_(* &quot;-&quot;??_);_(@_)" sourceLinked="1"/>
        <c:majorTickMark val="out"/>
        <c:minorTickMark val="none"/>
        <c:tickLblPos val="nextTo"/>
        <c:crossAx val="749826144"/>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14.emf"/><Relationship Id="rId18" Type="http://schemas.openxmlformats.org/officeDocument/2006/relationships/image" Target="../media/image19.emf"/><Relationship Id="rId3" Type="http://schemas.openxmlformats.org/officeDocument/2006/relationships/image" Target="../media/image4.emf"/><Relationship Id="rId21" Type="http://schemas.openxmlformats.org/officeDocument/2006/relationships/image" Target="../media/image22.emf"/><Relationship Id="rId7" Type="http://schemas.openxmlformats.org/officeDocument/2006/relationships/image" Target="../media/image8.emf"/><Relationship Id="rId12" Type="http://schemas.openxmlformats.org/officeDocument/2006/relationships/image" Target="../media/image13.emf"/><Relationship Id="rId17" Type="http://schemas.openxmlformats.org/officeDocument/2006/relationships/image" Target="../media/image18.emf"/><Relationship Id="rId2" Type="http://schemas.openxmlformats.org/officeDocument/2006/relationships/image" Target="../media/image3.emf"/><Relationship Id="rId16" Type="http://schemas.openxmlformats.org/officeDocument/2006/relationships/image" Target="../media/image17.emf"/><Relationship Id="rId20" Type="http://schemas.openxmlformats.org/officeDocument/2006/relationships/image" Target="../media/image21.emf"/><Relationship Id="rId1" Type="http://schemas.openxmlformats.org/officeDocument/2006/relationships/image" Target="../media/image2.emf"/><Relationship Id="rId6" Type="http://schemas.openxmlformats.org/officeDocument/2006/relationships/image" Target="../media/image7.emf"/><Relationship Id="rId11" Type="http://schemas.openxmlformats.org/officeDocument/2006/relationships/image" Target="../media/image12.emf"/><Relationship Id="rId5" Type="http://schemas.openxmlformats.org/officeDocument/2006/relationships/image" Target="../media/image6.emf"/><Relationship Id="rId15" Type="http://schemas.openxmlformats.org/officeDocument/2006/relationships/image" Target="../media/image16.emf"/><Relationship Id="rId10" Type="http://schemas.openxmlformats.org/officeDocument/2006/relationships/image" Target="../media/image11.emf"/><Relationship Id="rId19" Type="http://schemas.openxmlformats.org/officeDocument/2006/relationships/image" Target="../media/image20.emf"/><Relationship Id="rId4" Type="http://schemas.openxmlformats.org/officeDocument/2006/relationships/image" Target="../media/image5.emf"/><Relationship Id="rId9" Type="http://schemas.openxmlformats.org/officeDocument/2006/relationships/image" Target="../media/image10.emf"/><Relationship Id="rId14" Type="http://schemas.openxmlformats.org/officeDocument/2006/relationships/image" Target="../media/image15.emf"/><Relationship Id="rId22" Type="http://schemas.openxmlformats.org/officeDocument/2006/relationships/image" Target="../media/image23.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27.emf"/><Relationship Id="rId3" Type="http://schemas.openxmlformats.org/officeDocument/2006/relationships/image" Target="../media/image33.emf"/><Relationship Id="rId7" Type="http://schemas.openxmlformats.org/officeDocument/2006/relationships/image" Target="../media/image28.emf"/><Relationship Id="rId2" Type="http://schemas.openxmlformats.org/officeDocument/2006/relationships/image" Target="../media/image32.emf"/><Relationship Id="rId1" Type="http://schemas.openxmlformats.org/officeDocument/2006/relationships/image" Target="../media/image31.emf"/><Relationship Id="rId6" Type="http://schemas.openxmlformats.org/officeDocument/2006/relationships/image" Target="../media/image29.emf"/><Relationship Id="rId11" Type="http://schemas.openxmlformats.org/officeDocument/2006/relationships/image" Target="../media/image24.emf"/><Relationship Id="rId5" Type="http://schemas.openxmlformats.org/officeDocument/2006/relationships/image" Target="../media/image30.emf"/><Relationship Id="rId10" Type="http://schemas.openxmlformats.org/officeDocument/2006/relationships/image" Target="../media/image25.emf"/><Relationship Id="rId4" Type="http://schemas.openxmlformats.org/officeDocument/2006/relationships/image" Target="../media/image34.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35.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3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7.emf"/></Relationships>
</file>

<file path=xl/drawings/drawing1.xml><?xml version="1.0" encoding="utf-8"?>
<xdr:wsDr xmlns:xdr="http://schemas.openxmlformats.org/drawingml/2006/spreadsheetDrawing" xmlns:a="http://schemas.openxmlformats.org/drawingml/2006/main">
  <xdr:twoCellAnchor>
    <xdr:from>
      <xdr:col>3</xdr:col>
      <xdr:colOff>167640</xdr:colOff>
      <xdr:row>1</xdr:row>
      <xdr:rowOff>60960</xdr:rowOff>
    </xdr:from>
    <xdr:to>
      <xdr:col>3</xdr:col>
      <xdr:colOff>1569720</xdr:colOff>
      <xdr:row>1</xdr:row>
      <xdr:rowOff>419100</xdr:rowOff>
    </xdr:to>
    <xdr:sp macro="[0]!InputSheet" textlink="">
      <xdr:nvSpPr>
        <xdr:cNvPr id="3" name="Rounded Rectangle 2">
          <a:extLst>
            <a:ext uri="{FF2B5EF4-FFF2-40B4-BE49-F238E27FC236}">
              <a16:creationId xmlns:a16="http://schemas.microsoft.com/office/drawing/2014/main" id="{00000000-0008-0000-0000-000003000000}"/>
            </a:ext>
          </a:extLst>
        </xdr:cNvPr>
        <xdr:cNvSpPr/>
      </xdr:nvSpPr>
      <xdr:spPr>
        <a:xfrm>
          <a:off x="6370320" y="228600"/>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6522720</xdr:colOff>
      <xdr:row>0</xdr:row>
      <xdr:rowOff>160020</xdr:rowOff>
    </xdr:from>
    <xdr:to>
      <xdr:col>1</xdr:col>
      <xdr:colOff>7924800</xdr:colOff>
      <xdr:row>2</xdr:row>
      <xdr:rowOff>83820</xdr:rowOff>
    </xdr:to>
    <xdr:sp macro="[0]!InputSheet" textlink="">
      <xdr:nvSpPr>
        <xdr:cNvPr id="5" name="Rounded Rectangle 4">
          <a:extLst>
            <a:ext uri="{FF2B5EF4-FFF2-40B4-BE49-F238E27FC236}">
              <a16:creationId xmlns:a16="http://schemas.microsoft.com/office/drawing/2014/main" id="{00000000-0008-0000-0100-000005000000}"/>
            </a:ext>
          </a:extLst>
        </xdr:cNvPr>
        <xdr:cNvSpPr/>
      </xdr:nvSpPr>
      <xdr:spPr>
        <a:xfrm>
          <a:off x="7132320" y="160020"/>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351382</xdr:colOff>
      <xdr:row>2</xdr:row>
      <xdr:rowOff>20090</xdr:rowOff>
    </xdr:from>
    <xdr:to>
      <xdr:col>5</xdr:col>
      <xdr:colOff>326612</xdr:colOff>
      <xdr:row>4</xdr:row>
      <xdr:rowOff>82436</xdr:rowOff>
    </xdr:to>
    <xdr:sp macro="[0]!InputSheet" textlink="">
      <xdr:nvSpPr>
        <xdr:cNvPr id="5" name="Rounded Rectangle 4">
          <a:extLst>
            <a:ext uri="{FF2B5EF4-FFF2-40B4-BE49-F238E27FC236}">
              <a16:creationId xmlns:a16="http://schemas.microsoft.com/office/drawing/2014/main" id="{00000000-0008-0000-0200-000005000000}"/>
            </a:ext>
          </a:extLst>
        </xdr:cNvPr>
        <xdr:cNvSpPr/>
      </xdr:nvSpPr>
      <xdr:spPr>
        <a:xfrm>
          <a:off x="11019382" y="468325"/>
          <a:ext cx="1129436" cy="376111"/>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editAs="oneCell">
    <xdr:from>
      <xdr:col>1</xdr:col>
      <xdr:colOff>47065</xdr:colOff>
      <xdr:row>7</xdr:row>
      <xdr:rowOff>69030</xdr:rowOff>
    </xdr:from>
    <xdr:to>
      <xdr:col>6</xdr:col>
      <xdr:colOff>997323</xdr:colOff>
      <xdr:row>27</xdr:row>
      <xdr:rowOff>134471</xdr:rowOff>
    </xdr:to>
    <xdr:pic>
      <xdr:nvPicPr>
        <xdr:cNvPr id="4" name="Picture 2">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2183" y="1301677"/>
          <a:ext cx="7494493" cy="453658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51</xdr:row>
      <xdr:rowOff>0</xdr:rowOff>
    </xdr:from>
    <xdr:to>
      <xdr:col>4</xdr:col>
      <xdr:colOff>0</xdr:colOff>
      <xdr:row>51</xdr:row>
      <xdr:rowOff>0</xdr:rowOff>
    </xdr:to>
    <xdr:graphicFrame macro="">
      <xdr:nvGraphicFramePr>
        <xdr:cNvPr id="1261975" name="Chart 7">
          <a:extLst>
            <a:ext uri="{FF2B5EF4-FFF2-40B4-BE49-F238E27FC236}">
              <a16:creationId xmlns:a16="http://schemas.microsoft.com/office/drawing/2014/main" id="{00000000-0008-0000-0300-000097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51</xdr:row>
      <xdr:rowOff>0</xdr:rowOff>
    </xdr:from>
    <xdr:to>
      <xdr:col>4</xdr:col>
      <xdr:colOff>0</xdr:colOff>
      <xdr:row>51</xdr:row>
      <xdr:rowOff>0</xdr:rowOff>
    </xdr:to>
    <xdr:graphicFrame macro="">
      <xdr:nvGraphicFramePr>
        <xdr:cNvPr id="1261976" name="Chart 8">
          <a:extLst>
            <a:ext uri="{FF2B5EF4-FFF2-40B4-BE49-F238E27FC236}">
              <a16:creationId xmlns:a16="http://schemas.microsoft.com/office/drawing/2014/main" id="{00000000-0008-0000-0300-000098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51</xdr:row>
      <xdr:rowOff>0</xdr:rowOff>
    </xdr:from>
    <xdr:to>
      <xdr:col>4</xdr:col>
      <xdr:colOff>0</xdr:colOff>
      <xdr:row>51</xdr:row>
      <xdr:rowOff>0</xdr:rowOff>
    </xdr:to>
    <xdr:graphicFrame macro="">
      <xdr:nvGraphicFramePr>
        <xdr:cNvPr id="1261977" name="Chart 13">
          <a:extLst>
            <a:ext uri="{FF2B5EF4-FFF2-40B4-BE49-F238E27FC236}">
              <a16:creationId xmlns:a16="http://schemas.microsoft.com/office/drawing/2014/main" id="{00000000-0008-0000-0300-000099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0</xdr:colOff>
      <xdr:row>225</xdr:row>
      <xdr:rowOff>0</xdr:rowOff>
    </xdr:from>
    <xdr:to>
      <xdr:col>2</xdr:col>
      <xdr:colOff>76200</xdr:colOff>
      <xdr:row>226</xdr:row>
      <xdr:rowOff>36439</xdr:rowOff>
    </xdr:to>
    <xdr:sp macro="" textlink="">
      <xdr:nvSpPr>
        <xdr:cNvPr id="1261978" name="Text Box 14">
          <a:extLst>
            <a:ext uri="{FF2B5EF4-FFF2-40B4-BE49-F238E27FC236}">
              <a16:creationId xmlns:a16="http://schemas.microsoft.com/office/drawing/2014/main" id="{00000000-0008-0000-0300-00009A411300}"/>
            </a:ext>
          </a:extLst>
        </xdr:cNvPr>
        <xdr:cNvSpPr txBox="1">
          <a:spLocks noChangeArrowheads="1"/>
        </xdr:cNvSpPr>
      </xdr:nvSpPr>
      <xdr:spPr bwMode="auto">
        <a:xfrm>
          <a:off x="4617720" y="52623720"/>
          <a:ext cx="76200" cy="205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4</xdr:col>
      <xdr:colOff>798195</xdr:colOff>
      <xdr:row>56</xdr:row>
      <xdr:rowOff>114300</xdr:rowOff>
    </xdr:from>
    <xdr:to>
      <xdr:col>4</xdr:col>
      <xdr:colOff>1557721</xdr:colOff>
      <xdr:row>71</xdr:row>
      <xdr:rowOff>161925</xdr:rowOff>
    </xdr:to>
    <xdr:sp macro="" textlink="">
      <xdr:nvSpPr>
        <xdr:cNvPr id="6" name="Right Brace 5">
          <a:extLst>
            <a:ext uri="{FF2B5EF4-FFF2-40B4-BE49-F238E27FC236}">
              <a16:creationId xmlns:a16="http://schemas.microsoft.com/office/drawing/2014/main" id="{00000000-0008-0000-0300-000006000000}"/>
            </a:ext>
          </a:extLst>
        </xdr:cNvPr>
        <xdr:cNvSpPr/>
      </xdr:nvSpPr>
      <xdr:spPr>
        <a:xfrm>
          <a:off x="7524750" y="12639675"/>
          <a:ext cx="733425" cy="3829050"/>
        </a:xfrm>
        <a:prstGeom prst="rightBrace">
          <a:avLst>
            <a:gd name="adj1" fmla="val 8333"/>
            <a:gd name="adj2" fmla="val 49735"/>
          </a:avLst>
        </a:prstGeom>
        <a:ln w="38100"/>
      </xdr:spPr>
      <xdr:style>
        <a:lnRef idx="1">
          <a:schemeClr val="accent1"/>
        </a:lnRef>
        <a:fillRef idx="0">
          <a:schemeClr val="accent1"/>
        </a:fillRef>
        <a:effectRef idx="0">
          <a:schemeClr val="accent1"/>
        </a:effectRef>
        <a:fontRef idx="minor">
          <a:schemeClr val="tx1"/>
        </a:fontRef>
      </xdr:style>
      <xdr:txBody>
        <a:bodyPr vertOverflow="clip" rtlCol="0" anchor="ctr"/>
        <a:lstStyle/>
        <a:p>
          <a:endParaRPr lang="en-US"/>
        </a:p>
      </xdr:txBody>
    </xdr:sp>
    <xdr:clientData/>
  </xdr:twoCellAnchor>
  <mc:AlternateContent xmlns:mc="http://schemas.openxmlformats.org/markup-compatibility/2006">
    <mc:Choice xmlns:a14="http://schemas.microsoft.com/office/drawing/2010/main" Requires="a14">
      <xdr:twoCellAnchor editAs="oneCell">
        <xdr:from>
          <xdr:col>3</xdr:col>
          <xdr:colOff>165100</xdr:colOff>
          <xdr:row>66</xdr:row>
          <xdr:rowOff>12700</xdr:rowOff>
        </xdr:from>
        <xdr:to>
          <xdr:col>3</xdr:col>
          <xdr:colOff>488950</xdr:colOff>
          <xdr:row>66</xdr:row>
          <xdr:rowOff>190500</xdr:rowOff>
        </xdr:to>
        <xdr:sp macro="" textlink="">
          <xdr:nvSpPr>
            <xdr:cNvPr id="1061" name="Label1" hidden="1">
              <a:extLst>
                <a:ext uri="{63B3BB69-23CF-44E3-9099-C40C66FF867C}">
                  <a14:compatExt spid="_x0000_s1061"/>
                </a:ext>
                <a:ext uri="{FF2B5EF4-FFF2-40B4-BE49-F238E27FC236}">
                  <a16:creationId xmlns:a16="http://schemas.microsoft.com/office/drawing/2014/main" id="{00000000-0008-0000-03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2495550</xdr:colOff>
          <xdr:row>66</xdr:row>
          <xdr:rowOff>31750</xdr:rowOff>
        </xdr:from>
        <xdr:to>
          <xdr:col>1</xdr:col>
          <xdr:colOff>3714750</xdr:colOff>
          <xdr:row>66</xdr:row>
          <xdr:rowOff>209550</xdr:rowOff>
        </xdr:to>
        <xdr:sp macro="" textlink="">
          <xdr:nvSpPr>
            <xdr:cNvPr id="1063" name="lblUseDfltPrice" hidden="1">
              <a:extLst>
                <a:ext uri="{63B3BB69-23CF-44E3-9099-C40C66FF867C}">
                  <a14:compatExt spid="_x0000_s1063"/>
                </a:ext>
                <a:ext uri="{FF2B5EF4-FFF2-40B4-BE49-F238E27FC236}">
                  <a16:creationId xmlns:a16="http://schemas.microsoft.com/office/drawing/2014/main" id="{00000000-0008-0000-03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128</xdr:row>
          <xdr:rowOff>247650</xdr:rowOff>
        </xdr:from>
        <xdr:to>
          <xdr:col>3</xdr:col>
          <xdr:colOff>184150</xdr:colOff>
          <xdr:row>129</xdr:row>
          <xdr:rowOff>228600</xdr:rowOff>
        </xdr:to>
        <xdr:sp macro="" textlink="">
          <xdr:nvSpPr>
            <xdr:cNvPr id="1076" name="chkNonEnergyByProd" hidden="1">
              <a:extLst>
                <a:ext uri="{63B3BB69-23CF-44E3-9099-C40C66FF867C}">
                  <a14:compatExt spid="_x0000_s1076"/>
                </a:ext>
                <a:ext uri="{FF2B5EF4-FFF2-40B4-BE49-F238E27FC236}">
                  <a16:creationId xmlns:a16="http://schemas.microsoft.com/office/drawing/2014/main" id="{00000000-0008-0000-0300-00003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2222500</xdr:colOff>
          <xdr:row>131</xdr:row>
          <xdr:rowOff>38100</xdr:rowOff>
        </xdr:from>
        <xdr:to>
          <xdr:col>1</xdr:col>
          <xdr:colOff>3613150</xdr:colOff>
          <xdr:row>131</xdr:row>
          <xdr:rowOff>222250</xdr:rowOff>
        </xdr:to>
        <xdr:sp macro="" textlink="">
          <xdr:nvSpPr>
            <xdr:cNvPr id="1083" name="lblUseOtherDefault" hidden="1">
              <a:extLst>
                <a:ext uri="{63B3BB69-23CF-44E3-9099-C40C66FF867C}">
                  <a14:compatExt spid="_x0000_s1083"/>
                </a:ext>
                <a:ext uri="{FF2B5EF4-FFF2-40B4-BE49-F238E27FC236}">
                  <a16:creationId xmlns:a16="http://schemas.microsoft.com/office/drawing/2014/main" id="{00000000-0008-0000-0300-00003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298450</xdr:colOff>
          <xdr:row>131</xdr:row>
          <xdr:rowOff>50800</xdr:rowOff>
        </xdr:from>
        <xdr:to>
          <xdr:col>3</xdr:col>
          <xdr:colOff>609600</xdr:colOff>
          <xdr:row>131</xdr:row>
          <xdr:rowOff>228600</xdr:rowOff>
        </xdr:to>
        <xdr:sp macro="" textlink="">
          <xdr:nvSpPr>
            <xdr:cNvPr id="1085" name="Label3" hidden="1">
              <a:extLst>
                <a:ext uri="{63B3BB69-23CF-44E3-9099-C40C66FF867C}">
                  <a14:compatExt spid="_x0000_s1085"/>
                </a:ext>
                <a:ext uri="{FF2B5EF4-FFF2-40B4-BE49-F238E27FC236}">
                  <a16:creationId xmlns:a16="http://schemas.microsoft.com/office/drawing/2014/main" id="{00000000-0008-0000-03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40</xdr:row>
          <xdr:rowOff>184150</xdr:rowOff>
        </xdr:from>
        <xdr:to>
          <xdr:col>3</xdr:col>
          <xdr:colOff>1231900</xdr:colOff>
          <xdr:row>41</xdr:row>
          <xdr:rowOff>184150</xdr:rowOff>
        </xdr:to>
        <xdr:sp macro="" textlink="">
          <xdr:nvSpPr>
            <xdr:cNvPr id="1093" name="chk_depr_type" hidden="1">
              <a:extLst>
                <a:ext uri="{63B3BB69-23CF-44E3-9099-C40C66FF867C}">
                  <a14:compatExt spid="_x0000_s1093"/>
                </a:ext>
                <a:ext uri="{FF2B5EF4-FFF2-40B4-BE49-F238E27FC236}">
                  <a16:creationId xmlns:a16="http://schemas.microsoft.com/office/drawing/2014/main" id="{00000000-0008-0000-0300-00004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42</xdr:row>
          <xdr:rowOff>12700</xdr:rowOff>
        </xdr:from>
        <xdr:to>
          <xdr:col>3</xdr:col>
          <xdr:colOff>1231900</xdr:colOff>
          <xdr:row>43</xdr:row>
          <xdr:rowOff>12700</xdr:rowOff>
        </xdr:to>
        <xdr:sp macro="" textlink="">
          <xdr:nvSpPr>
            <xdr:cNvPr id="1096" name="chk_equity" hidden="1">
              <a:extLst>
                <a:ext uri="{63B3BB69-23CF-44E3-9099-C40C66FF867C}">
                  <a14:compatExt spid="_x0000_s1096"/>
                </a:ext>
                <a:ext uri="{FF2B5EF4-FFF2-40B4-BE49-F238E27FC236}">
                  <a16:creationId xmlns:a16="http://schemas.microsoft.com/office/drawing/2014/main" id="{00000000-0008-0000-0300-00004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29</xdr:row>
          <xdr:rowOff>12700</xdr:rowOff>
        </xdr:from>
        <xdr:to>
          <xdr:col>3</xdr:col>
          <xdr:colOff>1231900</xdr:colOff>
          <xdr:row>30</xdr:row>
          <xdr:rowOff>31750</xdr:rowOff>
        </xdr:to>
        <xdr:sp macro="" textlink="">
          <xdr:nvSpPr>
            <xdr:cNvPr id="1097" name="chk_ref_year" hidden="1">
              <a:extLst>
                <a:ext uri="{63B3BB69-23CF-44E3-9099-C40C66FF867C}">
                  <a14:compatExt spid="_x0000_s1097"/>
                </a:ext>
                <a:ext uri="{FF2B5EF4-FFF2-40B4-BE49-F238E27FC236}">
                  <a16:creationId xmlns:a16="http://schemas.microsoft.com/office/drawing/2014/main" id="{00000000-0008-0000-0300-00004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48</xdr:row>
          <xdr:rowOff>12700</xdr:rowOff>
        </xdr:from>
        <xdr:to>
          <xdr:col>3</xdr:col>
          <xdr:colOff>1231900</xdr:colOff>
          <xdr:row>49</xdr:row>
          <xdr:rowOff>12700</xdr:rowOff>
        </xdr:to>
        <xdr:sp macro="" textlink="">
          <xdr:nvSpPr>
            <xdr:cNvPr id="1098" name="chk_decom_percent" hidden="1">
              <a:extLst>
                <a:ext uri="{63B3BB69-23CF-44E3-9099-C40C66FF867C}">
                  <a14:compatExt spid="_x0000_s1098"/>
                </a:ext>
                <a:ext uri="{FF2B5EF4-FFF2-40B4-BE49-F238E27FC236}">
                  <a16:creationId xmlns:a16="http://schemas.microsoft.com/office/drawing/2014/main" id="{00000000-0008-0000-0300-00004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49</xdr:row>
          <xdr:rowOff>12700</xdr:rowOff>
        </xdr:from>
        <xdr:to>
          <xdr:col>3</xdr:col>
          <xdr:colOff>1231900</xdr:colOff>
          <xdr:row>50</xdr:row>
          <xdr:rowOff>12700</xdr:rowOff>
        </xdr:to>
        <xdr:sp macro="" textlink="">
          <xdr:nvSpPr>
            <xdr:cNvPr id="1109" name="chk_salvage_perct" hidden="1">
              <a:extLst>
                <a:ext uri="{63B3BB69-23CF-44E3-9099-C40C66FF867C}">
                  <a14:compatExt spid="_x0000_s1109"/>
                </a:ext>
                <a:ext uri="{FF2B5EF4-FFF2-40B4-BE49-F238E27FC236}">
                  <a16:creationId xmlns:a16="http://schemas.microsoft.com/office/drawing/2014/main" id="{00000000-0008-0000-0300-00005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50</xdr:row>
          <xdr:rowOff>12700</xdr:rowOff>
        </xdr:from>
        <xdr:to>
          <xdr:col>3</xdr:col>
          <xdr:colOff>1231900</xdr:colOff>
          <xdr:row>51</xdr:row>
          <xdr:rowOff>12700</xdr:rowOff>
        </xdr:to>
        <xdr:sp macro="" textlink="">
          <xdr:nvSpPr>
            <xdr:cNvPr id="1110" name="chk_inflation_rate" hidden="1">
              <a:extLst>
                <a:ext uri="{63B3BB69-23CF-44E3-9099-C40C66FF867C}">
                  <a14:compatExt spid="_x0000_s1110"/>
                </a:ext>
                <a:ext uri="{FF2B5EF4-FFF2-40B4-BE49-F238E27FC236}">
                  <a16:creationId xmlns:a16="http://schemas.microsoft.com/office/drawing/2014/main" id="{00000000-0008-0000-0300-00005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51</xdr:row>
          <xdr:rowOff>12700</xdr:rowOff>
        </xdr:from>
        <xdr:to>
          <xdr:col>3</xdr:col>
          <xdr:colOff>1231900</xdr:colOff>
          <xdr:row>52</xdr:row>
          <xdr:rowOff>12700</xdr:rowOff>
        </xdr:to>
        <xdr:sp macro="" textlink="">
          <xdr:nvSpPr>
            <xdr:cNvPr id="1111" name="chk_real_irr" hidden="1">
              <a:extLst>
                <a:ext uri="{63B3BB69-23CF-44E3-9099-C40C66FF867C}">
                  <a14:compatExt spid="_x0000_s1111"/>
                </a:ext>
                <a:ext uri="{FF2B5EF4-FFF2-40B4-BE49-F238E27FC236}">
                  <a16:creationId xmlns:a16="http://schemas.microsoft.com/office/drawing/2014/main" id="{00000000-0008-0000-03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52</xdr:row>
          <xdr:rowOff>12700</xdr:rowOff>
        </xdr:from>
        <xdr:to>
          <xdr:col>3</xdr:col>
          <xdr:colOff>1231900</xdr:colOff>
          <xdr:row>53</xdr:row>
          <xdr:rowOff>12700</xdr:rowOff>
        </xdr:to>
        <xdr:sp macro="" textlink="">
          <xdr:nvSpPr>
            <xdr:cNvPr id="1112" name="chk_state_tax_rate" hidden="1">
              <a:extLst>
                <a:ext uri="{63B3BB69-23CF-44E3-9099-C40C66FF867C}">
                  <a14:compatExt spid="_x0000_s1112"/>
                </a:ext>
                <a:ext uri="{FF2B5EF4-FFF2-40B4-BE49-F238E27FC236}">
                  <a16:creationId xmlns:a16="http://schemas.microsoft.com/office/drawing/2014/main" id="{00000000-0008-0000-0300-00005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53</xdr:row>
          <xdr:rowOff>12700</xdr:rowOff>
        </xdr:from>
        <xdr:to>
          <xdr:col>3</xdr:col>
          <xdr:colOff>1231900</xdr:colOff>
          <xdr:row>54</xdr:row>
          <xdr:rowOff>12700</xdr:rowOff>
        </xdr:to>
        <xdr:sp macro="" textlink="">
          <xdr:nvSpPr>
            <xdr:cNvPr id="1113" name="chk_fed_tax_rate" hidden="1">
              <a:extLst>
                <a:ext uri="{63B3BB69-23CF-44E3-9099-C40C66FF867C}">
                  <a14:compatExt spid="_x0000_s1113"/>
                </a:ext>
                <a:ext uri="{FF2B5EF4-FFF2-40B4-BE49-F238E27FC236}">
                  <a16:creationId xmlns:a16="http://schemas.microsoft.com/office/drawing/2014/main" id="{00000000-0008-0000-03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55</xdr:row>
          <xdr:rowOff>12700</xdr:rowOff>
        </xdr:from>
        <xdr:to>
          <xdr:col>3</xdr:col>
          <xdr:colOff>1231900</xdr:colOff>
          <xdr:row>56</xdr:row>
          <xdr:rowOff>12700</xdr:rowOff>
        </xdr:to>
        <xdr:sp macro="" textlink="">
          <xdr:nvSpPr>
            <xdr:cNvPr id="1114" name="chk_WorkingCap" hidden="1">
              <a:extLst>
                <a:ext uri="{63B3BB69-23CF-44E3-9099-C40C66FF867C}">
                  <a14:compatExt spid="_x0000_s1114"/>
                </a:ext>
                <a:ext uri="{FF2B5EF4-FFF2-40B4-BE49-F238E27FC236}">
                  <a16:creationId xmlns:a16="http://schemas.microsoft.com/office/drawing/2014/main" id="{00000000-0008-0000-03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113</xdr:row>
          <xdr:rowOff>12700</xdr:rowOff>
        </xdr:from>
        <xdr:to>
          <xdr:col>3</xdr:col>
          <xdr:colOff>1162050</xdr:colOff>
          <xdr:row>114</xdr:row>
          <xdr:rowOff>31750</xdr:rowOff>
        </xdr:to>
        <xdr:sp macro="" textlink="">
          <xdr:nvSpPr>
            <xdr:cNvPr id="1173" name="chk_overhead_rate" hidden="1">
              <a:extLst>
                <a:ext uri="{63B3BB69-23CF-44E3-9099-C40C66FF867C}">
                  <a14:compatExt spid="_x0000_s1173"/>
                </a:ext>
                <a:ext uri="{FF2B5EF4-FFF2-40B4-BE49-F238E27FC236}">
                  <a16:creationId xmlns:a16="http://schemas.microsoft.com/office/drawing/2014/main" id="{00000000-0008-0000-0300-00009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116</xdr:row>
          <xdr:rowOff>38100</xdr:rowOff>
        </xdr:from>
        <xdr:to>
          <xdr:col>3</xdr:col>
          <xdr:colOff>1085850</xdr:colOff>
          <xdr:row>116</xdr:row>
          <xdr:rowOff>247650</xdr:rowOff>
        </xdr:to>
        <xdr:sp macro="" textlink="">
          <xdr:nvSpPr>
            <xdr:cNvPr id="1174" name="chk_tax_ins_rate" hidden="1">
              <a:extLst>
                <a:ext uri="{63B3BB69-23CF-44E3-9099-C40C66FF867C}">
                  <a14:compatExt spid="_x0000_s1174"/>
                </a:ext>
                <a:ext uri="{FF2B5EF4-FFF2-40B4-BE49-F238E27FC236}">
                  <a16:creationId xmlns:a16="http://schemas.microsoft.com/office/drawing/2014/main" id="{00000000-0008-0000-0300-00009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184150</xdr:colOff>
          <xdr:row>154</xdr:row>
          <xdr:rowOff>12700</xdr:rowOff>
        </xdr:from>
        <xdr:to>
          <xdr:col>5</xdr:col>
          <xdr:colOff>1212850</xdr:colOff>
          <xdr:row>155</xdr:row>
          <xdr:rowOff>12700</xdr:rowOff>
        </xdr:to>
        <xdr:sp macro="" textlink="">
          <xdr:nvSpPr>
            <xdr:cNvPr id="1175" name="chk_royalties" hidden="1">
              <a:extLst>
                <a:ext uri="{63B3BB69-23CF-44E3-9099-C40C66FF867C}">
                  <a14:compatExt spid="_x0000_s1175"/>
                </a:ext>
                <a:ext uri="{FF2B5EF4-FFF2-40B4-BE49-F238E27FC236}">
                  <a16:creationId xmlns:a16="http://schemas.microsoft.com/office/drawing/2014/main" id="{00000000-0008-0000-0300-00009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184150</xdr:colOff>
          <xdr:row>155</xdr:row>
          <xdr:rowOff>12700</xdr:rowOff>
        </xdr:from>
        <xdr:to>
          <xdr:col>5</xdr:col>
          <xdr:colOff>1212850</xdr:colOff>
          <xdr:row>156</xdr:row>
          <xdr:rowOff>12700</xdr:rowOff>
        </xdr:to>
        <xdr:sp macro="" textlink="">
          <xdr:nvSpPr>
            <xdr:cNvPr id="1176" name="chk_operator_profit" hidden="1">
              <a:extLst>
                <a:ext uri="{63B3BB69-23CF-44E3-9099-C40C66FF867C}">
                  <a14:compatExt spid="_x0000_s1176"/>
                </a:ext>
                <a:ext uri="{FF2B5EF4-FFF2-40B4-BE49-F238E27FC236}">
                  <a16:creationId xmlns:a16="http://schemas.microsoft.com/office/drawing/2014/main" id="{00000000-0008-0000-0300-00009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184150</xdr:colOff>
          <xdr:row>156</xdr:row>
          <xdr:rowOff>0</xdr:rowOff>
        </xdr:from>
        <xdr:to>
          <xdr:col>5</xdr:col>
          <xdr:colOff>1212850</xdr:colOff>
          <xdr:row>157</xdr:row>
          <xdr:rowOff>0</xdr:rowOff>
        </xdr:to>
        <xdr:sp macro="" textlink="">
          <xdr:nvSpPr>
            <xdr:cNvPr id="1177" name="chk_tax_credit" hidden="1">
              <a:extLst>
                <a:ext uri="{63B3BB69-23CF-44E3-9099-C40C66FF867C}">
                  <a14:compatExt spid="_x0000_s1177"/>
                </a:ext>
                <a:ext uri="{FF2B5EF4-FFF2-40B4-BE49-F238E27FC236}">
                  <a16:creationId xmlns:a16="http://schemas.microsoft.com/office/drawing/2014/main" id="{00000000-0008-0000-0300-00009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184150</xdr:colOff>
          <xdr:row>158</xdr:row>
          <xdr:rowOff>0</xdr:rowOff>
        </xdr:from>
        <xdr:to>
          <xdr:col>5</xdr:col>
          <xdr:colOff>1212850</xdr:colOff>
          <xdr:row>159</xdr:row>
          <xdr:rowOff>0</xdr:rowOff>
        </xdr:to>
        <xdr:sp macro="" textlink="">
          <xdr:nvSpPr>
            <xdr:cNvPr id="1223" name="chk_Proc_CO2_tax" hidden="1">
              <a:extLst>
                <a:ext uri="{63B3BB69-23CF-44E3-9099-C40C66FF867C}">
                  <a14:compatExt spid="_x0000_s1223"/>
                </a:ext>
                <a:ext uri="{FF2B5EF4-FFF2-40B4-BE49-F238E27FC236}">
                  <a16:creationId xmlns:a16="http://schemas.microsoft.com/office/drawing/2014/main" id="{00000000-0008-0000-0300-0000C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184150</xdr:colOff>
          <xdr:row>160</xdr:row>
          <xdr:rowOff>0</xdr:rowOff>
        </xdr:from>
        <xdr:to>
          <xdr:col>5</xdr:col>
          <xdr:colOff>1212850</xdr:colOff>
          <xdr:row>161</xdr:row>
          <xdr:rowOff>0</xdr:rowOff>
        </xdr:to>
        <xdr:sp macro="" textlink="">
          <xdr:nvSpPr>
            <xdr:cNvPr id="1224" name="chk_Upstream_CO2_tax" hidden="1">
              <a:extLst>
                <a:ext uri="{63B3BB69-23CF-44E3-9099-C40C66FF867C}">
                  <a14:compatExt spid="_x0000_s1224"/>
                </a:ext>
                <a:ext uri="{FF2B5EF4-FFF2-40B4-BE49-F238E27FC236}">
                  <a16:creationId xmlns:a16="http://schemas.microsoft.com/office/drawing/2014/main" id="{00000000-0008-0000-0300-0000C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887505</xdr:colOff>
      <xdr:row>4</xdr:row>
      <xdr:rowOff>35859</xdr:rowOff>
    </xdr:from>
    <xdr:to>
      <xdr:col>6</xdr:col>
      <xdr:colOff>1045029</xdr:colOff>
      <xdr:row>22</xdr:row>
      <xdr:rowOff>32933</xdr:rowOff>
    </xdr:to>
    <xdr:graphicFrame macro="">
      <xdr:nvGraphicFramePr>
        <xdr:cNvPr id="43" name="Chart 42">
          <a:extLst>
            <a:ext uri="{FF2B5EF4-FFF2-40B4-BE49-F238E27FC236}">
              <a16:creationId xmlns:a16="http://schemas.microsoft.com/office/drawing/2014/main" id="{00000000-0008-0000-03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3537856</xdr:colOff>
      <xdr:row>5</xdr:row>
      <xdr:rowOff>21771</xdr:rowOff>
    </xdr:from>
    <xdr:to>
      <xdr:col>2</xdr:col>
      <xdr:colOff>598713</xdr:colOff>
      <xdr:row>6</xdr:row>
      <xdr:rowOff>161108</xdr:rowOff>
    </xdr:to>
    <xdr:sp macro="[0]!ProjInfo" textlink="">
      <xdr:nvSpPr>
        <xdr:cNvPr id="2" name="Rounded Rectangle 1">
          <a:extLst>
            <a:ext uri="{FF2B5EF4-FFF2-40B4-BE49-F238E27FC236}">
              <a16:creationId xmlns:a16="http://schemas.microsoft.com/office/drawing/2014/main" id="{00000000-0008-0000-0300-000002000000}"/>
            </a:ext>
          </a:extLst>
        </xdr:cNvPr>
        <xdr:cNvSpPr/>
      </xdr:nvSpPr>
      <xdr:spPr>
        <a:xfrm>
          <a:off x="3842656" y="1088571"/>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Project</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 Info</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1</xdr:col>
      <xdr:colOff>3537856</xdr:colOff>
      <xdr:row>7</xdr:row>
      <xdr:rowOff>97971</xdr:rowOff>
    </xdr:from>
    <xdr:to>
      <xdr:col>2</xdr:col>
      <xdr:colOff>598713</xdr:colOff>
      <xdr:row>8</xdr:row>
      <xdr:rowOff>139337</xdr:rowOff>
    </xdr:to>
    <xdr:sp macro="[0]!ShowKey" textlink="">
      <xdr:nvSpPr>
        <xdr:cNvPr id="3" name="Rounded Rectangle 2">
          <a:extLst>
            <a:ext uri="{FF2B5EF4-FFF2-40B4-BE49-F238E27FC236}">
              <a16:creationId xmlns:a16="http://schemas.microsoft.com/office/drawing/2014/main" id="{00000000-0008-0000-0300-000003000000}"/>
            </a:ext>
          </a:extLst>
        </xdr:cNvPr>
        <xdr:cNvSpPr/>
      </xdr:nvSpPr>
      <xdr:spPr>
        <a:xfrm>
          <a:off x="3842656" y="1709057"/>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twoCellAnchor>
    <xdr:from>
      <xdr:col>1</xdr:col>
      <xdr:colOff>3537856</xdr:colOff>
      <xdr:row>9</xdr:row>
      <xdr:rowOff>32656</xdr:rowOff>
    </xdr:from>
    <xdr:to>
      <xdr:col>2</xdr:col>
      <xdr:colOff>598713</xdr:colOff>
      <xdr:row>11</xdr:row>
      <xdr:rowOff>-1</xdr:rowOff>
    </xdr:to>
    <xdr:sp macro="[0]!UseDefaultValues" textlink="">
      <xdr:nvSpPr>
        <xdr:cNvPr id="47" name="Rounded Rectangle 46">
          <a:extLst>
            <a:ext uri="{FF2B5EF4-FFF2-40B4-BE49-F238E27FC236}">
              <a16:creationId xmlns:a16="http://schemas.microsoft.com/office/drawing/2014/main" id="{00000000-0008-0000-0300-00002F000000}"/>
            </a:ext>
          </a:extLst>
        </xdr:cNvPr>
        <xdr:cNvSpPr/>
      </xdr:nvSpPr>
      <xdr:spPr>
        <a:xfrm>
          <a:off x="3842656" y="2285999"/>
          <a:ext cx="1371600" cy="511629"/>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3</xdr:col>
      <xdr:colOff>468087</xdr:colOff>
      <xdr:row>65</xdr:row>
      <xdr:rowOff>152004</xdr:rowOff>
    </xdr:from>
    <xdr:to>
      <xdr:col>4</xdr:col>
      <xdr:colOff>1110343</xdr:colOff>
      <xdr:row>67</xdr:row>
      <xdr:rowOff>32657</xdr:rowOff>
    </xdr:to>
    <xdr:sp macro="[0]!EnterPrice" textlink="">
      <xdr:nvSpPr>
        <xdr:cNvPr id="48" name="Rounded Rectangle 47">
          <a:extLst>
            <a:ext uri="{FF2B5EF4-FFF2-40B4-BE49-F238E27FC236}">
              <a16:creationId xmlns:a16="http://schemas.microsoft.com/office/drawing/2014/main" id="{00000000-0008-0000-0300-000030000000}"/>
            </a:ext>
          </a:extLst>
        </xdr:cNvPr>
        <xdr:cNvSpPr/>
      </xdr:nvSpPr>
      <xdr:spPr>
        <a:xfrm>
          <a:off x="6531430" y="15370233"/>
          <a:ext cx="2024742" cy="359624"/>
        </a:xfrm>
        <a:prstGeom prst="roundRect">
          <a:avLst/>
        </a:prstGeom>
        <a:solidFill>
          <a:srgbClr val="FFCC99"/>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000000"/>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Cost Manually</a:t>
          </a:r>
        </a:p>
      </xdr:txBody>
    </xdr:sp>
    <xdr:clientData/>
  </xdr:twoCellAnchor>
  <xdr:twoCellAnchor>
    <xdr:from>
      <xdr:col>5</xdr:col>
      <xdr:colOff>239485</xdr:colOff>
      <xdr:row>70</xdr:row>
      <xdr:rowOff>152401</xdr:rowOff>
    </xdr:from>
    <xdr:to>
      <xdr:col>5</xdr:col>
      <xdr:colOff>1338942</xdr:colOff>
      <xdr:row>71</xdr:row>
      <xdr:rowOff>315686</xdr:rowOff>
    </xdr:to>
    <xdr:sp macro="[0]!Delete" textlink="">
      <xdr:nvSpPr>
        <xdr:cNvPr id="49" name="Rounded Rectangle 48">
          <a:extLst>
            <a:ext uri="{FF2B5EF4-FFF2-40B4-BE49-F238E27FC236}">
              <a16:creationId xmlns:a16="http://schemas.microsoft.com/office/drawing/2014/main" id="{00000000-0008-0000-0300-000031000000}"/>
            </a:ext>
          </a:extLst>
        </xdr:cNvPr>
        <xdr:cNvSpPr/>
      </xdr:nvSpPr>
      <xdr:spPr>
        <a:xfrm>
          <a:off x="9350828" y="16568058"/>
          <a:ext cx="1099457" cy="402771"/>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2</xdr:col>
      <xdr:colOff>228601</xdr:colOff>
      <xdr:row>70</xdr:row>
      <xdr:rowOff>163286</xdr:rowOff>
    </xdr:from>
    <xdr:to>
      <xdr:col>2</xdr:col>
      <xdr:colOff>1186544</xdr:colOff>
      <xdr:row>71</xdr:row>
      <xdr:rowOff>315685</xdr:rowOff>
    </xdr:to>
    <xdr:sp macro="[0]!Add" textlink="">
      <xdr:nvSpPr>
        <xdr:cNvPr id="50" name="Rounded Rectangle 49">
          <a:extLst>
            <a:ext uri="{FF2B5EF4-FFF2-40B4-BE49-F238E27FC236}">
              <a16:creationId xmlns:a16="http://schemas.microsoft.com/office/drawing/2014/main" id="{00000000-0008-0000-0300-000032000000}"/>
            </a:ext>
          </a:extLst>
        </xdr:cNvPr>
        <xdr:cNvSpPr/>
      </xdr:nvSpPr>
      <xdr:spPr>
        <a:xfrm>
          <a:off x="4844144" y="16578943"/>
          <a:ext cx="957943" cy="39188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3</xdr:col>
      <xdr:colOff>806184</xdr:colOff>
      <xdr:row>130</xdr:row>
      <xdr:rowOff>289433</xdr:rowOff>
    </xdr:from>
    <xdr:to>
      <xdr:col>5</xdr:col>
      <xdr:colOff>681318</xdr:colOff>
      <xdr:row>132</xdr:row>
      <xdr:rowOff>26895</xdr:rowOff>
    </xdr:to>
    <xdr:sp macro="[0]!EnterPrices2" textlink="">
      <xdr:nvSpPr>
        <xdr:cNvPr id="51" name="Rounded Rectangle 50">
          <a:extLst>
            <a:ext uri="{FF2B5EF4-FFF2-40B4-BE49-F238E27FC236}">
              <a16:creationId xmlns:a16="http://schemas.microsoft.com/office/drawing/2014/main" id="{00000000-0008-0000-0300-000033000000}"/>
            </a:ext>
          </a:extLst>
        </xdr:cNvPr>
        <xdr:cNvSpPr/>
      </xdr:nvSpPr>
      <xdr:spPr>
        <a:xfrm>
          <a:off x="6875290" y="33647104"/>
          <a:ext cx="2923134" cy="27534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FFFFFF"/>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Cost Tables</a:t>
          </a:r>
        </a:p>
      </xdr:txBody>
    </xdr:sp>
    <xdr:clientData/>
  </xdr:twoCellAnchor>
  <xdr:twoCellAnchor>
    <xdr:from>
      <xdr:col>3</xdr:col>
      <xdr:colOff>789535</xdr:colOff>
      <xdr:row>133</xdr:row>
      <xdr:rowOff>143435</xdr:rowOff>
    </xdr:from>
    <xdr:to>
      <xdr:col>4</xdr:col>
      <xdr:colOff>645460</xdr:colOff>
      <xdr:row>134</xdr:row>
      <xdr:rowOff>295836</xdr:rowOff>
    </xdr:to>
    <xdr:sp macro="[0]!AddTwo" textlink="">
      <xdr:nvSpPr>
        <xdr:cNvPr id="52" name="Rounded Rectangle 51">
          <a:extLst>
            <a:ext uri="{FF2B5EF4-FFF2-40B4-BE49-F238E27FC236}">
              <a16:creationId xmlns:a16="http://schemas.microsoft.com/office/drawing/2014/main" id="{00000000-0008-0000-0300-000034000000}"/>
            </a:ext>
          </a:extLst>
        </xdr:cNvPr>
        <xdr:cNvSpPr/>
      </xdr:nvSpPr>
      <xdr:spPr>
        <a:xfrm>
          <a:off x="6858641" y="34272070"/>
          <a:ext cx="1236490" cy="39444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5</xdr:col>
      <xdr:colOff>152401</xdr:colOff>
      <xdr:row>133</xdr:row>
      <xdr:rowOff>152400</xdr:rowOff>
    </xdr:from>
    <xdr:to>
      <xdr:col>5</xdr:col>
      <xdr:colOff>1156447</xdr:colOff>
      <xdr:row>135</xdr:row>
      <xdr:rowOff>3841</xdr:rowOff>
    </xdr:to>
    <xdr:sp macro="[0]!DeleteTwo" textlink="">
      <xdr:nvSpPr>
        <xdr:cNvPr id="53" name="Rounded Rectangle 52">
          <a:extLst>
            <a:ext uri="{FF2B5EF4-FFF2-40B4-BE49-F238E27FC236}">
              <a16:creationId xmlns:a16="http://schemas.microsoft.com/office/drawing/2014/main" id="{00000000-0008-0000-0300-000035000000}"/>
            </a:ext>
          </a:extLst>
        </xdr:cNvPr>
        <xdr:cNvSpPr/>
      </xdr:nvSpPr>
      <xdr:spPr>
        <a:xfrm>
          <a:off x="9269507" y="34281035"/>
          <a:ext cx="1004046" cy="39828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3</xdr:col>
      <xdr:colOff>35860</xdr:colOff>
      <xdr:row>153</xdr:row>
      <xdr:rowOff>17930</xdr:rowOff>
    </xdr:from>
    <xdr:to>
      <xdr:col>4</xdr:col>
      <xdr:colOff>762001</xdr:colOff>
      <xdr:row>153</xdr:row>
      <xdr:rowOff>331695</xdr:rowOff>
    </xdr:to>
    <xdr:sp macro="[0]!EnterSpecificCosts" textlink="">
      <xdr:nvSpPr>
        <xdr:cNvPr id="54" name="Rounded Rectangle 53">
          <a:extLst>
            <a:ext uri="{FF2B5EF4-FFF2-40B4-BE49-F238E27FC236}">
              <a16:creationId xmlns:a16="http://schemas.microsoft.com/office/drawing/2014/main" id="{00000000-0008-0000-0300-000036000000}"/>
            </a:ext>
          </a:extLst>
        </xdr:cNvPr>
        <xdr:cNvSpPr/>
      </xdr:nvSpPr>
      <xdr:spPr>
        <a:xfrm>
          <a:off x="6104966" y="40054306"/>
          <a:ext cx="2106706" cy="31376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Specific Costs</a:t>
          </a:r>
        </a:p>
      </xdr:txBody>
    </xdr:sp>
    <xdr:clientData/>
  </xdr:twoCellAnchor>
  <xdr:twoCellAnchor>
    <xdr:from>
      <xdr:col>4</xdr:col>
      <xdr:colOff>87085</xdr:colOff>
      <xdr:row>2</xdr:row>
      <xdr:rowOff>32658</xdr:rowOff>
    </xdr:from>
    <xdr:to>
      <xdr:col>5</xdr:col>
      <xdr:colOff>424542</xdr:colOff>
      <xdr:row>3</xdr:row>
      <xdr:rowOff>54429</xdr:rowOff>
    </xdr:to>
    <xdr:sp macro="[0]!ViewDescription" textlink="">
      <xdr:nvSpPr>
        <xdr:cNvPr id="5" name="Rounded Rectangle 4">
          <a:extLst>
            <a:ext uri="{FF2B5EF4-FFF2-40B4-BE49-F238E27FC236}">
              <a16:creationId xmlns:a16="http://schemas.microsoft.com/office/drawing/2014/main" id="{00000000-0008-0000-0300-000005000000}"/>
            </a:ext>
          </a:extLst>
        </xdr:cNvPr>
        <xdr:cNvSpPr/>
      </xdr:nvSpPr>
      <xdr:spPr>
        <a:xfrm>
          <a:off x="7532914" y="489858"/>
          <a:ext cx="2002971" cy="27214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 Description</a:t>
          </a:r>
        </a:p>
      </xdr:txBody>
    </xdr:sp>
    <xdr:clientData/>
  </xdr:twoCellAnchor>
  <xdr:twoCellAnchor>
    <xdr:from>
      <xdr:col>3</xdr:col>
      <xdr:colOff>33129</xdr:colOff>
      <xdr:row>86</xdr:row>
      <xdr:rowOff>205408</xdr:rowOff>
    </xdr:from>
    <xdr:to>
      <xdr:col>3</xdr:col>
      <xdr:colOff>1351721</xdr:colOff>
      <xdr:row>88</xdr:row>
      <xdr:rowOff>6625</xdr:rowOff>
    </xdr:to>
    <xdr:sp macro="[0]!ViewEdit" textlink="">
      <xdr:nvSpPr>
        <xdr:cNvPr id="56" name="Rounded Rectangle 55">
          <a:extLst>
            <a:ext uri="{FF2B5EF4-FFF2-40B4-BE49-F238E27FC236}">
              <a16:creationId xmlns:a16="http://schemas.microsoft.com/office/drawing/2014/main" id="{00000000-0008-0000-0300-000038000000}"/>
            </a:ext>
          </a:extLst>
        </xdr:cNvPr>
        <xdr:cNvSpPr/>
      </xdr:nvSpPr>
      <xdr:spPr>
        <a:xfrm>
          <a:off x="6102625" y="21382382"/>
          <a:ext cx="1318592" cy="265043"/>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/Edit</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3</xdr:col>
      <xdr:colOff>26030</xdr:colOff>
      <xdr:row>88</xdr:row>
      <xdr:rowOff>20351</xdr:rowOff>
    </xdr:from>
    <xdr:to>
      <xdr:col>3</xdr:col>
      <xdr:colOff>1364974</xdr:colOff>
      <xdr:row>90</xdr:row>
      <xdr:rowOff>0</xdr:rowOff>
    </xdr:to>
    <xdr:sp macro="[0]!LinkToDetailedSheet" textlink="">
      <xdr:nvSpPr>
        <xdr:cNvPr id="57" name="Rounded Rectangle 56">
          <a:extLst>
            <a:ext uri="{FF2B5EF4-FFF2-40B4-BE49-F238E27FC236}">
              <a16:creationId xmlns:a16="http://schemas.microsoft.com/office/drawing/2014/main" id="{00000000-0008-0000-0300-000039000000}"/>
            </a:ext>
          </a:extLst>
        </xdr:cNvPr>
        <xdr:cNvSpPr/>
      </xdr:nvSpPr>
      <xdr:spPr>
        <a:xfrm>
          <a:off x="6095136" y="21804586"/>
          <a:ext cx="1338944" cy="62510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Unlink</a:t>
          </a:r>
        </a:p>
      </xdr:txBody>
    </xdr:sp>
    <xdr:clientData/>
  </xdr:twoCellAnchor>
</xdr:wsDr>
</file>

<file path=xl/drawings/drawing5.xml><?xml version="1.0" encoding="utf-8"?>
<c:userShapes xmlns:c="http://schemas.openxmlformats.org/drawingml/2006/chart">
  <cdr:relSizeAnchor xmlns:cdr="http://schemas.openxmlformats.org/drawingml/2006/chartDrawing">
    <cdr:from>
      <cdr:x>0.47411</cdr:x>
      <cdr:y>0.12998</cdr:y>
    </cdr:from>
    <cdr:to>
      <cdr:x>0.47411</cdr:x>
      <cdr:y>0.76626</cdr:y>
    </cdr:to>
    <cdr:sp macro="" textlink="">
      <cdr:nvSpPr>
        <cdr:cNvPr id="3073" name="Line 1025"/>
        <cdr:cNvSpPr>
          <a:spLocks xmlns:a="http://schemas.openxmlformats.org/drawingml/2006/main" noChangeShapeType="1"/>
        </cdr:cNvSpPr>
      </cdr:nvSpPr>
      <cdr:spPr bwMode="auto">
        <a:xfrm xmlns:a="http://schemas.openxmlformats.org/drawingml/2006/main" flipV="1">
          <a:off x="350902" y="98504"/>
          <a:ext cx="0" cy="466665"/>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0.46454</cdr:x>
      <cdr:y>0.16565</cdr:y>
    </cdr:from>
    <cdr:to>
      <cdr:x>0.46846</cdr:x>
      <cdr:y>0.16565</cdr:y>
    </cdr:to>
    <cdr:sp macro="" textlink="">
      <cdr:nvSpPr>
        <cdr:cNvPr id="3074" name="Line 1026"/>
        <cdr:cNvSpPr>
          <a:spLocks xmlns:a="http://schemas.openxmlformats.org/drawingml/2006/main" noChangeShapeType="1"/>
        </cdr:cNvSpPr>
      </cdr:nvSpPr>
      <cdr:spPr bwMode="auto">
        <a:xfrm xmlns:a="http://schemas.openxmlformats.org/drawingml/2006/main" flipH="1">
          <a:off x="343882" y="124669"/>
          <a:ext cx="287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5" name="Text Box 1027"/>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dr:relSizeAnchor xmlns:cdr="http://schemas.openxmlformats.org/drawingml/2006/chartDrawing">
    <cdr:from>
      <cdr:x>0.47999</cdr:x>
      <cdr:y>0.16565</cdr:y>
    </cdr:from>
    <cdr:to>
      <cdr:x>0.48412</cdr:x>
      <cdr:y>0.16565</cdr:y>
    </cdr:to>
    <cdr:sp macro="" textlink="">
      <cdr:nvSpPr>
        <cdr:cNvPr id="3076" name="Line 1028"/>
        <cdr:cNvSpPr>
          <a:spLocks xmlns:a="http://schemas.openxmlformats.org/drawingml/2006/main" noChangeShapeType="1"/>
        </cdr:cNvSpPr>
      </cdr:nvSpPr>
      <cdr:spPr bwMode="auto">
        <a:xfrm xmlns:a="http://schemas.openxmlformats.org/drawingml/2006/main">
          <a:off x="355209" y="124669"/>
          <a:ext cx="303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7" name="Text Box 1029"/>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userShapes>
</file>

<file path=xl/drawings/drawing6.xml><?xml version="1.0" encoding="utf-8"?>
<c:userShapes xmlns:c="http://schemas.openxmlformats.org/drawingml/2006/chart">
  <cdr:relSizeAnchor xmlns:cdr="http://schemas.openxmlformats.org/drawingml/2006/chartDrawing">
    <cdr:from>
      <cdr:x>0.35699</cdr:x>
      <cdr:y>0.0197</cdr:y>
    </cdr:from>
    <cdr:to>
      <cdr:x>0.99403</cdr:x>
      <cdr:y>0.19837</cdr:y>
    </cdr:to>
    <cdr:sp macro="" textlink="">
      <cdr:nvSpPr>
        <cdr:cNvPr id="2" name="TextBox 1"/>
        <cdr:cNvSpPr txBox="1"/>
      </cdr:nvSpPr>
      <cdr:spPr>
        <a:xfrm xmlns:a="http://schemas.openxmlformats.org/drawingml/2006/main">
          <a:off x="2197242" y="89648"/>
          <a:ext cx="3920925" cy="81315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b="1">
              <a:latin typeface="Arial" panose="020B0604020202020204" pitchFamily="34" charset="0"/>
              <a:cs typeface="Arial" panose="020B0604020202020204" pitchFamily="34" charset="0"/>
            </a:rPr>
            <a:t>Real Levelized Values</a:t>
          </a:r>
          <a:endParaRPr lang="en-US" sz="1200" b="1" baseline="0">
            <a:latin typeface="Arial" panose="020B0604020202020204" pitchFamily="34" charset="0"/>
            <a:cs typeface="Arial" panose="020B0604020202020204" pitchFamily="34" charset="0"/>
          </a:endParaRPr>
        </a:p>
        <a:p xmlns:a="http://schemas.openxmlformats.org/drawingml/2006/main">
          <a:r>
            <a:rPr lang="en-US" sz="1050" baseline="0">
              <a:latin typeface="Arial" panose="020B0604020202020204" pitchFamily="34" charset="0"/>
              <a:cs typeface="Arial" panose="020B0604020202020204" pitchFamily="34" charset="0"/>
            </a:rPr>
            <a:t>(per kg H2)</a:t>
          </a:r>
          <a:endParaRPr lang="en-US" sz="105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0.11638</cdr:y>
    </cdr:from>
    <cdr:to>
      <cdr:x>0.19722</cdr:x>
      <cdr:y>0.17073</cdr:y>
    </cdr:to>
    <cdr:sp macro="" textlink="'Tornado Charts &amp; Risk Analysis'!$H$155">
      <cdr:nvSpPr>
        <cdr:cNvPr id="3" name="TextBox 2"/>
        <cdr:cNvSpPr txBox="1"/>
      </cdr:nvSpPr>
      <cdr:spPr>
        <a:xfrm xmlns:a="http://schemas.openxmlformats.org/drawingml/2006/main">
          <a:off x="0" y="513491"/>
          <a:ext cx="118250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A3CDD28-8A2D-431A-B7B4-B1D21BD1C060}" type="TxLink">
            <a:rPr lang="en-US" sz="1000" b="0" i="0" u="none" strike="noStrike">
              <a:solidFill>
                <a:srgbClr val="000000"/>
              </a:solidFill>
              <a:latin typeface="Arial"/>
              <a:cs typeface="Arial"/>
            </a:rPr>
            <a:pPr algn="l"/>
            <a:t>Cost of Hydrogen</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0.16861</cdr:y>
    </cdr:from>
    <cdr:to>
      <cdr:x>0.16871</cdr:x>
      <cdr:y>0.22296</cdr:y>
    </cdr:to>
    <cdr:sp macro="" textlink="'Tornado Charts &amp; Risk Analysis'!$H$156">
      <cdr:nvSpPr>
        <cdr:cNvPr id="4" name="TextBox 1"/>
        <cdr:cNvSpPr txBox="1"/>
      </cdr:nvSpPr>
      <cdr:spPr>
        <a:xfrm xmlns:a="http://schemas.openxmlformats.org/drawingml/2006/main">
          <a:off x="0" y="743940"/>
          <a:ext cx="1011559"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18FA9B1-ACA6-4CA6-8B28-2C40C8633412}" type="TxLink">
            <a:rPr lang="en-US" sz="1000" b="0" i="0" u="none" strike="noStrike">
              <a:solidFill>
                <a:srgbClr val="000000"/>
              </a:solidFill>
              <a:latin typeface="Arial"/>
              <a:cs typeface="Arial"/>
            </a:rPr>
            <a:pPr algn="l"/>
            <a:t>Salvage Value</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0.21963</cdr:y>
    </cdr:from>
    <cdr:to>
      <cdr:x>0.18653</cdr:x>
      <cdr:y>0.27398</cdr:y>
    </cdr:to>
    <cdr:sp macro="" textlink="'Tornado Charts &amp; Risk Analysis'!$H$157">
      <cdr:nvSpPr>
        <cdr:cNvPr id="5" name="TextBox 1"/>
        <cdr:cNvSpPr txBox="1"/>
      </cdr:nvSpPr>
      <cdr:spPr>
        <a:xfrm xmlns:a="http://schemas.openxmlformats.org/drawingml/2006/main">
          <a:off x="0" y="969050"/>
          <a:ext cx="111838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9F59C6F2-CE9C-4F7F-950B-2939B68EA195}" type="TxLink">
            <a:rPr lang="en-US" sz="1000" b="0" i="0" u="none" strike="noStrike">
              <a:solidFill>
                <a:srgbClr val="000000"/>
              </a:solidFill>
              <a:latin typeface="Arial"/>
              <a:cs typeface="Arial"/>
            </a:rPr>
            <a:pPr algn="l"/>
            <a:t>Byproduct Sales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0.32367</cdr:y>
    </cdr:from>
    <cdr:to>
      <cdr:x>0.17938</cdr:x>
      <cdr:y>0.37802</cdr:y>
    </cdr:to>
    <cdr:sp macro="" textlink="'Tornado Charts &amp; Risk Analysis'!$H$159">
      <cdr:nvSpPr>
        <cdr:cNvPr id="6" name="TextBox 1"/>
        <cdr:cNvSpPr txBox="1"/>
      </cdr:nvSpPr>
      <cdr:spPr>
        <a:xfrm xmlns:a="http://schemas.openxmlformats.org/drawingml/2006/main">
          <a:off x="0" y="1428094"/>
          <a:ext cx="107555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89015AD-7A8A-4A72-B5BB-86D2BC6F3CE7}" type="TxLink">
            <a:rPr lang="en-US" sz="1000" b="0" i="0" u="none" strike="noStrike">
              <a:solidFill>
                <a:srgbClr val="000000"/>
              </a:solidFill>
              <a:latin typeface="Arial"/>
              <a:cs typeface="Arial"/>
            </a:rPr>
            <a:pPr algn="l"/>
            <a:t>Feedstock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0.37484</cdr:y>
    </cdr:from>
    <cdr:to>
      <cdr:x>0.32917</cdr:x>
      <cdr:y>0.42919</cdr:y>
    </cdr:to>
    <cdr:sp macro="" textlink="'Tornado Charts &amp; Risk Analysis'!$H$160">
      <cdr:nvSpPr>
        <cdr:cNvPr id="7" name="TextBox 1"/>
        <cdr:cNvSpPr txBox="1"/>
      </cdr:nvSpPr>
      <cdr:spPr>
        <a:xfrm xmlns:a="http://schemas.openxmlformats.org/drawingml/2006/main">
          <a:off x="0" y="1653866"/>
          <a:ext cx="19736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E473AE1-DF0C-4CC3-9470-37DCE87FF09C}" type="TxLink">
            <a:rPr lang="en-US" sz="1000" b="0" i="0" u="none" strike="noStrike">
              <a:solidFill>
                <a:srgbClr val="000000"/>
              </a:solidFill>
              <a:latin typeface="Arial"/>
              <a:cs typeface="Arial"/>
            </a:rPr>
            <a:pPr algn="l"/>
            <a:t>Other Variable Operating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0.4268</cdr:y>
    </cdr:from>
    <cdr:to>
      <cdr:x>0.33866</cdr:x>
      <cdr:y>0.48115</cdr:y>
    </cdr:to>
    <cdr:sp macro="" textlink="'Tornado Charts &amp; Risk Analysis'!$H$161">
      <cdr:nvSpPr>
        <cdr:cNvPr id="8" name="TextBox 1"/>
        <cdr:cNvSpPr txBox="1"/>
      </cdr:nvSpPr>
      <cdr:spPr>
        <a:xfrm xmlns:a="http://schemas.openxmlformats.org/drawingml/2006/main">
          <a:off x="0" y="1883124"/>
          <a:ext cx="203055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F0805A6-3F80-4DE2-AFDF-411FAFF4BB01}" type="TxLink">
            <a:rPr lang="en-US" sz="1000" b="0" i="0" u="none" strike="noStrike">
              <a:solidFill>
                <a:srgbClr val="000000"/>
              </a:solidFill>
              <a:latin typeface="Arial"/>
              <a:cs typeface="Arial"/>
            </a:rPr>
            <a:pPr algn="l"/>
            <a:t>Initial Equity Depreciable Capital</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0.47843</cdr:y>
    </cdr:from>
    <cdr:to>
      <cdr:x>0.28397</cdr:x>
      <cdr:y>0.53278</cdr:y>
    </cdr:to>
    <cdr:sp macro="" textlink="'Tornado Charts &amp; Risk Analysis'!$H$162">
      <cdr:nvSpPr>
        <cdr:cNvPr id="9" name="TextBox 1"/>
        <cdr:cNvSpPr txBox="1"/>
      </cdr:nvSpPr>
      <cdr:spPr>
        <a:xfrm xmlns:a="http://schemas.openxmlformats.org/drawingml/2006/main">
          <a:off x="0" y="2110925"/>
          <a:ext cx="170264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D83F270E-8532-4B1B-8FFF-8C957F3EDBE2}" type="TxLink">
            <a:rPr lang="en-US" sz="1000" b="0" i="0" u="none" strike="noStrike">
              <a:solidFill>
                <a:srgbClr val="000000"/>
              </a:solidFill>
              <a:latin typeface="Arial"/>
              <a:cs typeface="Arial"/>
            </a:rPr>
            <a:pPr algn="l"/>
            <a:t>Yearly Replacement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0.53022</cdr:y>
    </cdr:from>
    <cdr:to>
      <cdr:x>0.23288</cdr:x>
      <cdr:y>0.58457</cdr:y>
    </cdr:to>
    <cdr:sp macro="" textlink="'Tornado Charts &amp; Risk Analysis'!$H$163">
      <cdr:nvSpPr>
        <cdr:cNvPr id="10" name="TextBox 1"/>
        <cdr:cNvSpPr txBox="1"/>
      </cdr:nvSpPr>
      <cdr:spPr>
        <a:xfrm xmlns:a="http://schemas.openxmlformats.org/drawingml/2006/main">
          <a:off x="0" y="2339432"/>
          <a:ext cx="1396280"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77E4170D-D6EA-4421-BAA5-6E7C9C2B9D7F}" type="TxLink">
            <a:rPr lang="en-US" sz="1000" b="0" i="0" u="none" strike="noStrike">
              <a:solidFill>
                <a:srgbClr val="000000"/>
              </a:solidFill>
              <a:latin typeface="Arial"/>
              <a:cs typeface="Arial"/>
            </a:rPr>
            <a:pPr algn="l"/>
            <a:t>Fixed Operating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0.58246</cdr:y>
    </cdr:from>
    <cdr:to>
      <cdr:x>0.15325</cdr:x>
      <cdr:y>0.63681</cdr:y>
    </cdr:to>
    <cdr:sp macro="" textlink="'Tornado Charts &amp; Risk Analysis'!$H$164">
      <cdr:nvSpPr>
        <cdr:cNvPr id="11" name="TextBox 1"/>
        <cdr:cNvSpPr txBox="1"/>
      </cdr:nvSpPr>
      <cdr:spPr>
        <a:xfrm xmlns:a="http://schemas.openxmlformats.org/drawingml/2006/main">
          <a:off x="0" y="2569925"/>
          <a:ext cx="91884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6F266C0-C7AB-4063-A6DE-39168ECD403F}" type="TxLink">
            <a:rPr lang="en-US" sz="1000" b="0" i="0" u="none" strike="noStrike">
              <a:solidFill>
                <a:srgbClr val="000000"/>
              </a:solidFill>
              <a:latin typeface="Arial"/>
              <a:cs typeface="Arial"/>
            </a:rPr>
            <a:pPr algn="l"/>
            <a:t>Debt Interest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0.63331</cdr:y>
    </cdr:from>
    <cdr:to>
      <cdr:x>0.08904</cdr:x>
      <cdr:y>0.68766</cdr:y>
    </cdr:to>
    <cdr:sp macro="" textlink="'Tornado Charts &amp; Risk Analysis'!$H$165">
      <cdr:nvSpPr>
        <cdr:cNvPr id="12" name="TextBox 1"/>
        <cdr:cNvSpPr txBox="1"/>
      </cdr:nvSpPr>
      <cdr:spPr>
        <a:xfrm xmlns:a="http://schemas.openxmlformats.org/drawingml/2006/main">
          <a:off x="0" y="2794285"/>
          <a:ext cx="53386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62E582B-4F59-4E19-9576-56FD08D77199}" type="TxLink">
            <a:rPr lang="en-US" sz="1000" b="0" i="0" u="none" strike="noStrike">
              <a:solidFill>
                <a:srgbClr val="000000"/>
              </a:solidFill>
              <a:latin typeface="Arial"/>
              <a:cs typeface="Arial"/>
            </a:rPr>
            <a:pPr algn="l"/>
            <a:t>Taxes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0.68555</cdr:y>
    </cdr:from>
    <cdr:to>
      <cdr:x>0.35408</cdr:x>
      <cdr:y>0.7399</cdr:y>
    </cdr:to>
    <cdr:sp macro="" textlink="'Tornado Charts &amp; Risk Analysis'!$H$166">
      <cdr:nvSpPr>
        <cdr:cNvPr id="13" name="TextBox 1"/>
        <cdr:cNvSpPr txBox="1"/>
      </cdr:nvSpPr>
      <cdr:spPr>
        <a:xfrm xmlns:a="http://schemas.openxmlformats.org/drawingml/2006/main">
          <a:off x="0" y="3024778"/>
          <a:ext cx="21230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0AC6AB9-5195-42E7-BC52-B486AE25B406}" type="TxLink">
            <a:rPr lang="en-US" sz="1000" b="0" i="0" u="none" strike="noStrike">
              <a:solidFill>
                <a:srgbClr val="000000"/>
              </a:solidFill>
              <a:latin typeface="Arial"/>
              <a:cs typeface="Arial"/>
            </a:rPr>
            <a:pPr algn="l"/>
            <a:t>Cash for Working Capital Reserve</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0.73718</cdr:y>
    </cdr:from>
    <cdr:to>
      <cdr:x>0.20315</cdr:x>
      <cdr:y>0.79153</cdr:y>
    </cdr:to>
    <cdr:sp macro="" textlink="'Tornado Charts &amp; Risk Analysis'!$H$167">
      <cdr:nvSpPr>
        <cdr:cNvPr id="14" name="TextBox 1"/>
        <cdr:cNvSpPr txBox="1"/>
      </cdr:nvSpPr>
      <cdr:spPr>
        <a:xfrm xmlns:a="http://schemas.openxmlformats.org/drawingml/2006/main">
          <a:off x="0" y="3252580"/>
          <a:ext cx="121802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223160F-46E4-436D-9BBA-655A46D2ED9B}" type="TxLink">
            <a:rPr lang="en-US" sz="1000" b="0" i="0" u="none" strike="noStrike">
              <a:solidFill>
                <a:srgbClr val="000000"/>
              </a:solidFill>
              <a:latin typeface="Arial"/>
              <a:cs typeface="Arial"/>
            </a:rPr>
            <a:pPr algn="l"/>
            <a:t>Principal Payment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0.78886</cdr:y>
    </cdr:from>
    <cdr:to>
      <cdr:x>0.26017</cdr:x>
      <cdr:y>0.84321</cdr:y>
    </cdr:to>
    <cdr:sp macro="" textlink="'Tornado Charts &amp; Risk Analysis'!$H$168">
      <cdr:nvSpPr>
        <cdr:cNvPr id="15" name="TextBox 1"/>
        <cdr:cNvSpPr txBox="1"/>
      </cdr:nvSpPr>
      <cdr:spPr>
        <a:xfrm xmlns:a="http://schemas.openxmlformats.org/drawingml/2006/main">
          <a:off x="0" y="3480602"/>
          <a:ext cx="155991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F3DD0A7-C856-4E48-A430-42E2C2191B98}" type="TxLink">
            <a:rPr lang="en-US" sz="1000" b="0" i="0" u="none" strike="noStrike">
              <a:solidFill>
                <a:srgbClr val="000000"/>
              </a:solidFill>
              <a:latin typeface="Arial"/>
              <a:cs typeface="Arial"/>
            </a:rPr>
            <a:pPr algn="l"/>
            <a:t>Decommissioning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0.8406</cdr:y>
    </cdr:from>
    <cdr:to>
      <cdr:x>0.38381</cdr:x>
      <cdr:y>0.89495</cdr:y>
    </cdr:to>
    <cdr:sp macro="" textlink="'Tornado Charts &amp; Risk Analysis'!$H$169">
      <cdr:nvSpPr>
        <cdr:cNvPr id="16" name="TextBox 1"/>
        <cdr:cNvSpPr txBox="1"/>
      </cdr:nvSpPr>
      <cdr:spPr>
        <a:xfrm xmlns:a="http://schemas.openxmlformats.org/drawingml/2006/main">
          <a:off x="0" y="3708889"/>
          <a:ext cx="230127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01AE85DF-4D7C-445B-89A2-66E6679C20CE}" type="TxLink">
            <a:rPr lang="en-US" sz="1000" b="0" i="0" u="none" strike="noStrike">
              <a:solidFill>
                <a:srgbClr val="000000"/>
              </a:solidFill>
              <a:latin typeface="Arial"/>
              <a:cs typeface="Arial"/>
            </a:rPr>
            <a:pPr algn="l"/>
            <a:t>Other Non-Depreciable Capital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0.89256</cdr:y>
    </cdr:from>
    <cdr:to>
      <cdr:x>0.26494</cdr:x>
      <cdr:y>0.94691</cdr:y>
    </cdr:to>
    <cdr:sp macro="" textlink="'Tornado Charts &amp; Risk Analysis'!$H$170">
      <cdr:nvSpPr>
        <cdr:cNvPr id="17" name="TextBox 1"/>
        <cdr:cNvSpPr txBox="1"/>
      </cdr:nvSpPr>
      <cdr:spPr>
        <a:xfrm xmlns:a="http://schemas.openxmlformats.org/drawingml/2006/main">
          <a:off x="0" y="3938146"/>
          <a:ext cx="1588512"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FD5A12E-8E20-4021-B194-C3A23E05FDD2}" type="TxLink">
            <a:rPr lang="en-US" sz="1000" b="0" i="0" u="none" strike="noStrike">
              <a:solidFill>
                <a:srgbClr val="000000"/>
              </a:solidFill>
              <a:latin typeface="Arial"/>
              <a:cs typeface="Arial"/>
            </a:rPr>
            <a:pPr algn="l"/>
            <a:t>Other Raw Material Cost</a:t>
          </a:fld>
          <a:endParaRPr lang="en-US" sz="1100">
            <a:latin typeface="Arial" panose="020B0604020202020204" pitchFamily="34" charset="0"/>
            <a:cs typeface="Arial" panose="020B0604020202020204" pitchFamily="34" charset="0"/>
          </a:endParaRPr>
        </a:p>
      </cdr:txBody>
    </cdr:sp>
  </cdr:relSizeAnchor>
</c:userShapes>
</file>

<file path=xl/drawings/drawing7.xml><?xml version="1.0" encoding="utf-8"?>
<xdr:wsDr xmlns:xdr="http://schemas.openxmlformats.org/drawingml/2006/spreadsheetDrawing" xmlns:a="http://schemas.openxmlformats.org/drawingml/2006/main">
  <xdr:twoCellAnchor>
    <xdr:from>
      <xdr:col>3</xdr:col>
      <xdr:colOff>1335741</xdr:colOff>
      <xdr:row>0</xdr:row>
      <xdr:rowOff>121919</xdr:rowOff>
    </xdr:from>
    <xdr:to>
      <xdr:col>6</xdr:col>
      <xdr:colOff>26894</xdr:colOff>
      <xdr:row>2</xdr:row>
      <xdr:rowOff>94128</xdr:rowOff>
    </xdr:to>
    <xdr:sp macro="[0]!InputSheet" textlink="">
      <xdr:nvSpPr>
        <xdr:cNvPr id="6" name="Rounded Rectangle 5">
          <a:extLst>
            <a:ext uri="{FF2B5EF4-FFF2-40B4-BE49-F238E27FC236}">
              <a16:creationId xmlns:a16="http://schemas.microsoft.com/office/drawing/2014/main" id="{00000000-0008-0000-0400-000006000000}"/>
            </a:ext>
          </a:extLst>
        </xdr:cNvPr>
        <xdr:cNvSpPr/>
      </xdr:nvSpPr>
      <xdr:spPr>
        <a:xfrm>
          <a:off x="4993341" y="121919"/>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1335741</xdr:colOff>
      <xdr:row>2</xdr:row>
      <xdr:rowOff>125504</xdr:rowOff>
    </xdr:from>
    <xdr:to>
      <xdr:col>6</xdr:col>
      <xdr:colOff>26894</xdr:colOff>
      <xdr:row>4</xdr:row>
      <xdr:rowOff>196326</xdr:rowOff>
    </xdr:to>
    <xdr:sp macro="[0]!ShowKey" textlink="">
      <xdr:nvSpPr>
        <xdr:cNvPr id="7" name="Rounded Rectangle 6">
          <a:extLst>
            <a:ext uri="{FF2B5EF4-FFF2-40B4-BE49-F238E27FC236}">
              <a16:creationId xmlns:a16="http://schemas.microsoft.com/office/drawing/2014/main" id="{00000000-0008-0000-0400-000007000000}"/>
            </a:ext>
          </a:extLst>
        </xdr:cNvPr>
        <xdr:cNvSpPr/>
      </xdr:nvSpPr>
      <xdr:spPr>
        <a:xfrm>
          <a:off x="4993341" y="564775"/>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678180</xdr:colOff>
      <xdr:row>0</xdr:row>
      <xdr:rowOff>76200</xdr:rowOff>
    </xdr:from>
    <xdr:to>
      <xdr:col>4</xdr:col>
      <xdr:colOff>769620</xdr:colOff>
      <xdr:row>2</xdr:row>
      <xdr:rowOff>38100</xdr:rowOff>
    </xdr:to>
    <xdr:sp macro="[0]!InputSheet" textlink="">
      <xdr:nvSpPr>
        <xdr:cNvPr id="6" name="Rounded Rectangle 5">
          <a:extLst>
            <a:ext uri="{FF2B5EF4-FFF2-40B4-BE49-F238E27FC236}">
              <a16:creationId xmlns:a16="http://schemas.microsoft.com/office/drawing/2014/main" id="{00000000-0008-0000-0500-000006000000}"/>
            </a:ext>
          </a:extLst>
        </xdr:cNvPr>
        <xdr:cNvSpPr/>
      </xdr:nvSpPr>
      <xdr:spPr>
        <a:xfrm>
          <a:off x="5036820" y="7620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678180</xdr:colOff>
      <xdr:row>2</xdr:row>
      <xdr:rowOff>106680</xdr:rowOff>
    </xdr:from>
    <xdr:to>
      <xdr:col>4</xdr:col>
      <xdr:colOff>769620</xdr:colOff>
      <xdr:row>4</xdr:row>
      <xdr:rowOff>152400</xdr:rowOff>
    </xdr:to>
    <xdr:sp macro="[0]!ShowKey" textlink="">
      <xdr:nvSpPr>
        <xdr:cNvPr id="7" name="Rounded Rectangle 6">
          <a:extLst>
            <a:ext uri="{FF2B5EF4-FFF2-40B4-BE49-F238E27FC236}">
              <a16:creationId xmlns:a16="http://schemas.microsoft.com/office/drawing/2014/main" id="{00000000-0008-0000-0500-000007000000}"/>
            </a:ext>
          </a:extLst>
        </xdr:cNvPr>
        <xdr:cNvSpPr/>
      </xdr:nvSpPr>
      <xdr:spPr>
        <a:xfrm>
          <a:off x="5036820" y="55626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1234440</xdr:colOff>
      <xdr:row>2</xdr:row>
      <xdr:rowOff>266700</xdr:rowOff>
    </xdr:from>
    <xdr:to>
      <xdr:col>8</xdr:col>
      <xdr:colOff>198120</xdr:colOff>
      <xdr:row>4</xdr:row>
      <xdr:rowOff>7620</xdr:rowOff>
    </xdr:to>
    <xdr:sp macro="[0]!InputSheet" textlink="">
      <xdr:nvSpPr>
        <xdr:cNvPr id="4" name="Rounded Rectangle 3">
          <a:extLst>
            <a:ext uri="{FF2B5EF4-FFF2-40B4-BE49-F238E27FC236}">
              <a16:creationId xmlns:a16="http://schemas.microsoft.com/office/drawing/2014/main" id="{00000000-0008-0000-0600-000004000000}"/>
            </a:ext>
          </a:extLst>
        </xdr:cNvPr>
        <xdr:cNvSpPr/>
      </xdr:nvSpPr>
      <xdr:spPr>
        <a:xfrm>
          <a:off x="10408920" y="67818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247650</xdr:colOff>
          <xdr:row>28</xdr:row>
          <xdr:rowOff>171450</xdr:rowOff>
        </xdr:from>
        <xdr:to>
          <xdr:col>4</xdr:col>
          <xdr:colOff>38100</xdr:colOff>
          <xdr:row>30</xdr:row>
          <xdr:rowOff>0</xdr:rowOff>
        </xdr:to>
        <xdr:sp macro="" textlink="">
          <xdr:nvSpPr>
            <xdr:cNvPr id="17452" name="chk_CO2_Capture_Efficiency" hidden="1">
              <a:extLst>
                <a:ext uri="{63B3BB69-23CF-44E3-9099-C40C66FF867C}">
                  <a14:compatExt spid="_x0000_s17452"/>
                </a:ext>
                <a:ext uri="{FF2B5EF4-FFF2-40B4-BE49-F238E27FC236}">
                  <a16:creationId xmlns:a16="http://schemas.microsoft.com/office/drawing/2014/main" id="{00000000-0008-0000-0700-00002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43</xdr:row>
          <xdr:rowOff>0</xdr:rowOff>
        </xdr:from>
        <xdr:to>
          <xdr:col>4</xdr:col>
          <xdr:colOff>38100</xdr:colOff>
          <xdr:row>44</xdr:row>
          <xdr:rowOff>19050</xdr:rowOff>
        </xdr:to>
        <xdr:sp macro="" textlink="">
          <xdr:nvSpPr>
            <xdr:cNvPr id="17453" name="chk_CO2_MaintFactor" hidden="1">
              <a:extLst>
                <a:ext uri="{63B3BB69-23CF-44E3-9099-C40C66FF867C}">
                  <a14:compatExt spid="_x0000_s17453"/>
                </a:ext>
                <a:ext uri="{FF2B5EF4-FFF2-40B4-BE49-F238E27FC236}">
                  <a16:creationId xmlns:a16="http://schemas.microsoft.com/office/drawing/2014/main" id="{00000000-0008-0000-0700-00002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30</xdr:row>
          <xdr:rowOff>69850</xdr:rowOff>
        </xdr:from>
        <xdr:to>
          <xdr:col>4</xdr:col>
          <xdr:colOff>38100</xdr:colOff>
          <xdr:row>30</xdr:row>
          <xdr:rowOff>279400</xdr:rowOff>
        </xdr:to>
        <xdr:sp macro="" textlink="">
          <xdr:nvSpPr>
            <xdr:cNvPr id="17497" name="chk_CO2_Pin_psia" hidden="1">
              <a:extLst>
                <a:ext uri="{63B3BB69-23CF-44E3-9099-C40C66FF867C}">
                  <a14:compatExt spid="_x0000_s17497"/>
                </a:ext>
                <a:ext uri="{FF2B5EF4-FFF2-40B4-BE49-F238E27FC236}">
                  <a16:creationId xmlns:a16="http://schemas.microsoft.com/office/drawing/2014/main" id="{00000000-0008-0000-0700-000059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41</xdr:row>
          <xdr:rowOff>171450</xdr:rowOff>
        </xdr:from>
        <xdr:to>
          <xdr:col>4</xdr:col>
          <xdr:colOff>146050</xdr:colOff>
          <xdr:row>43</xdr:row>
          <xdr:rowOff>12700</xdr:rowOff>
        </xdr:to>
        <xdr:sp macro="" textlink="">
          <xdr:nvSpPr>
            <xdr:cNvPr id="17509" name="chk_CO2_credit" hidden="1">
              <a:extLst>
                <a:ext uri="{63B3BB69-23CF-44E3-9099-C40C66FF867C}">
                  <a14:compatExt spid="_x0000_s17509"/>
                </a:ext>
                <a:ext uri="{FF2B5EF4-FFF2-40B4-BE49-F238E27FC236}">
                  <a16:creationId xmlns:a16="http://schemas.microsoft.com/office/drawing/2014/main" id="{00000000-0008-0000-0700-00006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163285</xdr:colOff>
      <xdr:row>10</xdr:row>
      <xdr:rowOff>19595</xdr:rowOff>
    </xdr:from>
    <xdr:to>
      <xdr:col>3</xdr:col>
      <xdr:colOff>185057</xdr:colOff>
      <xdr:row>14</xdr:row>
      <xdr:rowOff>32657</xdr:rowOff>
    </xdr:to>
    <xdr:sp macro="[0]!UseDefaultValuesCO2" textlink="">
      <xdr:nvSpPr>
        <xdr:cNvPr id="18" name="Rounded Rectangle 17">
          <a:extLst>
            <a:ext uri="{FF2B5EF4-FFF2-40B4-BE49-F238E27FC236}">
              <a16:creationId xmlns:a16="http://schemas.microsoft.com/office/drawing/2014/main" id="{00000000-0008-0000-0700-000012000000}"/>
            </a:ext>
          </a:extLst>
        </xdr:cNvPr>
        <xdr:cNvSpPr/>
      </xdr:nvSpPr>
      <xdr:spPr>
        <a:xfrm>
          <a:off x="4484914" y="3132909"/>
          <a:ext cx="1371600" cy="69886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2</xdr:col>
      <xdr:colOff>163285</xdr:colOff>
      <xdr:row>1</xdr:row>
      <xdr:rowOff>7620</xdr:rowOff>
    </xdr:from>
    <xdr:to>
      <xdr:col>3</xdr:col>
      <xdr:colOff>185057</xdr:colOff>
      <xdr:row>1</xdr:row>
      <xdr:rowOff>419100</xdr:rowOff>
    </xdr:to>
    <xdr:sp macro="[0]!InputSheet" textlink="">
      <xdr:nvSpPr>
        <xdr:cNvPr id="19" name="Rounded Rectangle 18">
          <a:extLst>
            <a:ext uri="{FF2B5EF4-FFF2-40B4-BE49-F238E27FC236}">
              <a16:creationId xmlns:a16="http://schemas.microsoft.com/office/drawing/2014/main" id="{00000000-0008-0000-0700-000013000000}"/>
            </a:ext>
          </a:extLst>
        </xdr:cNvPr>
        <xdr:cNvSpPr/>
      </xdr:nvSpPr>
      <xdr:spPr>
        <a:xfrm>
          <a:off x="4484914" y="170906"/>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2</xdr:col>
      <xdr:colOff>163285</xdr:colOff>
      <xdr:row>6</xdr:row>
      <xdr:rowOff>272142</xdr:rowOff>
    </xdr:from>
    <xdr:to>
      <xdr:col>3</xdr:col>
      <xdr:colOff>185057</xdr:colOff>
      <xdr:row>9</xdr:row>
      <xdr:rowOff>52250</xdr:rowOff>
    </xdr:to>
    <xdr:sp macro="[0]!ShowKey" textlink="">
      <xdr:nvSpPr>
        <xdr:cNvPr id="20" name="Rounded Rectangle 19">
          <a:extLst>
            <a:ext uri="{FF2B5EF4-FFF2-40B4-BE49-F238E27FC236}">
              <a16:creationId xmlns:a16="http://schemas.microsoft.com/office/drawing/2014/main" id="{00000000-0008-0000-0700-000014000000}"/>
            </a:ext>
          </a:extLst>
        </xdr:cNvPr>
        <xdr:cNvSpPr/>
      </xdr:nvSpPr>
      <xdr:spPr>
        <a:xfrm>
          <a:off x="4484914" y="2590799"/>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mc:AlternateContent xmlns:mc="http://schemas.openxmlformats.org/markup-compatibility/2006">
    <mc:Choice xmlns:a14="http://schemas.microsoft.com/office/drawing/2010/main" Requires="a14">
      <xdr:twoCellAnchor editAs="oneCell">
        <xdr:from>
          <xdr:col>3</xdr:col>
          <xdr:colOff>241300</xdr:colOff>
          <xdr:row>31</xdr:row>
          <xdr:rowOff>69850</xdr:rowOff>
        </xdr:from>
        <xdr:to>
          <xdr:col>4</xdr:col>
          <xdr:colOff>31750</xdr:colOff>
          <xdr:row>31</xdr:row>
          <xdr:rowOff>279400</xdr:rowOff>
        </xdr:to>
        <xdr:sp macro="" textlink="">
          <xdr:nvSpPr>
            <xdr:cNvPr id="17561" name="chk_n_CO2_pumps" hidden="1">
              <a:extLst>
                <a:ext uri="{63B3BB69-23CF-44E3-9099-C40C66FF867C}">
                  <a14:compatExt spid="_x0000_s17561"/>
                </a:ext>
                <a:ext uri="{FF2B5EF4-FFF2-40B4-BE49-F238E27FC236}">
                  <a16:creationId xmlns:a16="http://schemas.microsoft.com/office/drawing/2014/main" id="{00000000-0008-0000-0700-000099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31</xdr:row>
          <xdr:rowOff>336550</xdr:rowOff>
        </xdr:from>
        <xdr:to>
          <xdr:col>4</xdr:col>
          <xdr:colOff>31750</xdr:colOff>
          <xdr:row>33</xdr:row>
          <xdr:rowOff>12700</xdr:rowOff>
        </xdr:to>
        <xdr:sp macro="" textlink="">
          <xdr:nvSpPr>
            <xdr:cNvPr id="17562" name="chk_CO2_Pump_Eff" hidden="1">
              <a:extLst>
                <a:ext uri="{63B3BB69-23CF-44E3-9099-C40C66FF867C}">
                  <a14:compatExt spid="_x0000_s17562"/>
                </a:ext>
                <a:ext uri="{FF2B5EF4-FFF2-40B4-BE49-F238E27FC236}">
                  <a16:creationId xmlns:a16="http://schemas.microsoft.com/office/drawing/2014/main" id="{00000000-0008-0000-0700-00009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32</xdr:row>
          <xdr:rowOff>165100</xdr:rowOff>
        </xdr:from>
        <xdr:to>
          <xdr:col>4</xdr:col>
          <xdr:colOff>31750</xdr:colOff>
          <xdr:row>34</xdr:row>
          <xdr:rowOff>12700</xdr:rowOff>
        </xdr:to>
        <xdr:sp macro="" textlink="">
          <xdr:nvSpPr>
            <xdr:cNvPr id="17563" name="chk_CO2_ControlSystem" hidden="1">
              <a:extLst>
                <a:ext uri="{63B3BB69-23CF-44E3-9099-C40C66FF867C}">
                  <a14:compatExt spid="_x0000_s17563"/>
                </a:ext>
                <a:ext uri="{FF2B5EF4-FFF2-40B4-BE49-F238E27FC236}">
                  <a16:creationId xmlns:a16="http://schemas.microsoft.com/office/drawing/2014/main" id="{00000000-0008-0000-0700-00009B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33</xdr:row>
          <xdr:rowOff>152400</xdr:rowOff>
        </xdr:from>
        <xdr:to>
          <xdr:col>4</xdr:col>
          <xdr:colOff>31750</xdr:colOff>
          <xdr:row>34</xdr:row>
          <xdr:rowOff>184150</xdr:rowOff>
        </xdr:to>
        <xdr:sp macro="" textlink="">
          <xdr:nvSpPr>
            <xdr:cNvPr id="17565" name="chk_CO2_SurgeTank" hidden="1">
              <a:extLst>
                <a:ext uri="{63B3BB69-23CF-44E3-9099-C40C66FF867C}">
                  <a14:compatExt spid="_x0000_s17565"/>
                </a:ext>
                <a:ext uri="{FF2B5EF4-FFF2-40B4-BE49-F238E27FC236}">
                  <a16:creationId xmlns:a16="http://schemas.microsoft.com/office/drawing/2014/main" id="{00000000-0008-0000-0700-00009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34</xdr:row>
          <xdr:rowOff>152400</xdr:rowOff>
        </xdr:from>
        <xdr:to>
          <xdr:col>4</xdr:col>
          <xdr:colOff>31750</xdr:colOff>
          <xdr:row>36</xdr:row>
          <xdr:rowOff>0</xdr:rowOff>
        </xdr:to>
        <xdr:sp macro="" textlink="">
          <xdr:nvSpPr>
            <xdr:cNvPr id="17566" name="chk_CO2_PipeLength" hidden="1">
              <a:extLst>
                <a:ext uri="{63B3BB69-23CF-44E3-9099-C40C66FF867C}">
                  <a14:compatExt spid="_x0000_s17566"/>
                </a:ext>
                <a:ext uri="{FF2B5EF4-FFF2-40B4-BE49-F238E27FC236}">
                  <a16:creationId xmlns:a16="http://schemas.microsoft.com/office/drawing/2014/main" id="{00000000-0008-0000-0700-00009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35</xdr:row>
          <xdr:rowOff>165100</xdr:rowOff>
        </xdr:from>
        <xdr:to>
          <xdr:col>4</xdr:col>
          <xdr:colOff>31750</xdr:colOff>
          <xdr:row>37</xdr:row>
          <xdr:rowOff>19050</xdr:rowOff>
        </xdr:to>
        <xdr:sp macro="" textlink="">
          <xdr:nvSpPr>
            <xdr:cNvPr id="17567" name="chk_CO2_PipeElevation" hidden="1">
              <a:extLst>
                <a:ext uri="{63B3BB69-23CF-44E3-9099-C40C66FF867C}">
                  <a14:compatExt spid="_x0000_s17567"/>
                </a:ext>
                <a:ext uri="{FF2B5EF4-FFF2-40B4-BE49-F238E27FC236}">
                  <a16:creationId xmlns:a16="http://schemas.microsoft.com/office/drawing/2014/main" id="{00000000-0008-0000-0700-00009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38</xdr:row>
          <xdr:rowOff>165100</xdr:rowOff>
        </xdr:from>
        <xdr:to>
          <xdr:col>4</xdr:col>
          <xdr:colOff>38100</xdr:colOff>
          <xdr:row>40</xdr:row>
          <xdr:rowOff>19050</xdr:rowOff>
        </xdr:to>
        <xdr:sp macro="" textlink="">
          <xdr:nvSpPr>
            <xdr:cNvPr id="17568" name="chk_CO2_Pipeline_Temp" hidden="1">
              <a:extLst>
                <a:ext uri="{63B3BB69-23CF-44E3-9099-C40C66FF867C}">
                  <a14:compatExt spid="_x0000_s17568"/>
                </a:ext>
                <a:ext uri="{FF2B5EF4-FFF2-40B4-BE49-F238E27FC236}">
                  <a16:creationId xmlns:a16="http://schemas.microsoft.com/office/drawing/2014/main" id="{00000000-0008-0000-0700-0000A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3</xdr:col>
      <xdr:colOff>233082</xdr:colOff>
      <xdr:row>0</xdr:row>
      <xdr:rowOff>0</xdr:rowOff>
    </xdr:from>
    <xdr:to>
      <xdr:col>8</xdr:col>
      <xdr:colOff>21874</xdr:colOff>
      <xdr:row>15</xdr:row>
      <xdr:rowOff>152400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c:userShapes xmlns:c="http://schemas.openxmlformats.org/drawingml/2006/chart">
  <cdr:relSizeAnchor xmlns:cdr="http://schemas.openxmlformats.org/drawingml/2006/chartDrawing">
    <cdr:from>
      <cdr:x>0.12974</cdr:x>
      <cdr:y>0</cdr:y>
    </cdr:from>
    <cdr:to>
      <cdr:x>0.86265</cdr:x>
      <cdr:y>0.23785</cdr:y>
    </cdr:to>
    <cdr:sp macro="" textlink="">
      <cdr:nvSpPr>
        <cdr:cNvPr id="6" name="TextBox 1"/>
        <cdr:cNvSpPr txBox="1"/>
      </cdr:nvSpPr>
      <cdr:spPr>
        <a:xfrm xmlns:a="http://schemas.openxmlformats.org/drawingml/2006/main">
          <a:off x="856539" y="0"/>
          <a:ext cx="4838649" cy="76339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b="1">
              <a:latin typeface="Arial" panose="020B0604020202020204" pitchFamily="34" charset="0"/>
              <a:cs typeface="Arial" panose="020B0604020202020204" pitchFamily="34" charset="0"/>
            </a:rPr>
            <a:t>Real Levelized Values</a:t>
          </a:r>
          <a:endParaRPr lang="en-US" sz="1000" b="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0.01086</cdr:x>
      <cdr:y>0.53349</cdr:y>
    </cdr:from>
    <cdr:to>
      <cdr:x>0.98892</cdr:x>
      <cdr:y>1</cdr:y>
    </cdr:to>
    <cdr:grpSp>
      <cdr:nvGrpSpPr>
        <cdr:cNvPr id="4" name="Group 3">
          <a:extLst xmlns:a="http://schemas.openxmlformats.org/drawingml/2006/main">
            <a:ext uri="{FF2B5EF4-FFF2-40B4-BE49-F238E27FC236}">
              <a16:creationId xmlns:a16="http://schemas.microsoft.com/office/drawing/2014/main" id="{01E51170-9AD5-40D1-B23A-F8A29BF2BF45}"/>
            </a:ext>
          </a:extLst>
        </cdr:cNvPr>
        <cdr:cNvGrpSpPr/>
      </cdr:nvGrpSpPr>
      <cdr:grpSpPr>
        <a:xfrm xmlns:a="http://schemas.openxmlformats.org/drawingml/2006/main">
          <a:off x="69702" y="1595589"/>
          <a:ext cx="6277376" cy="1395261"/>
          <a:chOff x="0" y="1475395"/>
          <a:chExt cx="6457121" cy="1647620"/>
        </a:xfrm>
      </cdr:grpSpPr>
      <cdr:sp macro="" textlink="'Tornado Charts &amp; Risk Analysis'!$K$155">
        <cdr:nvSpPr>
          <cdr:cNvPr id="3" name="TextBox 2"/>
          <cdr:cNvSpPr txBox="1"/>
        </cdr:nvSpPr>
        <cdr:spPr>
          <a:xfrm xmlns:a="http://schemas.openxmlformats.org/drawingml/2006/main">
            <a:off x="0" y="1476743"/>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A53FDA42-86FD-4266-BF95-45A4ACB41A49}" type="TxLink">
              <a:rPr lang="en-US" sz="1200" b="1" i="0" u="none" strike="noStrike">
                <a:solidFill>
                  <a:schemeClr val="bg1">
                    <a:lumMod val="85000"/>
                  </a:schemeClr>
                </a:solidFill>
                <a:latin typeface="Arial"/>
                <a:cs typeface="Arial"/>
              </a:rPr>
              <a:pPr algn="l"/>
              <a:t>Cost of Hydrogen</a:t>
            </a:fld>
            <a:endParaRPr lang="en-US" sz="1600" b="1">
              <a:solidFill>
                <a:schemeClr val="bg1">
                  <a:lumMod val="85000"/>
                </a:schemeClr>
              </a:solidFill>
            </a:endParaRPr>
          </a:p>
        </cdr:txBody>
      </cdr:sp>
      <cdr:sp macro="" textlink="'Tornado Charts &amp; Risk Analysis'!$K$156">
        <cdr:nvSpPr>
          <cdr:cNvPr id="10" name="TextBox 9"/>
          <cdr:cNvSpPr txBox="1"/>
        </cdr:nvSpPr>
        <cdr:spPr>
          <a:xfrm xmlns:a="http://schemas.openxmlformats.org/drawingml/2006/main">
            <a:off x="0" y="1687482"/>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4E89670-AA74-48A5-A1C1-0A00BB6A6478}" type="TxLink">
              <a:rPr lang="en-US" sz="1200" b="1" i="0" u="none" strike="noStrike">
                <a:solidFill>
                  <a:schemeClr val="bg1">
                    <a:lumMod val="85000"/>
                  </a:schemeClr>
                </a:solidFill>
                <a:latin typeface="Arial"/>
                <a:cs typeface="Arial"/>
              </a:rPr>
              <a:pPr algn="l"/>
              <a:t>Salvage Value</a:t>
            </a:fld>
            <a:endParaRPr lang="en-US" sz="1600" b="1">
              <a:solidFill>
                <a:schemeClr val="bg1">
                  <a:lumMod val="85000"/>
                </a:schemeClr>
              </a:solidFill>
            </a:endParaRPr>
          </a:p>
        </cdr:txBody>
      </cdr:sp>
      <cdr:sp macro="" textlink="'Tornado Charts &amp; Risk Analysis'!$K$157">
        <cdr:nvSpPr>
          <cdr:cNvPr id="11" name="TextBox 10"/>
          <cdr:cNvSpPr txBox="1"/>
        </cdr:nvSpPr>
        <cdr:spPr>
          <a:xfrm xmlns:a="http://schemas.openxmlformats.org/drawingml/2006/main">
            <a:off x="0" y="1898221"/>
            <a:ext cx="3171255" cy="178514"/>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801CF62-7453-47CE-941B-AD388CC93103}" type="TxLink">
              <a:rPr lang="en-US" sz="1200" b="1" i="0" u="none" strike="noStrike">
                <a:solidFill>
                  <a:schemeClr val="bg1">
                    <a:lumMod val="85000"/>
                  </a:schemeClr>
                </a:solidFill>
                <a:latin typeface="Arial"/>
                <a:cs typeface="Arial"/>
              </a:rPr>
              <a:pPr algn="l"/>
              <a:t>Byproduct Sales</a:t>
            </a:fld>
            <a:endParaRPr lang="en-US" sz="1600" b="1">
              <a:solidFill>
                <a:schemeClr val="bg1">
                  <a:lumMod val="85000"/>
                </a:schemeClr>
              </a:solidFill>
            </a:endParaRPr>
          </a:p>
        </cdr:txBody>
      </cdr:sp>
      <cdr:sp macro="" textlink="'Tornado Charts &amp; Risk Analysis'!$K$159">
        <cdr:nvSpPr>
          <cdr:cNvPr id="13" name="TextBox 12"/>
          <cdr:cNvSpPr txBox="1"/>
        </cdr:nvSpPr>
        <cdr:spPr>
          <a:xfrm xmlns:a="http://schemas.openxmlformats.org/drawingml/2006/main">
            <a:off x="0" y="2312252"/>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3145395B-87A6-4541-B510-EC743135CE45}" type="TxLink">
              <a:rPr lang="en-US" sz="1200" b="1" i="0" u="none" strike="noStrike">
                <a:solidFill>
                  <a:schemeClr val="bg1">
                    <a:lumMod val="85000"/>
                  </a:schemeClr>
                </a:solidFill>
                <a:latin typeface="Arial"/>
                <a:cs typeface="Arial"/>
              </a:rPr>
              <a:pPr algn="l"/>
              <a:t>Feedstock Cost</a:t>
            </a:fld>
            <a:endParaRPr lang="en-US" sz="1600" b="1">
              <a:solidFill>
                <a:schemeClr val="bg1">
                  <a:lumMod val="85000"/>
                </a:schemeClr>
              </a:solidFill>
            </a:endParaRPr>
          </a:p>
        </cdr:txBody>
      </cdr:sp>
      <cdr:sp macro="" textlink="'Tornado Charts &amp; Risk Analysis'!$K$160">
        <cdr:nvSpPr>
          <cdr:cNvPr id="14" name="TextBox 13"/>
          <cdr:cNvSpPr txBox="1"/>
        </cdr:nvSpPr>
        <cdr:spPr>
          <a:xfrm xmlns:a="http://schemas.openxmlformats.org/drawingml/2006/main">
            <a:off x="0" y="2522990"/>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D4805F44-A278-4AD0-97E9-8DE7872927B2}" type="TxLink">
              <a:rPr lang="en-US" sz="1200" b="1" i="0" u="none" strike="noStrike">
                <a:solidFill>
                  <a:schemeClr val="bg1">
                    <a:lumMod val="85000"/>
                  </a:schemeClr>
                </a:solidFill>
                <a:latin typeface="Arial"/>
                <a:cs typeface="Arial"/>
              </a:rPr>
              <a:pPr algn="l"/>
              <a:t>Other Variable Operating Costs</a:t>
            </a:fld>
            <a:endParaRPr lang="en-US" sz="1600" b="1">
              <a:solidFill>
                <a:schemeClr val="bg1">
                  <a:lumMod val="85000"/>
                </a:schemeClr>
              </a:solidFill>
            </a:endParaRPr>
          </a:p>
        </cdr:txBody>
      </cdr:sp>
      <cdr:sp macro="" textlink="'Tornado Charts &amp; Risk Analysis'!$K$161">
        <cdr:nvSpPr>
          <cdr:cNvPr id="15" name="TextBox 14"/>
          <cdr:cNvSpPr txBox="1"/>
        </cdr:nvSpPr>
        <cdr:spPr>
          <a:xfrm xmlns:a="http://schemas.openxmlformats.org/drawingml/2006/main">
            <a:off x="0" y="2733729"/>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4CB230F-C2C7-4A9A-AF10-EBE54FB6BA85}" type="TxLink">
              <a:rPr lang="en-US" sz="1200" b="1" i="0" u="none" strike="noStrike">
                <a:solidFill>
                  <a:schemeClr val="bg1">
                    <a:lumMod val="85000"/>
                  </a:schemeClr>
                </a:solidFill>
                <a:latin typeface="Arial"/>
                <a:cs typeface="Arial"/>
              </a:rPr>
              <a:pPr algn="l"/>
              <a:t>Initial Equity Depreciable Capital</a:t>
            </a:fld>
            <a:endParaRPr lang="en-US" sz="1600" b="1">
              <a:solidFill>
                <a:schemeClr val="bg1">
                  <a:lumMod val="85000"/>
                </a:schemeClr>
              </a:solidFill>
            </a:endParaRPr>
          </a:p>
        </cdr:txBody>
      </cdr:sp>
      <cdr:sp macro="" textlink="'Tornado Charts &amp; Risk Analysis'!$K$162">
        <cdr:nvSpPr>
          <cdr:cNvPr id="16" name="TextBox 15"/>
          <cdr:cNvSpPr txBox="1"/>
        </cdr:nvSpPr>
        <cdr:spPr>
          <a:xfrm xmlns:a="http://schemas.openxmlformats.org/drawingml/2006/main">
            <a:off x="0" y="2944500"/>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BD79F0B-93AD-4CD5-9061-5E62FA448861}" type="TxLink">
              <a:rPr lang="en-US" sz="1200" b="1" i="0" u="none" strike="noStrike">
                <a:solidFill>
                  <a:schemeClr val="bg1">
                    <a:lumMod val="85000"/>
                  </a:schemeClr>
                </a:solidFill>
                <a:latin typeface="Arial"/>
                <a:cs typeface="Arial"/>
              </a:rPr>
              <a:pPr algn="l"/>
              <a:t>Yearly Replacement Costs</a:t>
            </a:fld>
            <a:endParaRPr lang="en-US" sz="1600" b="1">
              <a:solidFill>
                <a:schemeClr val="bg1">
                  <a:lumMod val="85000"/>
                </a:schemeClr>
              </a:solidFill>
            </a:endParaRPr>
          </a:p>
        </cdr:txBody>
      </cdr:sp>
      <cdr:sp macro="" textlink="'Tornado Charts &amp; Risk Analysis'!$K$163">
        <cdr:nvSpPr>
          <cdr:cNvPr id="17" name="TextBox 16"/>
          <cdr:cNvSpPr txBox="1"/>
        </cdr:nvSpPr>
        <cdr:spPr>
          <a:xfrm xmlns:a="http://schemas.openxmlformats.org/drawingml/2006/main">
            <a:off x="3285865" y="1476743"/>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8D1C870E-AFE2-403A-8C55-6D493FDE4EEF}" type="TxLink">
              <a:rPr lang="en-US" sz="1200" b="1" i="0" u="none" strike="noStrike">
                <a:solidFill>
                  <a:schemeClr val="bg1">
                    <a:lumMod val="85000"/>
                  </a:schemeClr>
                </a:solidFill>
                <a:latin typeface="Arial"/>
                <a:cs typeface="Arial"/>
              </a:rPr>
              <a:pPr algn="l"/>
              <a:t>Fixed Operating Cost</a:t>
            </a:fld>
            <a:endParaRPr lang="en-US" sz="1600" b="1">
              <a:solidFill>
                <a:schemeClr val="bg1">
                  <a:lumMod val="85000"/>
                </a:schemeClr>
              </a:solidFill>
            </a:endParaRPr>
          </a:p>
        </cdr:txBody>
      </cdr:sp>
      <cdr:sp macro="" textlink="'Tornado Charts &amp; Risk Analysis'!$K$164">
        <cdr:nvSpPr>
          <cdr:cNvPr id="18" name="TextBox 17"/>
          <cdr:cNvSpPr txBox="1"/>
        </cdr:nvSpPr>
        <cdr:spPr>
          <a:xfrm xmlns:a="http://schemas.openxmlformats.org/drawingml/2006/main">
            <a:off x="3285865" y="1687482"/>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F6ACCF9-A84A-40E7-9751-CF4F5FDD977F}" type="TxLink">
              <a:rPr lang="en-US" sz="1200" b="1" i="0" u="none" strike="noStrike">
                <a:solidFill>
                  <a:schemeClr val="bg1">
                    <a:lumMod val="85000"/>
                  </a:schemeClr>
                </a:solidFill>
                <a:latin typeface="Arial"/>
                <a:cs typeface="Arial"/>
              </a:rPr>
              <a:pPr algn="l"/>
              <a:t>Debt Interest</a:t>
            </a:fld>
            <a:endParaRPr lang="en-US" sz="1600" b="1">
              <a:solidFill>
                <a:schemeClr val="bg1">
                  <a:lumMod val="85000"/>
                </a:schemeClr>
              </a:solidFill>
            </a:endParaRPr>
          </a:p>
        </cdr:txBody>
      </cdr:sp>
      <cdr:sp macro="" textlink="'Tornado Charts &amp; Risk Analysis'!$K$165">
        <cdr:nvSpPr>
          <cdr:cNvPr id="19" name="TextBox 18"/>
          <cdr:cNvSpPr txBox="1"/>
        </cdr:nvSpPr>
        <cdr:spPr>
          <a:xfrm xmlns:a="http://schemas.openxmlformats.org/drawingml/2006/main">
            <a:off x="3285865" y="1898221"/>
            <a:ext cx="3171256" cy="178514"/>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461595AE-48D3-479B-B95F-081EBC8C2142}" type="TxLink">
              <a:rPr lang="en-US" sz="1200" b="1" i="0" u="none" strike="noStrike">
                <a:solidFill>
                  <a:schemeClr val="bg1">
                    <a:lumMod val="85000"/>
                  </a:schemeClr>
                </a:solidFill>
                <a:latin typeface="Arial"/>
                <a:cs typeface="Arial"/>
              </a:rPr>
              <a:pPr algn="l"/>
              <a:t>Taxes</a:t>
            </a:fld>
            <a:endParaRPr lang="en-US" sz="1600" b="1">
              <a:solidFill>
                <a:schemeClr val="bg1">
                  <a:lumMod val="85000"/>
                </a:schemeClr>
              </a:solidFill>
            </a:endParaRPr>
          </a:p>
        </cdr:txBody>
      </cdr:sp>
      <cdr:sp macro="" textlink="'Tornado Charts &amp; Risk Analysis'!$K$166">
        <cdr:nvSpPr>
          <cdr:cNvPr id="20" name="TextBox 19"/>
          <cdr:cNvSpPr txBox="1"/>
        </cdr:nvSpPr>
        <cdr:spPr>
          <a:xfrm xmlns:a="http://schemas.openxmlformats.org/drawingml/2006/main">
            <a:off x="3285865" y="2108991"/>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591ADE5-8921-41AC-8F2F-FCDEE7ED2F30}" type="TxLink">
              <a:rPr lang="en-US" sz="1200" b="1" i="0" u="none" strike="noStrike">
                <a:solidFill>
                  <a:schemeClr val="bg1">
                    <a:lumMod val="85000"/>
                  </a:schemeClr>
                </a:solidFill>
                <a:latin typeface="Arial"/>
                <a:cs typeface="Arial"/>
              </a:rPr>
              <a:pPr algn="l"/>
              <a:t>Cash for Working Capital Reserve</a:t>
            </a:fld>
            <a:endParaRPr lang="en-US" sz="1600" b="1">
              <a:solidFill>
                <a:schemeClr val="bg1">
                  <a:lumMod val="85000"/>
                </a:schemeClr>
              </a:solidFill>
            </a:endParaRPr>
          </a:p>
        </cdr:txBody>
      </cdr:sp>
      <cdr:sp macro="" textlink="'Tornado Charts &amp; Risk Analysis'!$K$167">
        <cdr:nvSpPr>
          <cdr:cNvPr id="21" name="TextBox 20"/>
          <cdr:cNvSpPr txBox="1"/>
        </cdr:nvSpPr>
        <cdr:spPr>
          <a:xfrm xmlns:a="http://schemas.openxmlformats.org/drawingml/2006/main">
            <a:off x="3285865" y="2312252"/>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BC7D478A-DE03-4DC8-BDA9-A6EE015B7E89}" type="TxLink">
              <a:rPr lang="en-US" sz="1200" b="1" i="0" u="none" strike="noStrike">
                <a:solidFill>
                  <a:schemeClr val="bg1">
                    <a:lumMod val="85000"/>
                  </a:schemeClr>
                </a:solidFill>
                <a:latin typeface="Arial"/>
                <a:cs typeface="Arial"/>
              </a:rPr>
              <a:pPr algn="l"/>
              <a:t>Principal Payment</a:t>
            </a:fld>
            <a:endParaRPr lang="en-US" sz="1600" b="1">
              <a:solidFill>
                <a:schemeClr val="bg1">
                  <a:lumMod val="85000"/>
                </a:schemeClr>
              </a:solidFill>
            </a:endParaRPr>
          </a:p>
        </cdr:txBody>
      </cdr:sp>
      <cdr:sp macro="" textlink="'Tornado Charts &amp; Risk Analysis'!$K$168">
        <cdr:nvSpPr>
          <cdr:cNvPr id="22" name="TextBox 21"/>
          <cdr:cNvSpPr txBox="1"/>
        </cdr:nvSpPr>
        <cdr:spPr>
          <a:xfrm xmlns:a="http://schemas.openxmlformats.org/drawingml/2006/main">
            <a:off x="3285865" y="2522990"/>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6EED524-FE91-4FBE-ACDF-E7BF13011F38}" type="TxLink">
              <a:rPr lang="en-US" sz="1200" b="1" i="0" u="none" strike="noStrike">
                <a:solidFill>
                  <a:schemeClr val="bg1">
                    <a:lumMod val="85000"/>
                  </a:schemeClr>
                </a:solidFill>
                <a:latin typeface="Arial"/>
                <a:cs typeface="Arial"/>
              </a:rPr>
              <a:pPr algn="l"/>
              <a:t>Decommissioning Costs</a:t>
            </a:fld>
            <a:endParaRPr lang="en-US" sz="1600" b="1">
              <a:solidFill>
                <a:schemeClr val="bg1">
                  <a:lumMod val="85000"/>
                </a:schemeClr>
              </a:solidFill>
            </a:endParaRPr>
          </a:p>
        </cdr:txBody>
      </cdr:sp>
      <cdr:sp macro="" textlink="'Tornado Charts &amp; Risk Analysis'!$K$169">
        <cdr:nvSpPr>
          <cdr:cNvPr id="23" name="TextBox 22"/>
          <cdr:cNvSpPr txBox="1"/>
        </cdr:nvSpPr>
        <cdr:spPr>
          <a:xfrm xmlns:a="http://schemas.openxmlformats.org/drawingml/2006/main">
            <a:off x="3285865" y="2733729"/>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D2B66E6-6FFE-46BD-A4AB-912AAE694DB1}" type="TxLink">
              <a:rPr lang="en-US" sz="1200" b="1" i="0" u="none" strike="noStrike">
                <a:solidFill>
                  <a:schemeClr val="bg1">
                    <a:lumMod val="85000"/>
                  </a:schemeClr>
                </a:solidFill>
                <a:latin typeface="Arial"/>
                <a:cs typeface="Arial"/>
              </a:rPr>
              <a:pPr algn="l"/>
              <a:t>Other Non-Depreciable Capital Costs</a:t>
            </a:fld>
            <a:endParaRPr lang="en-US" sz="1600" b="1">
              <a:solidFill>
                <a:schemeClr val="bg1">
                  <a:lumMod val="85000"/>
                </a:schemeClr>
              </a:solidFill>
            </a:endParaRPr>
          </a:p>
        </cdr:txBody>
      </cdr:sp>
      <cdr:sp macro="" textlink="'Tornado Charts &amp; Risk Analysis'!$K$170">
        <cdr:nvSpPr>
          <cdr:cNvPr id="24" name="TextBox 23"/>
          <cdr:cNvSpPr txBox="1"/>
        </cdr:nvSpPr>
        <cdr:spPr>
          <a:xfrm xmlns:a="http://schemas.openxmlformats.org/drawingml/2006/main">
            <a:off x="3285865" y="2944500"/>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56E9302-642A-4CBD-8FCC-3AFF5392C1BD}" type="TxLink">
              <a:rPr lang="en-US" sz="1200" b="1" i="0" u="none" strike="noStrike">
                <a:solidFill>
                  <a:schemeClr val="bg1">
                    <a:lumMod val="85000"/>
                  </a:schemeClr>
                </a:solidFill>
                <a:latin typeface="Arial"/>
                <a:cs typeface="Arial"/>
              </a:rPr>
              <a:pPr algn="l"/>
              <a:t>Other Raw Material Cost</a:t>
            </a:fld>
            <a:endParaRPr lang="en-US" sz="1600" b="1">
              <a:solidFill>
                <a:schemeClr val="bg1">
                  <a:lumMod val="85000"/>
                </a:schemeClr>
              </a:solidFill>
            </a:endParaRPr>
          </a:p>
        </cdr:txBody>
      </cdr:sp>
      <cdr:sp macro="" textlink="'Tornado Charts &amp; Risk Analysis'!$N$155">
        <cdr:nvSpPr>
          <cdr:cNvPr id="25" name="TextBox 1"/>
          <cdr:cNvSpPr txBox="1"/>
        </cdr:nvSpPr>
        <cdr:spPr>
          <a:xfrm xmlns:a="http://schemas.openxmlformats.org/drawingml/2006/main">
            <a:off x="0" y="1475395"/>
            <a:ext cx="3171255"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3CF3DF50-4B2B-42DF-9009-04CF89A181D7}" type="TxLink">
              <a:rPr lang="en-US" sz="1200" b="1" i="0" u="none" strike="noStrike">
                <a:solidFill>
                  <a:srgbClr val="303C18"/>
                </a:solidFill>
                <a:latin typeface="Arial"/>
                <a:cs typeface="Arial"/>
              </a:rPr>
              <a:pPr algn="l"/>
              <a:t>Cost of Hydrogen</a:t>
            </a:fld>
            <a:endParaRPr lang="en-US" sz="1600" b="1">
              <a:solidFill>
                <a:srgbClr val="303C18"/>
              </a:solidFill>
            </a:endParaRPr>
          </a:p>
        </cdr:txBody>
      </cdr:sp>
      <cdr:sp macro="" textlink="'Tornado Charts &amp; Risk Analysis'!$N$156">
        <cdr:nvSpPr>
          <cdr:cNvPr id="26" name="TextBox 2"/>
          <cdr:cNvSpPr txBox="1"/>
        </cdr:nvSpPr>
        <cdr:spPr>
          <a:xfrm xmlns:a="http://schemas.openxmlformats.org/drawingml/2006/main">
            <a:off x="0" y="1686166"/>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A678406-25C9-4E3A-9DE1-9025CD54AEA8}" type="TxLink">
              <a:rPr lang="en-US" sz="1200" b="1" i="0" u="none" strike="noStrike">
                <a:solidFill>
                  <a:srgbClr val="586D2D"/>
                </a:solidFill>
                <a:latin typeface="Arial"/>
                <a:cs typeface="Arial"/>
              </a:rPr>
              <a:pPr algn="l"/>
              <a:t>Salvage Value</a:t>
            </a:fld>
            <a:endParaRPr lang="en-US" sz="1600" b="1">
              <a:solidFill>
                <a:srgbClr val="586D2D"/>
              </a:solidFill>
            </a:endParaRPr>
          </a:p>
        </cdr:txBody>
      </cdr:sp>
      <cdr:sp macro="" textlink="'Tornado Charts &amp; Risk Analysis'!$N$157">
        <cdr:nvSpPr>
          <cdr:cNvPr id="27" name="TextBox 3"/>
          <cdr:cNvSpPr txBox="1"/>
        </cdr:nvSpPr>
        <cdr:spPr>
          <a:xfrm xmlns:a="http://schemas.openxmlformats.org/drawingml/2006/main">
            <a:off x="0" y="1896905"/>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50BA20F-6F04-4978-853C-4A3915100AA6}" type="TxLink">
              <a:rPr lang="en-US" sz="1200" b="1" i="0" u="none" strike="noStrike">
                <a:solidFill>
                  <a:srgbClr val="A0BF61"/>
                </a:solidFill>
                <a:latin typeface="Arial"/>
                <a:cs typeface="Arial"/>
              </a:rPr>
              <a:pPr algn="l"/>
              <a:t> </a:t>
            </a:fld>
            <a:endParaRPr lang="en-US" sz="1600" b="1">
              <a:solidFill>
                <a:srgbClr val="A0BF61"/>
              </a:solidFill>
            </a:endParaRPr>
          </a:p>
        </cdr:txBody>
      </cdr:sp>
      <cdr:sp macro="" textlink="'Tornado Charts &amp; Risk Analysis'!$N$159">
        <cdr:nvSpPr>
          <cdr:cNvPr id="28" name="TextBox 4"/>
          <cdr:cNvSpPr txBox="1"/>
        </cdr:nvSpPr>
        <cdr:spPr>
          <a:xfrm xmlns:a="http://schemas.openxmlformats.org/drawingml/2006/main">
            <a:off x="0" y="2310936"/>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126AE91F-686F-4A9D-A13C-5150903E61F0}" type="TxLink">
              <a:rPr lang="en-US" sz="1200" b="1" i="0" u="none" strike="noStrike">
                <a:solidFill>
                  <a:srgbClr val="0000FF"/>
                </a:solidFill>
                <a:latin typeface="Arial"/>
                <a:cs typeface="Arial"/>
              </a:rPr>
              <a:pPr algn="l"/>
              <a:t>Feedstock Cost</a:t>
            </a:fld>
            <a:endParaRPr lang="en-US" sz="1600" b="1">
              <a:solidFill>
                <a:srgbClr val="0000FF"/>
              </a:solidFill>
            </a:endParaRPr>
          </a:p>
        </cdr:txBody>
      </cdr:sp>
      <cdr:sp macro="" textlink="'Tornado Charts &amp; Risk Analysis'!$N$160">
        <cdr:nvSpPr>
          <cdr:cNvPr id="29" name="TextBox 5"/>
          <cdr:cNvSpPr txBox="1"/>
        </cdr:nvSpPr>
        <cdr:spPr>
          <a:xfrm xmlns:a="http://schemas.openxmlformats.org/drawingml/2006/main">
            <a:off x="0" y="2521675"/>
            <a:ext cx="3171255" cy="178514"/>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56C7DCE5-372B-46D2-B7B7-3CDE27DF9F6B}" type="TxLink">
              <a:rPr lang="en-US" sz="1200" b="1" i="0" u="none" strike="noStrike">
                <a:solidFill>
                  <a:srgbClr val="D60000"/>
                </a:solidFill>
                <a:latin typeface="Arial"/>
                <a:cs typeface="Arial"/>
              </a:rPr>
              <a:pPr algn="l"/>
              <a:t>Other Variable Operating Costs</a:t>
            </a:fld>
            <a:endParaRPr lang="en-US" sz="1600" b="1">
              <a:solidFill>
                <a:srgbClr val="D60000"/>
              </a:solidFill>
            </a:endParaRPr>
          </a:p>
        </cdr:txBody>
      </cdr:sp>
      <cdr:sp macro="" textlink="'Tornado Charts &amp; Risk Analysis'!$N$161">
        <cdr:nvSpPr>
          <cdr:cNvPr id="30" name="TextBox 6"/>
          <cdr:cNvSpPr txBox="1"/>
        </cdr:nvSpPr>
        <cdr:spPr>
          <a:xfrm xmlns:a="http://schemas.openxmlformats.org/drawingml/2006/main">
            <a:off x="0" y="2732413"/>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97F85BC-A0EE-464D-B9F4-C67E89C576B6}" type="TxLink">
              <a:rPr lang="en-US" sz="1200" b="1" i="0" u="none" strike="noStrike">
                <a:solidFill>
                  <a:srgbClr val="00AC00"/>
                </a:solidFill>
                <a:latin typeface="Arial"/>
                <a:cs typeface="Arial"/>
              </a:rPr>
              <a:pPr algn="l"/>
              <a:t>Initial Equity Depreciable Capital</a:t>
            </a:fld>
            <a:endParaRPr lang="en-US" sz="1600" b="1">
              <a:solidFill>
                <a:srgbClr val="00AC00"/>
              </a:solidFill>
            </a:endParaRPr>
          </a:p>
        </cdr:txBody>
      </cdr:sp>
      <cdr:sp macro="" textlink="'Tornado Charts &amp; Risk Analysis'!$N$162">
        <cdr:nvSpPr>
          <cdr:cNvPr id="31" name="TextBox 7"/>
          <cdr:cNvSpPr txBox="1"/>
        </cdr:nvSpPr>
        <cdr:spPr>
          <a:xfrm xmlns:a="http://schemas.openxmlformats.org/drawingml/2006/main">
            <a:off x="0" y="2943152"/>
            <a:ext cx="3171255"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66209EDD-8BD7-461E-A6D7-790384ED0F24}" type="TxLink">
              <a:rPr lang="en-US" sz="1200" b="1" i="0" u="none" strike="noStrike">
                <a:solidFill>
                  <a:srgbClr val="000096"/>
                </a:solidFill>
                <a:latin typeface="Arial"/>
                <a:cs typeface="Arial"/>
              </a:rPr>
              <a:pPr algn="l"/>
              <a:t>Yearly Replacement Costs</a:t>
            </a:fld>
            <a:endParaRPr lang="en-US" sz="1600" b="1">
              <a:solidFill>
                <a:srgbClr val="000096"/>
              </a:solidFill>
            </a:endParaRPr>
          </a:p>
        </cdr:txBody>
      </cdr:sp>
      <cdr:sp macro="" textlink="'Tornado Charts &amp; Risk Analysis'!$N$163">
        <cdr:nvSpPr>
          <cdr:cNvPr id="32" name="TextBox 8"/>
          <cdr:cNvSpPr txBox="1"/>
        </cdr:nvSpPr>
        <cdr:spPr>
          <a:xfrm xmlns:a="http://schemas.openxmlformats.org/drawingml/2006/main">
            <a:off x="3285865" y="1475395"/>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80E05FE-8497-41C1-86AB-F7393776E70B}" type="TxLink">
              <a:rPr lang="en-US" sz="1200" b="1" i="0" u="none" strike="noStrike">
                <a:solidFill>
                  <a:srgbClr val="E6009F"/>
                </a:solidFill>
                <a:latin typeface="Arial"/>
                <a:cs typeface="Arial"/>
              </a:rPr>
              <a:pPr algn="l"/>
              <a:t>Fixed Operating Cost</a:t>
            </a:fld>
            <a:endParaRPr lang="en-US" sz="1600" b="1">
              <a:solidFill>
                <a:srgbClr val="E6009F"/>
              </a:solidFill>
            </a:endParaRPr>
          </a:p>
        </cdr:txBody>
      </cdr:sp>
      <cdr:sp macro="" textlink="'Tornado Charts &amp; Risk Analysis'!$N$164">
        <cdr:nvSpPr>
          <cdr:cNvPr id="33" name="TextBox 9"/>
          <cdr:cNvSpPr txBox="1"/>
        </cdr:nvSpPr>
        <cdr:spPr>
          <a:xfrm xmlns:a="http://schemas.openxmlformats.org/drawingml/2006/main">
            <a:off x="3285865" y="1686166"/>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A8DF15AB-448A-4B80-BF96-F57D3D12A324}" type="TxLink">
              <a:rPr lang="en-US" sz="1200" b="1" i="0" u="none" strike="noStrike">
                <a:solidFill>
                  <a:srgbClr val="C1AB11"/>
                </a:solidFill>
                <a:latin typeface="Arial"/>
                <a:cs typeface="Arial"/>
              </a:rPr>
              <a:pPr algn="l"/>
              <a:t>Debt Interest</a:t>
            </a:fld>
            <a:endParaRPr lang="en-US" sz="1600" b="1">
              <a:solidFill>
                <a:srgbClr val="C1AB11"/>
              </a:solidFill>
            </a:endParaRPr>
          </a:p>
        </cdr:txBody>
      </cdr:sp>
      <cdr:sp macro="" textlink="'Tornado Charts &amp; Risk Analysis'!$N$165">
        <cdr:nvSpPr>
          <cdr:cNvPr id="34" name="TextBox 10"/>
          <cdr:cNvSpPr txBox="1"/>
        </cdr:nvSpPr>
        <cdr:spPr>
          <a:xfrm xmlns:a="http://schemas.openxmlformats.org/drawingml/2006/main">
            <a:off x="3285865" y="1896905"/>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6FC40E4-75A6-4D5D-A5CC-98D825CBD79F}" type="TxLink">
              <a:rPr lang="en-US" sz="1200" b="1" i="0" u="none" strike="noStrike">
                <a:solidFill>
                  <a:srgbClr val="A800D0"/>
                </a:solidFill>
                <a:latin typeface="Arial"/>
                <a:cs typeface="Arial"/>
              </a:rPr>
              <a:pPr algn="l"/>
              <a:t>Taxes</a:t>
            </a:fld>
            <a:endParaRPr lang="en-US" sz="1600" b="1">
              <a:solidFill>
                <a:srgbClr val="A800D0"/>
              </a:solidFill>
            </a:endParaRPr>
          </a:p>
        </cdr:txBody>
      </cdr:sp>
      <cdr:sp macro="" textlink="'Tornado Charts &amp; Risk Analysis'!$N$166">
        <cdr:nvSpPr>
          <cdr:cNvPr id="35" name="TextBox 11"/>
          <cdr:cNvSpPr txBox="1"/>
        </cdr:nvSpPr>
        <cdr:spPr>
          <a:xfrm xmlns:a="http://schemas.openxmlformats.org/drawingml/2006/main">
            <a:off x="3285865" y="2107643"/>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13C7E2E-1913-40DA-8872-EF3979D98265}" type="TxLink">
              <a:rPr lang="en-US" sz="1200" b="1" i="0" u="none" strike="noStrike">
                <a:solidFill>
                  <a:srgbClr val="8484FF"/>
                </a:solidFill>
                <a:latin typeface="Arial"/>
                <a:cs typeface="Arial"/>
              </a:rPr>
              <a:pPr algn="l"/>
              <a:t>Cash for Working Capital Reserve</a:t>
            </a:fld>
            <a:endParaRPr lang="en-US" sz="1600" b="1">
              <a:solidFill>
                <a:srgbClr val="8484FF"/>
              </a:solidFill>
            </a:endParaRPr>
          </a:p>
        </cdr:txBody>
      </cdr:sp>
      <cdr:sp macro="" textlink="'Tornado Charts &amp; Risk Analysis'!$N$167">
        <cdr:nvSpPr>
          <cdr:cNvPr id="36" name="TextBox 12"/>
          <cdr:cNvSpPr txBox="1"/>
        </cdr:nvSpPr>
        <cdr:spPr>
          <a:xfrm xmlns:a="http://schemas.openxmlformats.org/drawingml/2006/main">
            <a:off x="3285865" y="2310936"/>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F0725C6-82C9-4A97-91E4-88AFA6D93A2B}" type="TxLink">
              <a:rPr lang="en-US" sz="1200" b="1" i="0" u="none" strike="noStrike">
                <a:solidFill>
                  <a:srgbClr val="82413A"/>
                </a:solidFill>
                <a:latin typeface="Arial"/>
                <a:cs typeface="Arial"/>
              </a:rPr>
              <a:pPr algn="l"/>
              <a:t>Principal Payment</a:t>
            </a:fld>
            <a:endParaRPr lang="en-US" sz="1600" b="1">
              <a:solidFill>
                <a:srgbClr val="82413A"/>
              </a:solidFill>
            </a:endParaRPr>
          </a:p>
        </cdr:txBody>
      </cdr:sp>
      <cdr:sp macro="" textlink="'Tornado Charts &amp; Risk Analysis'!$N$168">
        <cdr:nvSpPr>
          <cdr:cNvPr id="37" name="TextBox 13"/>
          <cdr:cNvSpPr txBox="1"/>
        </cdr:nvSpPr>
        <cdr:spPr>
          <a:xfrm xmlns:a="http://schemas.openxmlformats.org/drawingml/2006/main">
            <a:off x="3285865" y="2521675"/>
            <a:ext cx="3171256" cy="178514"/>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BE5C80B2-FA72-4648-8162-D2195A463FF6}" type="TxLink">
              <a:rPr lang="en-US" sz="1200" b="1" i="0" u="none" strike="noStrike">
                <a:solidFill>
                  <a:srgbClr val="00C898"/>
                </a:solidFill>
                <a:latin typeface="Arial"/>
                <a:cs typeface="Arial"/>
              </a:rPr>
              <a:pPr algn="l"/>
              <a:t>Decommissioning Costs</a:t>
            </a:fld>
            <a:endParaRPr lang="en-US" sz="1600" b="1">
              <a:solidFill>
                <a:srgbClr val="00C898"/>
              </a:solidFill>
            </a:endParaRPr>
          </a:p>
        </cdr:txBody>
      </cdr:sp>
      <cdr:sp macro="" textlink="'Tornado Charts &amp; Risk Analysis'!$N$169">
        <cdr:nvSpPr>
          <cdr:cNvPr id="38" name="TextBox 14"/>
          <cdr:cNvSpPr txBox="1"/>
        </cdr:nvSpPr>
        <cdr:spPr>
          <a:xfrm xmlns:a="http://schemas.openxmlformats.org/drawingml/2006/main">
            <a:off x="3285865" y="2732413"/>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EDED5BC-890B-43B5-8A4B-04621904B678}" type="TxLink">
              <a:rPr lang="en-US" sz="1200" b="1" i="0" u="none" strike="noStrike">
                <a:solidFill>
                  <a:srgbClr val="006876"/>
                </a:solidFill>
                <a:latin typeface="Arial"/>
                <a:cs typeface="Arial"/>
              </a:rPr>
              <a:pPr algn="l"/>
              <a:t>Other Non-Depreciable Capital Costs</a:t>
            </a:fld>
            <a:endParaRPr lang="en-US" sz="1600" b="1">
              <a:solidFill>
                <a:srgbClr val="006876"/>
              </a:solidFill>
            </a:endParaRPr>
          </a:p>
        </cdr:txBody>
      </cdr:sp>
      <cdr:sp macro="" textlink="'Tornado Charts &amp; Risk Analysis'!$N$170">
        <cdr:nvSpPr>
          <cdr:cNvPr id="39" name="TextBox 15"/>
          <cdr:cNvSpPr txBox="1"/>
        </cdr:nvSpPr>
        <cdr:spPr>
          <a:xfrm xmlns:a="http://schemas.openxmlformats.org/drawingml/2006/main">
            <a:off x="3285865" y="2943152"/>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2EE1D46-39E8-47AB-90DA-1E6B82EEBE06}" type="TxLink">
              <a:rPr lang="en-US" sz="1200" b="1" i="0" u="none" strike="noStrike">
                <a:solidFill>
                  <a:srgbClr val="A2BF37"/>
                </a:solidFill>
                <a:latin typeface="Arial"/>
                <a:cs typeface="Arial"/>
              </a:rPr>
              <a:pPr algn="l"/>
              <a:t> </a:t>
            </a:fld>
            <a:endParaRPr lang="en-US" sz="1600" b="1">
              <a:solidFill>
                <a:srgbClr val="A2BF37"/>
              </a:solidFill>
            </a:endParaRPr>
          </a:p>
        </cdr:txBody>
      </cdr:sp>
    </cdr:grpSp>
  </cdr:relSizeAnchor>
</c:userShapes>
</file>

<file path=xl/drawings/drawing13.xml><?xml version="1.0" encoding="utf-8"?>
<xdr:wsDr xmlns:xdr="http://schemas.openxmlformats.org/drawingml/2006/spreadsheetDrawing" xmlns:a="http://schemas.openxmlformats.org/drawingml/2006/main">
  <xdr:twoCellAnchor editAs="oneCell">
    <xdr:from>
      <xdr:col>1</xdr:col>
      <xdr:colOff>762254</xdr:colOff>
      <xdr:row>13</xdr:row>
      <xdr:rowOff>33299</xdr:rowOff>
    </xdr:from>
    <xdr:to>
      <xdr:col>3</xdr:col>
      <xdr:colOff>665024</xdr:colOff>
      <xdr:row>15</xdr:row>
      <xdr:rowOff>94009</xdr:rowOff>
    </xdr:to>
    <xdr:sp macro="[0]!RunSensitivities" textlink="">
      <xdr:nvSpPr>
        <xdr:cNvPr id="2" name="Rounded Rectangle 1">
          <a:extLst>
            <a:ext uri="{FF2B5EF4-FFF2-40B4-BE49-F238E27FC236}">
              <a16:creationId xmlns:a16="http://schemas.microsoft.com/office/drawing/2014/main" id="{00000000-0008-0000-0900-000002000000}"/>
            </a:ext>
          </a:extLst>
        </xdr:cNvPr>
        <xdr:cNvSpPr/>
      </xdr:nvSpPr>
      <xdr:spPr>
        <a:xfrm>
          <a:off x="1244107" y="2397740"/>
          <a:ext cx="3331770" cy="37447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Update Charts</a:t>
          </a:r>
          <a:r>
            <a:rPr lang="en-US" sz="1200" b="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  and Risk </a:t>
          </a: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Analysis</a:t>
          </a:r>
        </a:p>
      </xdr:txBody>
    </xdr:sp>
    <xdr:clientData/>
  </xdr:twoCellAnchor>
  <xdr:twoCellAnchor editAs="absolute">
    <xdr:from>
      <xdr:col>0</xdr:col>
      <xdr:colOff>385879</xdr:colOff>
      <xdr:row>18</xdr:row>
      <xdr:rowOff>79103</xdr:rowOff>
    </xdr:from>
    <xdr:to>
      <xdr:col>4</xdr:col>
      <xdr:colOff>910172</xdr:colOff>
      <xdr:row>35</xdr:row>
      <xdr:rowOff>107</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985670</xdr:colOff>
      <xdr:row>11</xdr:row>
      <xdr:rowOff>65060</xdr:rowOff>
    </xdr:from>
    <xdr:to>
      <xdr:col>13</xdr:col>
      <xdr:colOff>315112</xdr:colOff>
      <xdr:row>39</xdr:row>
      <xdr:rowOff>137332</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896</xdr:colOff>
      <xdr:row>13</xdr:row>
      <xdr:rowOff>33299</xdr:rowOff>
    </xdr:from>
    <xdr:to>
      <xdr:col>4</xdr:col>
      <xdr:colOff>1327930</xdr:colOff>
      <xdr:row>15</xdr:row>
      <xdr:rowOff>109498</xdr:rowOff>
    </xdr:to>
    <xdr:sp macro="[0]!InputSheet" textlink="">
      <xdr:nvSpPr>
        <xdr:cNvPr id="5" name="Rounded Rectangle 4">
          <a:extLst>
            <a:ext uri="{FF2B5EF4-FFF2-40B4-BE49-F238E27FC236}">
              <a16:creationId xmlns:a16="http://schemas.microsoft.com/office/drawing/2014/main" id="{00000000-0008-0000-0900-000005000000}"/>
            </a:ext>
          </a:extLst>
        </xdr:cNvPr>
        <xdr:cNvSpPr/>
      </xdr:nvSpPr>
      <xdr:spPr>
        <a:xfrm>
          <a:off x="5290072" y="2397740"/>
          <a:ext cx="1327034" cy="38996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14</xdr:col>
      <xdr:colOff>498523</xdr:colOff>
      <xdr:row>12</xdr:row>
      <xdr:rowOff>86940</xdr:rowOff>
    </xdr:from>
    <xdr:to>
      <xdr:col>20</xdr:col>
      <xdr:colOff>746236</xdr:colOff>
      <xdr:row>34</xdr:row>
      <xdr:rowOff>143484</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4.xml><?xml version="1.0" encoding="utf-8"?>
<c:userShapes xmlns:c="http://schemas.openxmlformats.org/drawingml/2006/chart">
  <cdr:relSizeAnchor xmlns:cdr="http://schemas.openxmlformats.org/drawingml/2006/chartDrawing">
    <cdr:from>
      <cdr:x>0</cdr:x>
      <cdr:y>0.05007</cdr:y>
    </cdr:from>
    <cdr:to>
      <cdr:x>0.40603</cdr:x>
      <cdr:y>0.19461</cdr:y>
    </cdr:to>
    <cdr:sp macro="" textlink="'Tornado Charts &amp; Risk Analysis'!$D$101">
      <cdr:nvSpPr>
        <cdr:cNvPr id="2" name="TextBox 1"/>
        <cdr:cNvSpPr txBox="1"/>
      </cdr:nvSpPr>
      <cdr:spPr>
        <a:xfrm xmlns:a="http://schemas.openxmlformats.org/drawingml/2006/main">
          <a:off x="0" y="139785"/>
          <a:ext cx="2425167" cy="40351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E4557AD3-3FFA-4612-AB70-FE1609D95A4A}" type="TxLink">
            <a:rPr lang="en-US" sz="900" b="0" i="0" u="none" strike="noStrike">
              <a:solidFill>
                <a:srgbClr val="000000"/>
              </a:solidFill>
              <a:latin typeface="Arial"/>
              <a:cs typeface="Arial"/>
            </a:rPr>
            <a:pPr/>
            <a:t>Feedstock Consumption (% of baseline)
(95%, 100%, 105%)</a:t>
          </a:fld>
          <a:endParaRPr lang="en-US" sz="900"/>
        </a:p>
      </cdr:txBody>
    </cdr:sp>
  </cdr:relSizeAnchor>
  <cdr:relSizeAnchor xmlns:cdr="http://schemas.openxmlformats.org/drawingml/2006/chartDrawing">
    <cdr:from>
      <cdr:x>0</cdr:x>
      <cdr:y>0.17027</cdr:y>
    </cdr:from>
    <cdr:to>
      <cdr:x>0.40603</cdr:x>
      <cdr:y>0.31481</cdr:y>
    </cdr:to>
    <cdr:sp macro="" textlink="'Tornado Charts &amp; Risk Analysis'!$D$102">
      <cdr:nvSpPr>
        <cdr:cNvPr id="3" name="TextBox 1"/>
        <cdr:cNvSpPr txBox="1"/>
      </cdr:nvSpPr>
      <cdr:spPr>
        <a:xfrm xmlns:a="http://schemas.openxmlformats.org/drawingml/2006/main">
          <a:off x="0" y="475339"/>
          <a:ext cx="2425167" cy="40351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18B4A170-36C1-4FF1-8753-EC843AF7CFD4}" type="TxLink">
            <a:rPr lang="en-US" sz="900" b="0" i="0" u="none" strike="noStrike">
              <a:solidFill>
                <a:srgbClr val="000000"/>
              </a:solidFill>
              <a:latin typeface="Arial"/>
              <a:cs typeface="Arial"/>
            </a:rPr>
            <a:pPr/>
            <a:t>Operating Capacity Factor
(95%, 90%, 86%)</a:t>
          </a:fld>
          <a:endParaRPr lang="en-US" sz="900"/>
        </a:p>
      </cdr:txBody>
    </cdr:sp>
  </cdr:relSizeAnchor>
  <cdr:relSizeAnchor xmlns:cdr="http://schemas.openxmlformats.org/drawingml/2006/chartDrawing">
    <cdr:from>
      <cdr:x>0</cdr:x>
      <cdr:y>0.29235</cdr:y>
    </cdr:from>
    <cdr:to>
      <cdr:x>0.40603</cdr:x>
      <cdr:y>0.43689</cdr:y>
    </cdr:to>
    <cdr:sp macro="" textlink="'Tornado Charts &amp; Risk Analysis'!$D$103">
      <cdr:nvSpPr>
        <cdr:cNvPr id="4" name="TextBox 1"/>
        <cdr:cNvSpPr txBox="1"/>
      </cdr:nvSpPr>
      <cdr:spPr>
        <a:xfrm xmlns:a="http://schemas.openxmlformats.org/drawingml/2006/main">
          <a:off x="0" y="816153"/>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8434EE8-AC22-47B9-99A7-781E0F7E0274}" type="TxLink">
            <a:rPr lang="en-US" sz="900" b="0" i="0" u="none" strike="noStrike">
              <a:solidFill>
                <a:srgbClr val="000000"/>
              </a:solidFill>
              <a:latin typeface="Arial"/>
              <a:cs typeface="Arial"/>
            </a:rPr>
            <a:pPr/>
            <a:t>Total Capital Investment
($460,000K, $484,210K, $508,421K) </a:t>
          </a:fld>
          <a:endParaRPr lang="en-US" sz="900" b="0"/>
        </a:p>
      </cdr:txBody>
    </cdr:sp>
  </cdr:relSizeAnchor>
  <cdr:relSizeAnchor xmlns:cdr="http://schemas.openxmlformats.org/drawingml/2006/chartDrawing">
    <cdr:from>
      <cdr:x>0</cdr:x>
      <cdr:y>0.41262</cdr:y>
    </cdr:from>
    <cdr:to>
      <cdr:x>0.40603</cdr:x>
      <cdr:y>0.55716</cdr:y>
    </cdr:to>
    <cdr:sp macro="" textlink="'Tornado Charts &amp; Risk Analysis'!$D$104">
      <cdr:nvSpPr>
        <cdr:cNvPr id="5" name="TextBox 1"/>
        <cdr:cNvSpPr txBox="1"/>
      </cdr:nvSpPr>
      <cdr:spPr>
        <a:xfrm xmlns:a="http://schemas.openxmlformats.org/drawingml/2006/main">
          <a:off x="0" y="1151918"/>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B57ED639-36AF-49DA-A809-A55F7C3C4D22}" type="TxLink">
            <a:rPr lang="en-US" sz="900" b="0" i="0" u="none" strike="noStrike">
              <a:solidFill>
                <a:srgbClr val="000000"/>
              </a:solidFill>
              <a:latin typeface="Arial"/>
              <a:cs typeface="Arial"/>
            </a:rPr>
            <a:pPr/>
            <a:t>Plant Design Capacity (kg of H2/day)
(398,356, 379,387, 360,418) </a:t>
          </a:fld>
          <a:endParaRPr lang="en-US" sz="900"/>
        </a:p>
      </cdr:txBody>
    </cdr:sp>
  </cdr:relSizeAnchor>
  <cdr:relSizeAnchor xmlns:cdr="http://schemas.openxmlformats.org/drawingml/2006/chartDrawing">
    <cdr:from>
      <cdr:x>0</cdr:x>
      <cdr:y>0.65427</cdr:y>
    </cdr:from>
    <cdr:to>
      <cdr:x>0.40603</cdr:x>
      <cdr:y>0.7988</cdr:y>
    </cdr:to>
    <cdr:sp macro="" textlink="'Tornado Charts &amp; Risk Analysis'!$D$106">
      <cdr:nvSpPr>
        <cdr:cNvPr id="6" name="TextBox 1"/>
        <cdr:cNvSpPr txBox="1"/>
      </cdr:nvSpPr>
      <cdr:spPr>
        <a:xfrm xmlns:a="http://schemas.openxmlformats.org/drawingml/2006/main">
          <a:off x="0" y="182653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DBCA55E7-274E-4832-9AA5-AADB5DCC42D1}" type="TxLink">
            <a:rPr lang="en-US" sz="900" b="0" i="0" u="none" strike="noStrike">
              <a:solidFill>
                <a:srgbClr val="000000"/>
              </a:solidFill>
              <a:latin typeface="Arial"/>
              <a:cs typeface="Arial"/>
            </a:rPr>
            <a:pPr/>
            <a:t>Total Fixed Operating Cost
($13,871K, $14,601K, $15,331K) </a:t>
          </a:fld>
          <a:endParaRPr lang="en-US" sz="900"/>
        </a:p>
      </cdr:txBody>
    </cdr:sp>
  </cdr:relSizeAnchor>
  <cdr:relSizeAnchor xmlns:cdr="http://schemas.openxmlformats.org/drawingml/2006/chartDrawing">
    <cdr:from>
      <cdr:x>0</cdr:x>
      <cdr:y>0.77416</cdr:y>
    </cdr:from>
    <cdr:to>
      <cdr:x>0.40603</cdr:x>
      <cdr:y>0.9187</cdr:y>
    </cdr:to>
    <cdr:sp macro="" textlink="'Tornado Charts &amp; Risk Analysis'!$D$107">
      <cdr:nvSpPr>
        <cdr:cNvPr id="7" name="TextBox 1"/>
        <cdr:cNvSpPr txBox="1"/>
      </cdr:nvSpPr>
      <cdr:spPr>
        <a:xfrm xmlns:a="http://schemas.openxmlformats.org/drawingml/2006/main">
          <a:off x="0" y="2161211"/>
          <a:ext cx="2425167" cy="40351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8125BA22-AFA0-4122-A73E-E317C234C9DA}" type="TxLink">
            <a:rPr lang="en-US" sz="900" b="0" i="0" u="none" strike="noStrike">
              <a:solidFill>
                <a:srgbClr val="000000"/>
              </a:solidFill>
              <a:latin typeface="Arial"/>
              <a:cs typeface="Arial"/>
            </a:rPr>
            <a:pPr/>
            <a:t>Utilities Consumption (% of baseline)
(95%, 100%, 105%)</a:t>
          </a:fld>
          <a:endParaRPr lang="en-US" sz="900"/>
        </a:p>
      </cdr:txBody>
    </cdr:sp>
  </cdr:relSizeAnchor>
  <cdr:relSizeAnchor xmlns:cdr="http://schemas.openxmlformats.org/drawingml/2006/chartDrawing">
    <cdr:from>
      <cdr:x>0</cdr:x>
      <cdr:y>0.53492</cdr:y>
    </cdr:from>
    <cdr:to>
      <cdr:x>0.40603</cdr:x>
      <cdr:y>0.67945</cdr:y>
    </cdr:to>
    <cdr:sp macro="" textlink="'Tornado Charts &amp; Risk Analysis'!$D$105">
      <cdr:nvSpPr>
        <cdr:cNvPr id="8" name="TextBox 1"/>
        <cdr:cNvSpPr txBox="1"/>
      </cdr:nvSpPr>
      <cdr:spPr>
        <a:xfrm xmlns:a="http://schemas.openxmlformats.org/drawingml/2006/main">
          <a:off x="0" y="149332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9C1DA82-80D0-4BC7-B896-AC0B3C0802CD}" type="TxLink">
            <a:rPr lang="en-US" sz="900" b="0" i="0" u="none" strike="noStrike">
              <a:solidFill>
                <a:srgbClr val="000000"/>
              </a:solidFill>
              <a:latin typeface="Arial"/>
              <a:cs typeface="Arial"/>
            </a:rPr>
            <a:pPr/>
            <a:t>After-tax Real IRR
(8%, 8%, 8%)</a:t>
          </a:fld>
          <a:endParaRPr lang="en-US" sz="900"/>
        </a:p>
      </cdr:txBody>
    </cdr:sp>
  </cdr:relSizeAnchor>
</c:userShapes>
</file>

<file path=xl/drawings/drawing15.xml><?xml version="1.0" encoding="utf-8"?>
<c:userShapes xmlns:c="http://schemas.openxmlformats.org/drawingml/2006/chart">
  <cdr:relSizeAnchor xmlns:cdr="http://schemas.openxmlformats.org/drawingml/2006/chartDrawing">
    <cdr:from>
      <cdr:x>0.40218</cdr:x>
      <cdr:y>0.91118</cdr:y>
    </cdr:from>
    <cdr:to>
      <cdr:x>0.77277</cdr:x>
      <cdr:y>1</cdr:y>
    </cdr:to>
    <cdr:sp macro="" textlink="'Tornado Charts &amp; Risk Analysis'!$R$12:$U$12">
      <cdr:nvSpPr>
        <cdr:cNvPr id="2" name="TextBox 1">
          <a:extLst xmlns:a="http://schemas.openxmlformats.org/drawingml/2006/main">
            <a:ext uri="{FF2B5EF4-FFF2-40B4-BE49-F238E27FC236}">
              <a16:creationId xmlns:a16="http://schemas.microsoft.com/office/drawing/2014/main" id="{4B8A9494-F83A-4B1F-BA75-E3E323E02F8D}"/>
            </a:ext>
          </a:extLst>
        </cdr:cNvPr>
        <cdr:cNvSpPr txBox="1"/>
      </cdr:nvSpPr>
      <cdr:spPr>
        <a:xfrm xmlns:a="http://schemas.openxmlformats.org/drawingml/2006/main">
          <a:off x="2213299" y="3196384"/>
          <a:ext cx="2039471" cy="31157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463CA21B-37CA-413B-BED3-883D139C996B}" type="TxLink">
            <a:rPr lang="en-US" sz="1000" b="0" i="0" u="none" strike="noStrike">
              <a:solidFill>
                <a:srgbClr val="000000"/>
              </a:solidFill>
              <a:latin typeface="Arial"/>
              <a:cs typeface="Arial"/>
            </a:rPr>
            <a:pPr/>
            <a:t>Cost of hydrogen ($/kg)</a:t>
          </a:fld>
          <a:endParaRPr lang="en-US" sz="1100"/>
        </a:p>
      </cdr:txBody>
    </cdr:sp>
  </cdr:relSizeAnchor>
  <cdr:relSizeAnchor xmlns:cdr="http://schemas.openxmlformats.org/drawingml/2006/chartDrawing">
    <cdr:from>
      <cdr:x>0.93771</cdr:x>
      <cdr:y>0.30424</cdr:y>
    </cdr:from>
    <cdr:to>
      <cdr:x>1</cdr:x>
      <cdr:y>0.77382</cdr:y>
    </cdr:to>
    <cdr:sp macro="" textlink="">
      <cdr:nvSpPr>
        <cdr:cNvPr id="3" name="TextBox 2">
          <a:extLst xmlns:a="http://schemas.openxmlformats.org/drawingml/2006/main">
            <a:ext uri="{FF2B5EF4-FFF2-40B4-BE49-F238E27FC236}">
              <a16:creationId xmlns:a16="http://schemas.microsoft.com/office/drawing/2014/main" id="{6499FE55-61DB-4948-8EE4-F845D86E32AD}"/>
            </a:ext>
          </a:extLst>
        </cdr:cNvPr>
        <cdr:cNvSpPr txBox="1"/>
      </cdr:nvSpPr>
      <cdr:spPr>
        <a:xfrm xmlns:a="http://schemas.openxmlformats.org/drawingml/2006/main" rot="5400000">
          <a:off x="4508226" y="1719488"/>
          <a:ext cx="1647265" cy="34282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a:t>Bin probability</a:t>
          </a:r>
        </a:p>
      </cdr:txBody>
    </cdr:sp>
  </cdr:relSizeAnchor>
  <cdr:relSizeAnchor xmlns:cdr="http://schemas.openxmlformats.org/drawingml/2006/chartDrawing">
    <cdr:from>
      <cdr:x>0.00923</cdr:x>
      <cdr:y>0.19017</cdr:y>
    </cdr:from>
    <cdr:to>
      <cdr:x>0.07153</cdr:x>
      <cdr:y>0.65975</cdr:y>
    </cdr:to>
    <cdr:sp macro="" textlink="">
      <cdr:nvSpPr>
        <cdr:cNvPr id="4" name="TextBox 1">
          <a:extLst xmlns:a="http://schemas.openxmlformats.org/drawingml/2006/main">
            <a:ext uri="{FF2B5EF4-FFF2-40B4-BE49-F238E27FC236}">
              <a16:creationId xmlns:a16="http://schemas.microsoft.com/office/drawing/2014/main" id="{4A8D474E-8764-48A6-AA9E-85D0A97C8A8C}"/>
            </a:ext>
          </a:extLst>
        </cdr:cNvPr>
        <cdr:cNvSpPr txBox="1"/>
      </cdr:nvSpPr>
      <cdr:spPr>
        <a:xfrm xmlns:a="http://schemas.openxmlformats.org/drawingml/2006/main" rot="16200000">
          <a:off x="-601420" y="1319345"/>
          <a:ext cx="1647265" cy="342824"/>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a:t>Cumulative probability</a:t>
          </a:r>
        </a:p>
      </cdr:txBody>
    </cdr:sp>
  </cdr:relSizeAnchor>
</c:userShapes>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247650</xdr:colOff>
          <xdr:row>1</xdr:row>
          <xdr:rowOff>19050</xdr:rowOff>
        </xdr:from>
        <xdr:to>
          <xdr:col>13</xdr:col>
          <xdr:colOff>38100</xdr:colOff>
          <xdr:row>4</xdr:row>
          <xdr:rowOff>95250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E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rial"/>
                  <a:cs typeface="Arial"/>
                </a:rPr>
                <a:t>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68</xdr:row>
          <xdr:rowOff>57150</xdr:rowOff>
        </xdr:from>
        <xdr:to>
          <xdr:col>4</xdr:col>
          <xdr:colOff>76200</xdr:colOff>
          <xdr:row>68</xdr:row>
          <xdr:rowOff>495300</xdr:rowOff>
        </xdr:to>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0E00-000007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rial"/>
                  <a:cs typeface="Arial"/>
                </a:rPr>
                <a:t>Done</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7042150</xdr:colOff>
          <xdr:row>0</xdr:row>
          <xdr:rowOff>95250</xdr:rowOff>
        </xdr:from>
        <xdr:to>
          <xdr:col>2</xdr:col>
          <xdr:colOff>57150</xdr:colOff>
          <xdr:row>2</xdr:row>
          <xdr:rowOff>95250</xdr:rowOff>
        </xdr:to>
        <xdr:sp macro="" textlink="">
          <xdr:nvSpPr>
            <xdr:cNvPr id="30721" name="cmdInputSheet5" hidden="1">
              <a:extLst>
                <a:ext uri="{63B3BB69-23CF-44E3-9099-C40C66FF867C}">
                  <a14:compatExt spid="_x0000_s30721"/>
                </a:ext>
                <a:ext uri="{FF2B5EF4-FFF2-40B4-BE49-F238E27FC236}">
                  <a16:creationId xmlns:a16="http://schemas.microsoft.com/office/drawing/2014/main" id="{00000000-0008-0000-13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5765800</xdr:colOff>
          <xdr:row>0</xdr:row>
          <xdr:rowOff>95250</xdr:rowOff>
        </xdr:from>
        <xdr:to>
          <xdr:col>1</xdr:col>
          <xdr:colOff>6915150</xdr:colOff>
          <xdr:row>2</xdr:row>
          <xdr:rowOff>95250</xdr:rowOff>
        </xdr:to>
        <xdr:sp macro="" textlink="">
          <xdr:nvSpPr>
            <xdr:cNvPr id="31745" name="cmdInputSheet4" hidden="1">
              <a:extLst>
                <a:ext uri="{63B3BB69-23CF-44E3-9099-C40C66FF867C}">
                  <a14:compatExt spid="_x0000_s31745"/>
                </a:ext>
                <a:ext uri="{FF2B5EF4-FFF2-40B4-BE49-F238E27FC236}">
                  <a16:creationId xmlns:a16="http://schemas.microsoft.com/office/drawing/2014/main" id="{00000000-0008-0000-1400-00000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647700</xdr:colOff>
          <xdr:row>1</xdr:row>
          <xdr:rowOff>12700</xdr:rowOff>
        </xdr:from>
        <xdr:to>
          <xdr:col>3</xdr:col>
          <xdr:colOff>1803400</xdr:colOff>
          <xdr:row>1</xdr:row>
          <xdr:rowOff>457200</xdr:rowOff>
        </xdr:to>
        <xdr:sp macro="" textlink="">
          <xdr:nvSpPr>
            <xdr:cNvPr id="32769" name="cmdInputSheet3" hidden="1">
              <a:extLst>
                <a:ext uri="{63B3BB69-23CF-44E3-9099-C40C66FF867C}">
                  <a14:compatExt spid="_x0000_s32769"/>
                </a:ext>
                <a:ext uri="{FF2B5EF4-FFF2-40B4-BE49-F238E27FC236}">
                  <a16:creationId xmlns:a16="http://schemas.microsoft.com/office/drawing/2014/main" id="{00000000-0008-0000-1500-000001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www.nrel.gov/" TargetMode="External"/><Relationship Id="rId1" Type="http://schemas.openxmlformats.org/officeDocument/2006/relationships/hyperlink" Target="mailto:mike.penev@nrel.gov"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9.emf"/><Relationship Id="rId3" Type="http://schemas.openxmlformats.org/officeDocument/2006/relationships/vmlDrawing" Target="../drawings/vmlDrawing1.vml"/><Relationship Id="rId21" Type="http://schemas.openxmlformats.org/officeDocument/2006/relationships/image" Target="../media/image10.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3.emf"/><Relationship Id="rId7" Type="http://schemas.openxmlformats.org/officeDocument/2006/relationships/image" Target="../media/image3.emf"/><Relationship Id="rId12" Type="http://schemas.openxmlformats.org/officeDocument/2006/relationships/control" Target="../activeX/activeX5.xml"/><Relationship Id="rId17" Type="http://schemas.openxmlformats.org/officeDocument/2006/relationships/image" Target="../media/image8.emf"/><Relationship Id="rId25" Type="http://schemas.openxmlformats.org/officeDocument/2006/relationships/image" Target="../media/image12.emf"/><Relationship Id="rId33" Type="http://schemas.openxmlformats.org/officeDocument/2006/relationships/image" Target="../media/image16.emf"/><Relationship Id="rId38" Type="http://schemas.openxmlformats.org/officeDocument/2006/relationships/control" Target="../activeX/activeX18.xml"/><Relationship Id="rId46" Type="http://schemas.openxmlformats.org/officeDocument/2006/relationships/control" Target="../activeX/activeX22.xml"/><Relationship Id="rId2" Type="http://schemas.openxmlformats.org/officeDocument/2006/relationships/drawing" Target="../drawings/drawing4.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4.emf"/><Relationship Id="rId41" Type="http://schemas.openxmlformats.org/officeDocument/2006/relationships/image" Target="../media/image20.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5.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8.emf"/><Relationship Id="rId40" Type="http://schemas.openxmlformats.org/officeDocument/2006/relationships/control" Target="../activeX/activeX19.xml"/><Relationship Id="rId45" Type="http://schemas.openxmlformats.org/officeDocument/2006/relationships/image" Target="../media/image22.emf"/><Relationship Id="rId5" Type="http://schemas.openxmlformats.org/officeDocument/2006/relationships/image" Target="../media/image2.emf"/><Relationship Id="rId15" Type="http://schemas.openxmlformats.org/officeDocument/2006/relationships/image" Target="../media/image7.emf"/><Relationship Id="rId23" Type="http://schemas.openxmlformats.org/officeDocument/2006/relationships/image" Target="../media/image11.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9.emf"/><Relationship Id="rId31" Type="http://schemas.openxmlformats.org/officeDocument/2006/relationships/image" Target="../media/image15.emf"/><Relationship Id="rId44" Type="http://schemas.openxmlformats.org/officeDocument/2006/relationships/control" Target="../activeX/activeX21.xml"/><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3.emf"/><Relationship Id="rId30" Type="http://schemas.openxmlformats.org/officeDocument/2006/relationships/control" Target="../activeX/activeX14.xml"/><Relationship Id="rId35" Type="http://schemas.openxmlformats.org/officeDocument/2006/relationships/image" Target="../media/image17.emf"/><Relationship Id="rId43" Type="http://schemas.openxmlformats.org/officeDocument/2006/relationships/image" Target="../media/image21.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www.chemicals-technology.com/projects/air-products-plant/" TargetMode="External"/><Relationship Id="rId1" Type="http://schemas.openxmlformats.org/officeDocument/2006/relationships/hyperlink" Target="http://hydrogen.pnl.gov/filedownloads/hydrogen/datasheets/hydrogen_production_capacity_by_state.xls" TargetMode="External"/><Relationship Id="rId4" Type="http://schemas.openxmlformats.org/officeDocument/2006/relationships/drawing" Target="../drawings/drawing9.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5.xml"/><Relationship Id="rId13" Type="http://schemas.openxmlformats.org/officeDocument/2006/relationships/image" Target="../media/image28.emf"/><Relationship Id="rId18" Type="http://schemas.openxmlformats.org/officeDocument/2006/relationships/control" Target="../activeX/activeX30.xml"/><Relationship Id="rId26" Type="http://schemas.openxmlformats.org/officeDocument/2006/relationships/comments" Target="../comments2.xml"/><Relationship Id="rId3" Type="http://schemas.openxmlformats.org/officeDocument/2006/relationships/vmlDrawing" Target="../drawings/vmlDrawing3.vml"/><Relationship Id="rId21" Type="http://schemas.openxmlformats.org/officeDocument/2006/relationships/image" Target="../media/image32.emf"/><Relationship Id="rId7" Type="http://schemas.openxmlformats.org/officeDocument/2006/relationships/image" Target="../media/image25.emf"/><Relationship Id="rId12" Type="http://schemas.openxmlformats.org/officeDocument/2006/relationships/control" Target="../activeX/activeX27.xml"/><Relationship Id="rId17" Type="http://schemas.openxmlformats.org/officeDocument/2006/relationships/image" Target="../media/image30.emf"/><Relationship Id="rId25" Type="http://schemas.openxmlformats.org/officeDocument/2006/relationships/image" Target="../media/image34.emf"/><Relationship Id="rId2" Type="http://schemas.openxmlformats.org/officeDocument/2006/relationships/drawing" Target="../drawings/drawing10.xml"/><Relationship Id="rId16" Type="http://schemas.openxmlformats.org/officeDocument/2006/relationships/control" Target="../activeX/activeX29.xml"/><Relationship Id="rId20" Type="http://schemas.openxmlformats.org/officeDocument/2006/relationships/control" Target="../activeX/activeX31.xml"/><Relationship Id="rId1" Type="http://schemas.openxmlformats.org/officeDocument/2006/relationships/printerSettings" Target="../printerSettings/printerSettings5.bin"/><Relationship Id="rId6" Type="http://schemas.openxmlformats.org/officeDocument/2006/relationships/control" Target="../activeX/activeX24.xml"/><Relationship Id="rId11" Type="http://schemas.openxmlformats.org/officeDocument/2006/relationships/image" Target="../media/image27.emf"/><Relationship Id="rId24" Type="http://schemas.openxmlformats.org/officeDocument/2006/relationships/control" Target="../activeX/activeX33.xml"/><Relationship Id="rId5" Type="http://schemas.openxmlformats.org/officeDocument/2006/relationships/image" Target="../media/image24.emf"/><Relationship Id="rId15" Type="http://schemas.openxmlformats.org/officeDocument/2006/relationships/image" Target="../media/image29.emf"/><Relationship Id="rId23" Type="http://schemas.openxmlformats.org/officeDocument/2006/relationships/image" Target="../media/image33.emf"/><Relationship Id="rId10" Type="http://schemas.openxmlformats.org/officeDocument/2006/relationships/control" Target="../activeX/activeX26.xml"/><Relationship Id="rId19" Type="http://schemas.openxmlformats.org/officeDocument/2006/relationships/image" Target="../media/image31.emf"/><Relationship Id="rId4" Type="http://schemas.openxmlformats.org/officeDocument/2006/relationships/control" Target="../activeX/activeX23.xml"/><Relationship Id="rId9" Type="http://schemas.openxmlformats.org/officeDocument/2006/relationships/image" Target="../media/image26.emf"/><Relationship Id="rId14" Type="http://schemas.openxmlformats.org/officeDocument/2006/relationships/control" Target="../activeX/activeX28.xml"/><Relationship Id="rId22" Type="http://schemas.openxmlformats.org/officeDocument/2006/relationships/control" Target="../activeX/activeX3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chunter/chunter/AppData/Local/Microsoft/Windows/2.2%20Production%20Cost%20Target/James%20Milford%20Review/Available%20from%20Short%20Term%20Enehttp:/www.eia.doe.gov/emeu/steo/pub/a2tab.html" TargetMode="Externa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6.xml"/><Relationship Id="rId1" Type="http://schemas.openxmlformats.org/officeDocument/2006/relationships/printerSettings" Target="../printerSettings/printerSettings10.bin"/><Relationship Id="rId6" Type="http://schemas.openxmlformats.org/officeDocument/2006/relationships/comments" Target="../comments6.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8.vml"/><Relationship Id="rId1" Type="http://schemas.openxmlformats.org/officeDocument/2006/relationships/drawing" Target="../drawings/drawing17.xml"/><Relationship Id="rId4" Type="http://schemas.openxmlformats.org/officeDocument/2006/relationships/image" Target="../media/image35.emf"/></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35.xml"/><Relationship Id="rId2" Type="http://schemas.openxmlformats.org/officeDocument/2006/relationships/vmlDrawing" Target="../drawings/vmlDrawing9.vml"/><Relationship Id="rId1" Type="http://schemas.openxmlformats.org/officeDocument/2006/relationships/drawing" Target="../drawings/drawing18.xml"/><Relationship Id="rId4" Type="http://schemas.openxmlformats.org/officeDocument/2006/relationships/image" Target="../media/image36.emf"/></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36.xml"/><Relationship Id="rId2" Type="http://schemas.openxmlformats.org/officeDocument/2006/relationships/vmlDrawing" Target="../drawings/vmlDrawing10.vml"/><Relationship Id="rId1" Type="http://schemas.openxmlformats.org/officeDocument/2006/relationships/drawing" Target="../drawings/drawing19.xml"/><Relationship Id="rId4" Type="http://schemas.openxmlformats.org/officeDocument/2006/relationships/image" Target="../media/image37.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3">
    <tabColor indexed="42"/>
  </sheetPr>
  <dimension ref="B2:D44"/>
  <sheetViews>
    <sheetView tabSelected="1" workbookViewId="0">
      <selection activeCell="B2" sqref="B2"/>
    </sheetView>
  </sheetViews>
  <sheetFormatPr defaultRowHeight="12.5" x14ac:dyDescent="0.25"/>
  <cols>
    <col min="2" max="2" width="36.81640625" customWidth="1"/>
    <col min="3" max="3" width="44.7265625" customWidth="1"/>
    <col min="4" max="4" width="53.81640625" customWidth="1"/>
    <col min="5" max="5" width="126.453125" customWidth="1"/>
  </cols>
  <sheetData>
    <row r="2" spans="2:4" ht="39" customHeight="1" x14ac:dyDescent="0.65">
      <c r="B2" s="786" t="s">
        <v>407</v>
      </c>
    </row>
    <row r="4" spans="2:4" ht="13" thickBot="1" x14ac:dyDescent="0.3"/>
    <row r="5" spans="2:4" ht="26" thickTop="1" x14ac:dyDescent="0.3">
      <c r="B5" s="792" t="s">
        <v>211</v>
      </c>
      <c r="C5" s="1264" t="s">
        <v>1428</v>
      </c>
      <c r="D5" s="1267"/>
    </row>
    <row r="6" spans="2:4" ht="13" x14ac:dyDescent="0.3">
      <c r="B6" s="795" t="s">
        <v>212</v>
      </c>
      <c r="C6" s="1265" t="s">
        <v>1370</v>
      </c>
      <c r="D6" s="1267"/>
    </row>
    <row r="7" spans="2:4" ht="13" x14ac:dyDescent="0.3">
      <c r="B7" s="795" t="s">
        <v>213</v>
      </c>
      <c r="C7" s="1265" t="s">
        <v>1346</v>
      </c>
      <c r="D7" s="1267"/>
    </row>
    <row r="8" spans="2:4" ht="13" x14ac:dyDescent="0.3">
      <c r="B8" s="795" t="s">
        <v>214</v>
      </c>
      <c r="C8" s="1265" t="s">
        <v>1347</v>
      </c>
      <c r="D8" s="1267"/>
    </row>
    <row r="9" spans="2:4" ht="13" x14ac:dyDescent="0.3">
      <c r="B9" s="795" t="s">
        <v>215</v>
      </c>
      <c r="C9" s="994" t="s">
        <v>1348</v>
      </c>
      <c r="D9" s="797"/>
    </row>
    <row r="10" spans="2:4" ht="13" x14ac:dyDescent="0.3">
      <c r="B10" s="795" t="s">
        <v>216</v>
      </c>
      <c r="C10" s="1265" t="s">
        <v>830</v>
      </c>
      <c r="D10" s="1267"/>
    </row>
    <row r="11" spans="2:4" ht="13" x14ac:dyDescent="0.3">
      <c r="B11" s="795" t="s">
        <v>217</v>
      </c>
      <c r="C11" s="1266">
        <v>43137</v>
      </c>
      <c r="D11" s="1445"/>
    </row>
    <row r="12" spans="2:4" ht="13.5" thickBot="1" x14ac:dyDescent="0.35">
      <c r="B12" s="800" t="s">
        <v>218</v>
      </c>
      <c r="C12" s="995" t="s">
        <v>1298</v>
      </c>
      <c r="D12" s="1267"/>
    </row>
    <row r="13" spans="2:4" ht="14" thickTop="1" thickBot="1" x14ac:dyDescent="0.35">
      <c r="B13" s="801"/>
      <c r="C13" s="1267"/>
      <c r="D13" s="1446"/>
    </row>
    <row r="14" spans="2:4" ht="13.5" thickTop="1" x14ac:dyDescent="0.3">
      <c r="B14" s="792" t="s">
        <v>219</v>
      </c>
      <c r="C14" s="1447">
        <v>379387</v>
      </c>
      <c r="D14" s="1448"/>
    </row>
    <row r="15" spans="2:4" ht="13" x14ac:dyDescent="0.3">
      <c r="B15" s="795" t="s">
        <v>220</v>
      </c>
      <c r="C15" s="1268">
        <v>2015</v>
      </c>
      <c r="D15" s="806"/>
    </row>
    <row r="16" spans="2:4" ht="13" x14ac:dyDescent="0.3">
      <c r="B16" s="795" t="s">
        <v>221</v>
      </c>
      <c r="C16" s="1207" t="s">
        <v>283</v>
      </c>
      <c r="D16" s="1448"/>
    </row>
    <row r="17" spans="2:4" ht="13" x14ac:dyDescent="0.3">
      <c r="B17" s="795" t="s">
        <v>222</v>
      </c>
      <c r="C17" s="1207" t="s">
        <v>1371</v>
      </c>
      <c r="D17" s="1448"/>
    </row>
    <row r="18" spans="2:4" ht="13" x14ac:dyDescent="0.3">
      <c r="B18" s="795" t="s">
        <v>223</v>
      </c>
      <c r="C18" s="1207" t="s">
        <v>1372</v>
      </c>
      <c r="D18" s="807"/>
    </row>
    <row r="19" spans="2:4" ht="13" x14ac:dyDescent="0.3">
      <c r="B19" s="795" t="s">
        <v>224</v>
      </c>
      <c r="C19" s="1207" t="s">
        <v>1373</v>
      </c>
      <c r="D19" s="1448"/>
    </row>
    <row r="20" spans="2:4" ht="13" x14ac:dyDescent="0.3">
      <c r="B20" s="795" t="s">
        <v>225</v>
      </c>
      <c r="C20" s="1207" t="s">
        <v>1374</v>
      </c>
      <c r="D20" s="1448"/>
    </row>
    <row r="21" spans="2:4" ht="13" x14ac:dyDescent="0.3">
      <c r="B21" s="795" t="s">
        <v>226</v>
      </c>
      <c r="C21" s="1207" t="s">
        <v>282</v>
      </c>
      <c r="D21" s="1448"/>
    </row>
    <row r="22" spans="2:4" ht="26" x14ac:dyDescent="0.3">
      <c r="B22" s="808" t="s">
        <v>227</v>
      </c>
      <c r="C22" s="1268" t="s">
        <v>1371</v>
      </c>
      <c r="D22" s="1448"/>
    </row>
    <row r="23" spans="2:4" ht="13" x14ac:dyDescent="0.3">
      <c r="B23" s="808" t="s">
        <v>228</v>
      </c>
      <c r="C23" s="1207" t="s">
        <v>1082</v>
      </c>
      <c r="D23" s="1448"/>
    </row>
    <row r="24" spans="2:4" ht="13.5" thickBot="1" x14ac:dyDescent="0.35">
      <c r="B24" s="800" t="s">
        <v>229</v>
      </c>
      <c r="C24" s="1269" t="s">
        <v>1375</v>
      </c>
      <c r="D24" s="1448"/>
    </row>
    <row r="25" spans="2:4" ht="14" thickTop="1" thickBot="1" x14ac:dyDescent="0.35">
      <c r="B25" s="810"/>
      <c r="C25" s="1448"/>
      <c r="D25" s="1448"/>
    </row>
    <row r="26" spans="2:4" ht="13" x14ac:dyDescent="0.3">
      <c r="B26" s="1520" t="s">
        <v>230</v>
      </c>
      <c r="C26" s="1521"/>
      <c r="D26" s="1522"/>
    </row>
    <row r="27" spans="2:4" ht="13" x14ac:dyDescent="0.3">
      <c r="B27" s="1449" t="s">
        <v>231</v>
      </c>
      <c r="C27" s="812" t="s">
        <v>232</v>
      </c>
      <c r="D27" s="1450" t="s">
        <v>1030</v>
      </c>
    </row>
    <row r="28" spans="2:4" ht="13" x14ac:dyDescent="0.3">
      <c r="B28" s="1498" t="s">
        <v>1299</v>
      </c>
      <c r="C28" s="1206"/>
      <c r="D28" s="1466"/>
    </row>
    <row r="29" spans="2:4" x14ac:dyDescent="0.25">
      <c r="B29" s="1467">
        <v>43137</v>
      </c>
      <c r="C29" s="1206" t="s">
        <v>1300</v>
      </c>
      <c r="D29" s="1466" t="s">
        <v>1301</v>
      </c>
    </row>
    <row r="30" spans="2:4" x14ac:dyDescent="0.25">
      <c r="B30" s="1467"/>
      <c r="C30" s="1206"/>
      <c r="D30" s="1466"/>
    </row>
    <row r="31" spans="2:4" x14ac:dyDescent="0.25">
      <c r="B31" s="1467">
        <v>41442</v>
      </c>
      <c r="C31" s="1206" t="s">
        <v>1357</v>
      </c>
      <c r="D31" s="1466" t="s">
        <v>1358</v>
      </c>
    </row>
    <row r="32" spans="2:4" x14ac:dyDescent="0.25">
      <c r="B32" s="1467"/>
      <c r="C32" s="1206"/>
      <c r="D32" s="1466"/>
    </row>
    <row r="33" spans="2:4" x14ac:dyDescent="0.25">
      <c r="B33" s="1467">
        <v>40882</v>
      </c>
      <c r="C33" s="1206" t="s">
        <v>1361</v>
      </c>
      <c r="D33" s="1466" t="s">
        <v>1362</v>
      </c>
    </row>
    <row r="34" spans="2:4" ht="13" x14ac:dyDescent="0.3">
      <c r="B34" s="1498" t="s">
        <v>1363</v>
      </c>
      <c r="C34" s="1206"/>
      <c r="D34" s="1466"/>
    </row>
    <row r="35" spans="2:4" x14ac:dyDescent="0.25">
      <c r="B35" s="1467">
        <v>39713</v>
      </c>
      <c r="C35" s="1206" t="s">
        <v>1361</v>
      </c>
      <c r="D35" s="1466" t="s">
        <v>831</v>
      </c>
    </row>
    <row r="36" spans="2:4" x14ac:dyDescent="0.25">
      <c r="B36" s="1467">
        <v>39591</v>
      </c>
      <c r="C36" s="1206" t="s">
        <v>1361</v>
      </c>
      <c r="D36" s="1466" t="s">
        <v>1364</v>
      </c>
    </row>
    <row r="37" spans="2:4" x14ac:dyDescent="0.25">
      <c r="B37" s="1467">
        <v>39521</v>
      </c>
      <c r="C37" s="1206" t="s">
        <v>1361</v>
      </c>
      <c r="D37" s="1466" t="s">
        <v>1362</v>
      </c>
    </row>
    <row r="38" spans="2:4" ht="13" x14ac:dyDescent="0.3">
      <c r="B38" s="1498" t="s">
        <v>1365</v>
      </c>
      <c r="C38" s="1206"/>
      <c r="D38" s="1466"/>
    </row>
    <row r="39" spans="2:4" x14ac:dyDescent="0.25">
      <c r="B39" s="1467">
        <v>38875</v>
      </c>
      <c r="C39" s="1206" t="s">
        <v>1351</v>
      </c>
      <c r="D39" s="1466"/>
    </row>
    <row r="40" spans="2:4" x14ac:dyDescent="0.25">
      <c r="B40" s="1467">
        <v>38609</v>
      </c>
      <c r="C40" s="1206" t="s">
        <v>1366</v>
      </c>
      <c r="D40" s="1466"/>
    </row>
    <row r="41" spans="2:4" x14ac:dyDescent="0.25">
      <c r="B41" s="1467">
        <v>38530</v>
      </c>
      <c r="C41" s="1206" t="s">
        <v>1367</v>
      </c>
      <c r="D41" s="1466"/>
    </row>
    <row r="42" spans="2:4" x14ac:dyDescent="0.25">
      <c r="B42" s="1467">
        <v>38520</v>
      </c>
      <c r="C42" s="1206" t="s">
        <v>1368</v>
      </c>
      <c r="D42" s="1466"/>
    </row>
    <row r="43" spans="2:4" x14ac:dyDescent="0.25">
      <c r="B43" s="1467">
        <v>38406</v>
      </c>
      <c r="C43" s="1206" t="s">
        <v>1369</v>
      </c>
      <c r="D43" s="1466"/>
    </row>
    <row r="44" spans="2:4" ht="13" thickBot="1" x14ac:dyDescent="0.3">
      <c r="B44" s="1468">
        <v>38271</v>
      </c>
      <c r="C44" s="1465" t="s">
        <v>1368</v>
      </c>
      <c r="D44" s="1469"/>
    </row>
  </sheetData>
  <mergeCells count="1">
    <mergeCell ref="B26:D26"/>
  </mergeCells>
  <phoneticPr fontId="0" type="noConversion"/>
  <hyperlinks>
    <hyperlink ref="C9" r:id="rId1" xr:uid="{F8B944E2-635C-4C31-BB5D-07D882325051}"/>
    <hyperlink ref="C12" r:id="rId2" xr:uid="{FAA3332E-52DB-4203-AAFE-192BEDB8E9A9}"/>
  </hyperlinks>
  <pageMargins left="0.75" right="0.75" top="1" bottom="1" header="0.5" footer="0.5"/>
  <headerFooter alignWithMargin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4">
    <tabColor indexed="42"/>
  </sheetPr>
  <dimension ref="B2:D86"/>
  <sheetViews>
    <sheetView workbookViewId="0"/>
  </sheetViews>
  <sheetFormatPr defaultRowHeight="12.5" x14ac:dyDescent="0.25"/>
  <cols>
    <col min="2" max="2" width="122" customWidth="1"/>
    <col min="3" max="3" width="12" customWidth="1"/>
    <col min="4" max="4" width="47.453125" customWidth="1"/>
    <col min="5" max="5" width="17.26953125" customWidth="1"/>
  </cols>
  <sheetData>
    <row r="2" spans="2:4" ht="22" x14ac:dyDescent="0.65">
      <c r="B2" s="786" t="s">
        <v>408</v>
      </c>
    </row>
    <row r="6" spans="2:4" ht="13" x14ac:dyDescent="0.3">
      <c r="B6" s="787" t="s">
        <v>206</v>
      </c>
    </row>
    <row r="7" spans="2:4" ht="37.5" x14ac:dyDescent="0.25">
      <c r="B7" s="1270" t="s">
        <v>1411</v>
      </c>
    </row>
    <row r="8" spans="2:4" x14ac:dyDescent="0.25">
      <c r="B8" s="788"/>
    </row>
    <row r="9" spans="2:4" x14ac:dyDescent="0.25">
      <c r="B9" s="788"/>
    </row>
    <row r="10" spans="2:4" ht="13" x14ac:dyDescent="0.3">
      <c r="B10" s="789" t="s">
        <v>207</v>
      </c>
    </row>
    <row r="11" spans="2:4" ht="75" x14ac:dyDescent="0.25">
      <c r="B11" s="1470" t="s">
        <v>1412</v>
      </c>
    </row>
    <row r="12" spans="2:4" ht="87.5" x14ac:dyDescent="0.25">
      <c r="B12" s="1471" t="s">
        <v>1413</v>
      </c>
      <c r="D12" t="s">
        <v>1410</v>
      </c>
    </row>
    <row r="13" spans="2:4" x14ac:dyDescent="0.25">
      <c r="B13" s="788"/>
    </row>
    <row r="14" spans="2:4" ht="13" x14ac:dyDescent="0.3">
      <c r="B14" s="789" t="s">
        <v>208</v>
      </c>
    </row>
    <row r="15" spans="2:4" ht="25" x14ac:dyDescent="0.25">
      <c r="B15" s="1270" t="s">
        <v>1414</v>
      </c>
    </row>
    <row r="16" spans="2:4" x14ac:dyDescent="0.25">
      <c r="B16" s="788"/>
    </row>
    <row r="17" spans="2:2" x14ac:dyDescent="0.25">
      <c r="B17" s="788"/>
    </row>
    <row r="18" spans="2:2" ht="13" x14ac:dyDescent="0.3">
      <c r="B18" s="789" t="s">
        <v>209</v>
      </c>
    </row>
    <row r="19" spans="2:2" x14ac:dyDescent="0.25">
      <c r="B19" s="1270" t="s">
        <v>1376</v>
      </c>
    </row>
    <row r="20" spans="2:2" x14ac:dyDescent="0.25">
      <c r="B20" s="788"/>
    </row>
    <row r="21" spans="2:2" ht="13" x14ac:dyDescent="0.25">
      <c r="B21" s="790" t="s">
        <v>210</v>
      </c>
    </row>
    <row r="22" spans="2:2" x14ac:dyDescent="0.25">
      <c r="B22" s="996" t="s">
        <v>1415</v>
      </c>
    </row>
    <row r="23" spans="2:2" x14ac:dyDescent="0.25">
      <c r="B23" s="1270" t="s">
        <v>1416</v>
      </c>
    </row>
    <row r="24" spans="2:2" x14ac:dyDescent="0.25">
      <c r="B24" s="1270"/>
    </row>
    <row r="25" spans="2:2" x14ac:dyDescent="0.25">
      <c r="B25" s="1270"/>
    </row>
    <row r="26" spans="2:2" x14ac:dyDescent="0.25">
      <c r="B26" s="996"/>
    </row>
    <row r="76" ht="81" customHeight="1" x14ac:dyDescent="0.25"/>
    <row r="78" ht="97.5" customHeight="1" x14ac:dyDescent="0.25"/>
    <row r="80" ht="68.25" customHeight="1" x14ac:dyDescent="0.25"/>
    <row r="82" ht="63" customHeight="1" x14ac:dyDescent="0.25"/>
    <row r="84" ht="63.75" customHeight="1" x14ac:dyDescent="0.25"/>
    <row r="86" ht="37.5" customHeight="1" x14ac:dyDescent="0.25"/>
  </sheetData>
  <phoneticPr fontId="0" type="noConversion"/>
  <pageMargins left="0.75" right="0.75" top="1" bottom="1" header="0.5" footer="0.5"/>
  <headerFooter alignWithMargins="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5">
    <tabColor indexed="42"/>
  </sheetPr>
  <dimension ref="B2:K50"/>
  <sheetViews>
    <sheetView workbookViewId="0"/>
  </sheetViews>
  <sheetFormatPr defaultRowHeight="12.5" x14ac:dyDescent="0.25"/>
  <cols>
    <col min="2" max="2" width="23.54296875" customWidth="1"/>
    <col min="3" max="7" width="18.54296875" customWidth="1"/>
    <col min="8" max="11" width="25" customWidth="1"/>
    <col min="13" max="13" width="38.81640625" customWidth="1"/>
    <col min="14" max="15" width="22.54296875" customWidth="1"/>
    <col min="16" max="16" width="44.453125" customWidth="1"/>
    <col min="254" max="254" width="10.1796875" customWidth="1"/>
    <col min="255" max="255" width="12" customWidth="1"/>
    <col min="256" max="256" width="17.81640625" customWidth="1"/>
    <col min="257" max="257" width="17.26953125" customWidth="1"/>
    <col min="258" max="259" width="31" customWidth="1"/>
    <col min="260" max="263" width="25.1796875" customWidth="1"/>
    <col min="510" max="510" width="10.1796875" customWidth="1"/>
    <col min="511" max="511" width="12" customWidth="1"/>
    <col min="512" max="512" width="17.81640625" customWidth="1"/>
    <col min="513" max="513" width="17.26953125" customWidth="1"/>
    <col min="514" max="515" width="31" customWidth="1"/>
    <col min="516" max="519" width="25.1796875" customWidth="1"/>
    <col min="766" max="766" width="10.1796875" customWidth="1"/>
    <col min="767" max="767" width="12" customWidth="1"/>
    <col min="768" max="768" width="17.81640625" customWidth="1"/>
    <col min="769" max="769" width="17.26953125" customWidth="1"/>
    <col min="770" max="771" width="31" customWidth="1"/>
    <col min="772" max="775" width="25.1796875" customWidth="1"/>
    <col min="1022" max="1022" width="10.1796875" customWidth="1"/>
    <col min="1023" max="1023" width="12" customWidth="1"/>
    <col min="1024" max="1024" width="17.81640625" customWidth="1"/>
    <col min="1025" max="1025" width="17.26953125" customWidth="1"/>
    <col min="1026" max="1027" width="31" customWidth="1"/>
    <col min="1028" max="1031" width="25.1796875" customWidth="1"/>
    <col min="1278" max="1278" width="10.1796875" customWidth="1"/>
    <col min="1279" max="1279" width="12" customWidth="1"/>
    <col min="1280" max="1280" width="17.81640625" customWidth="1"/>
    <col min="1281" max="1281" width="17.26953125" customWidth="1"/>
    <col min="1282" max="1283" width="31" customWidth="1"/>
    <col min="1284" max="1287" width="25.1796875" customWidth="1"/>
    <col min="1534" max="1534" width="10.1796875" customWidth="1"/>
    <col min="1535" max="1535" width="12" customWidth="1"/>
    <col min="1536" max="1536" width="17.81640625" customWidth="1"/>
    <col min="1537" max="1537" width="17.26953125" customWidth="1"/>
    <col min="1538" max="1539" width="31" customWidth="1"/>
    <col min="1540" max="1543" width="25.1796875" customWidth="1"/>
    <col min="1790" max="1790" width="10.1796875" customWidth="1"/>
    <col min="1791" max="1791" width="12" customWidth="1"/>
    <col min="1792" max="1792" width="17.81640625" customWidth="1"/>
    <col min="1793" max="1793" width="17.26953125" customWidth="1"/>
    <col min="1794" max="1795" width="31" customWidth="1"/>
    <col min="1796" max="1799" width="25.1796875" customWidth="1"/>
    <col min="2046" max="2046" width="10.1796875" customWidth="1"/>
    <col min="2047" max="2047" width="12" customWidth="1"/>
    <col min="2048" max="2048" width="17.81640625" customWidth="1"/>
    <col min="2049" max="2049" width="17.26953125" customWidth="1"/>
    <col min="2050" max="2051" width="31" customWidth="1"/>
    <col min="2052" max="2055" width="25.1796875" customWidth="1"/>
    <col min="2302" max="2302" width="10.1796875" customWidth="1"/>
    <col min="2303" max="2303" width="12" customWidth="1"/>
    <col min="2304" max="2304" width="17.81640625" customWidth="1"/>
    <col min="2305" max="2305" width="17.26953125" customWidth="1"/>
    <col min="2306" max="2307" width="31" customWidth="1"/>
    <col min="2308" max="2311" width="25.1796875" customWidth="1"/>
    <col min="2558" max="2558" width="10.1796875" customWidth="1"/>
    <col min="2559" max="2559" width="12" customWidth="1"/>
    <col min="2560" max="2560" width="17.81640625" customWidth="1"/>
    <col min="2561" max="2561" width="17.26953125" customWidth="1"/>
    <col min="2562" max="2563" width="31" customWidth="1"/>
    <col min="2564" max="2567" width="25.1796875" customWidth="1"/>
    <col min="2814" max="2814" width="10.1796875" customWidth="1"/>
    <col min="2815" max="2815" width="12" customWidth="1"/>
    <col min="2816" max="2816" width="17.81640625" customWidth="1"/>
    <col min="2817" max="2817" width="17.26953125" customWidth="1"/>
    <col min="2818" max="2819" width="31" customWidth="1"/>
    <col min="2820" max="2823" width="25.1796875" customWidth="1"/>
    <col min="3070" max="3070" width="10.1796875" customWidth="1"/>
    <col min="3071" max="3071" width="12" customWidth="1"/>
    <col min="3072" max="3072" width="17.81640625" customWidth="1"/>
    <col min="3073" max="3073" width="17.26953125" customWidth="1"/>
    <col min="3074" max="3075" width="31" customWidth="1"/>
    <col min="3076" max="3079" width="25.1796875" customWidth="1"/>
    <col min="3326" max="3326" width="10.1796875" customWidth="1"/>
    <col min="3327" max="3327" width="12" customWidth="1"/>
    <col min="3328" max="3328" width="17.81640625" customWidth="1"/>
    <col min="3329" max="3329" width="17.26953125" customWidth="1"/>
    <col min="3330" max="3331" width="31" customWidth="1"/>
    <col min="3332" max="3335" width="25.1796875" customWidth="1"/>
    <col min="3582" max="3582" width="10.1796875" customWidth="1"/>
    <col min="3583" max="3583" width="12" customWidth="1"/>
    <col min="3584" max="3584" width="17.81640625" customWidth="1"/>
    <col min="3585" max="3585" width="17.26953125" customWidth="1"/>
    <col min="3586" max="3587" width="31" customWidth="1"/>
    <col min="3588" max="3591" width="25.1796875" customWidth="1"/>
    <col min="3838" max="3838" width="10.1796875" customWidth="1"/>
    <col min="3839" max="3839" width="12" customWidth="1"/>
    <col min="3840" max="3840" width="17.81640625" customWidth="1"/>
    <col min="3841" max="3841" width="17.26953125" customWidth="1"/>
    <col min="3842" max="3843" width="31" customWidth="1"/>
    <col min="3844" max="3847" width="25.1796875" customWidth="1"/>
    <col min="4094" max="4094" width="10.1796875" customWidth="1"/>
    <col min="4095" max="4095" width="12" customWidth="1"/>
    <col min="4096" max="4096" width="17.81640625" customWidth="1"/>
    <col min="4097" max="4097" width="17.26953125" customWidth="1"/>
    <col min="4098" max="4099" width="31" customWidth="1"/>
    <col min="4100" max="4103" width="25.1796875" customWidth="1"/>
    <col min="4350" max="4350" width="10.1796875" customWidth="1"/>
    <col min="4351" max="4351" width="12" customWidth="1"/>
    <col min="4352" max="4352" width="17.81640625" customWidth="1"/>
    <col min="4353" max="4353" width="17.26953125" customWidth="1"/>
    <col min="4354" max="4355" width="31" customWidth="1"/>
    <col min="4356" max="4359" width="25.1796875" customWidth="1"/>
    <col min="4606" max="4606" width="10.1796875" customWidth="1"/>
    <col min="4607" max="4607" width="12" customWidth="1"/>
    <col min="4608" max="4608" width="17.81640625" customWidth="1"/>
    <col min="4609" max="4609" width="17.26953125" customWidth="1"/>
    <col min="4610" max="4611" width="31" customWidth="1"/>
    <col min="4612" max="4615" width="25.1796875" customWidth="1"/>
    <col min="4862" max="4862" width="10.1796875" customWidth="1"/>
    <col min="4863" max="4863" width="12" customWidth="1"/>
    <col min="4864" max="4864" width="17.81640625" customWidth="1"/>
    <col min="4865" max="4865" width="17.26953125" customWidth="1"/>
    <col min="4866" max="4867" width="31" customWidth="1"/>
    <col min="4868" max="4871" width="25.1796875" customWidth="1"/>
    <col min="5118" max="5118" width="10.1796875" customWidth="1"/>
    <col min="5119" max="5119" width="12" customWidth="1"/>
    <col min="5120" max="5120" width="17.81640625" customWidth="1"/>
    <col min="5121" max="5121" width="17.26953125" customWidth="1"/>
    <col min="5122" max="5123" width="31" customWidth="1"/>
    <col min="5124" max="5127" width="25.1796875" customWidth="1"/>
    <col min="5374" max="5374" width="10.1796875" customWidth="1"/>
    <col min="5375" max="5375" width="12" customWidth="1"/>
    <col min="5376" max="5376" width="17.81640625" customWidth="1"/>
    <col min="5377" max="5377" width="17.26953125" customWidth="1"/>
    <col min="5378" max="5379" width="31" customWidth="1"/>
    <col min="5380" max="5383" width="25.1796875" customWidth="1"/>
    <col min="5630" max="5630" width="10.1796875" customWidth="1"/>
    <col min="5631" max="5631" width="12" customWidth="1"/>
    <col min="5632" max="5632" width="17.81640625" customWidth="1"/>
    <col min="5633" max="5633" width="17.26953125" customWidth="1"/>
    <col min="5634" max="5635" width="31" customWidth="1"/>
    <col min="5636" max="5639" width="25.1796875" customWidth="1"/>
    <col min="5886" max="5886" width="10.1796875" customWidth="1"/>
    <col min="5887" max="5887" width="12" customWidth="1"/>
    <col min="5888" max="5888" width="17.81640625" customWidth="1"/>
    <col min="5889" max="5889" width="17.26953125" customWidth="1"/>
    <col min="5890" max="5891" width="31" customWidth="1"/>
    <col min="5892" max="5895" width="25.1796875" customWidth="1"/>
    <col min="6142" max="6142" width="10.1796875" customWidth="1"/>
    <col min="6143" max="6143" width="12" customWidth="1"/>
    <col min="6144" max="6144" width="17.81640625" customWidth="1"/>
    <col min="6145" max="6145" width="17.26953125" customWidth="1"/>
    <col min="6146" max="6147" width="31" customWidth="1"/>
    <col min="6148" max="6151" width="25.1796875" customWidth="1"/>
    <col min="6398" max="6398" width="10.1796875" customWidth="1"/>
    <col min="6399" max="6399" width="12" customWidth="1"/>
    <col min="6400" max="6400" width="17.81640625" customWidth="1"/>
    <col min="6401" max="6401" width="17.26953125" customWidth="1"/>
    <col min="6402" max="6403" width="31" customWidth="1"/>
    <col min="6404" max="6407" width="25.1796875" customWidth="1"/>
    <col min="6654" max="6654" width="10.1796875" customWidth="1"/>
    <col min="6655" max="6655" width="12" customWidth="1"/>
    <col min="6656" max="6656" width="17.81640625" customWidth="1"/>
    <col min="6657" max="6657" width="17.26953125" customWidth="1"/>
    <col min="6658" max="6659" width="31" customWidth="1"/>
    <col min="6660" max="6663" width="25.1796875" customWidth="1"/>
    <col min="6910" max="6910" width="10.1796875" customWidth="1"/>
    <col min="6911" max="6911" width="12" customWidth="1"/>
    <col min="6912" max="6912" width="17.81640625" customWidth="1"/>
    <col min="6913" max="6913" width="17.26953125" customWidth="1"/>
    <col min="6914" max="6915" width="31" customWidth="1"/>
    <col min="6916" max="6919" width="25.1796875" customWidth="1"/>
    <col min="7166" max="7166" width="10.1796875" customWidth="1"/>
    <col min="7167" max="7167" width="12" customWidth="1"/>
    <col min="7168" max="7168" width="17.81640625" customWidth="1"/>
    <col min="7169" max="7169" width="17.26953125" customWidth="1"/>
    <col min="7170" max="7171" width="31" customWidth="1"/>
    <col min="7172" max="7175" width="25.1796875" customWidth="1"/>
    <col min="7422" max="7422" width="10.1796875" customWidth="1"/>
    <col min="7423" max="7423" width="12" customWidth="1"/>
    <col min="7424" max="7424" width="17.81640625" customWidth="1"/>
    <col min="7425" max="7425" width="17.26953125" customWidth="1"/>
    <col min="7426" max="7427" width="31" customWidth="1"/>
    <col min="7428" max="7431" width="25.1796875" customWidth="1"/>
    <col min="7678" max="7678" width="10.1796875" customWidth="1"/>
    <col min="7679" max="7679" width="12" customWidth="1"/>
    <col min="7680" max="7680" width="17.81640625" customWidth="1"/>
    <col min="7681" max="7681" width="17.26953125" customWidth="1"/>
    <col min="7682" max="7683" width="31" customWidth="1"/>
    <col min="7684" max="7687" width="25.1796875" customWidth="1"/>
    <col min="7934" max="7934" width="10.1796875" customWidth="1"/>
    <col min="7935" max="7935" width="12" customWidth="1"/>
    <col min="7936" max="7936" width="17.81640625" customWidth="1"/>
    <col min="7937" max="7937" width="17.26953125" customWidth="1"/>
    <col min="7938" max="7939" width="31" customWidth="1"/>
    <col min="7940" max="7943" width="25.1796875" customWidth="1"/>
    <col min="8190" max="8190" width="10.1796875" customWidth="1"/>
    <col min="8191" max="8191" width="12" customWidth="1"/>
    <col min="8192" max="8192" width="17.81640625" customWidth="1"/>
    <col min="8193" max="8193" width="17.26953125" customWidth="1"/>
    <col min="8194" max="8195" width="31" customWidth="1"/>
    <col min="8196" max="8199" width="25.1796875" customWidth="1"/>
    <col min="8446" max="8446" width="10.1796875" customWidth="1"/>
    <col min="8447" max="8447" width="12" customWidth="1"/>
    <col min="8448" max="8448" width="17.81640625" customWidth="1"/>
    <col min="8449" max="8449" width="17.26953125" customWidth="1"/>
    <col min="8450" max="8451" width="31" customWidth="1"/>
    <col min="8452" max="8455" width="25.1796875" customWidth="1"/>
    <col min="8702" max="8702" width="10.1796875" customWidth="1"/>
    <col min="8703" max="8703" width="12" customWidth="1"/>
    <col min="8704" max="8704" width="17.81640625" customWidth="1"/>
    <col min="8705" max="8705" width="17.26953125" customWidth="1"/>
    <col min="8706" max="8707" width="31" customWidth="1"/>
    <col min="8708" max="8711" width="25.1796875" customWidth="1"/>
    <col min="8958" max="8958" width="10.1796875" customWidth="1"/>
    <col min="8959" max="8959" width="12" customWidth="1"/>
    <col min="8960" max="8960" width="17.81640625" customWidth="1"/>
    <col min="8961" max="8961" width="17.26953125" customWidth="1"/>
    <col min="8962" max="8963" width="31" customWidth="1"/>
    <col min="8964" max="8967" width="25.1796875" customWidth="1"/>
    <col min="9214" max="9214" width="10.1796875" customWidth="1"/>
    <col min="9215" max="9215" width="12" customWidth="1"/>
    <col min="9216" max="9216" width="17.81640625" customWidth="1"/>
    <col min="9217" max="9217" width="17.26953125" customWidth="1"/>
    <col min="9218" max="9219" width="31" customWidth="1"/>
    <col min="9220" max="9223" width="25.1796875" customWidth="1"/>
    <col min="9470" max="9470" width="10.1796875" customWidth="1"/>
    <col min="9471" max="9471" width="12" customWidth="1"/>
    <col min="9472" max="9472" width="17.81640625" customWidth="1"/>
    <col min="9473" max="9473" width="17.26953125" customWidth="1"/>
    <col min="9474" max="9475" width="31" customWidth="1"/>
    <col min="9476" max="9479" width="25.1796875" customWidth="1"/>
    <col min="9726" max="9726" width="10.1796875" customWidth="1"/>
    <col min="9727" max="9727" width="12" customWidth="1"/>
    <col min="9728" max="9728" width="17.81640625" customWidth="1"/>
    <col min="9729" max="9729" width="17.26953125" customWidth="1"/>
    <col min="9730" max="9731" width="31" customWidth="1"/>
    <col min="9732" max="9735" width="25.1796875" customWidth="1"/>
    <col min="9982" max="9982" width="10.1796875" customWidth="1"/>
    <col min="9983" max="9983" width="12" customWidth="1"/>
    <col min="9984" max="9984" width="17.81640625" customWidth="1"/>
    <col min="9985" max="9985" width="17.26953125" customWidth="1"/>
    <col min="9986" max="9987" width="31" customWidth="1"/>
    <col min="9988" max="9991" width="25.1796875" customWidth="1"/>
    <col min="10238" max="10238" width="10.1796875" customWidth="1"/>
    <col min="10239" max="10239" width="12" customWidth="1"/>
    <col min="10240" max="10240" width="17.81640625" customWidth="1"/>
    <col min="10241" max="10241" width="17.26953125" customWidth="1"/>
    <col min="10242" max="10243" width="31" customWidth="1"/>
    <col min="10244" max="10247" width="25.1796875" customWidth="1"/>
    <col min="10494" max="10494" width="10.1796875" customWidth="1"/>
    <col min="10495" max="10495" width="12" customWidth="1"/>
    <col min="10496" max="10496" width="17.81640625" customWidth="1"/>
    <col min="10497" max="10497" width="17.26953125" customWidth="1"/>
    <col min="10498" max="10499" width="31" customWidth="1"/>
    <col min="10500" max="10503" width="25.1796875" customWidth="1"/>
    <col min="10750" max="10750" width="10.1796875" customWidth="1"/>
    <col min="10751" max="10751" width="12" customWidth="1"/>
    <col min="10752" max="10752" width="17.81640625" customWidth="1"/>
    <col min="10753" max="10753" width="17.26953125" customWidth="1"/>
    <col min="10754" max="10755" width="31" customWidth="1"/>
    <col min="10756" max="10759" width="25.1796875" customWidth="1"/>
    <col min="11006" max="11006" width="10.1796875" customWidth="1"/>
    <col min="11007" max="11007" width="12" customWidth="1"/>
    <col min="11008" max="11008" width="17.81640625" customWidth="1"/>
    <col min="11009" max="11009" width="17.26953125" customWidth="1"/>
    <col min="11010" max="11011" width="31" customWidth="1"/>
    <col min="11012" max="11015" width="25.1796875" customWidth="1"/>
    <col min="11262" max="11262" width="10.1796875" customWidth="1"/>
    <col min="11263" max="11263" width="12" customWidth="1"/>
    <col min="11264" max="11264" width="17.81640625" customWidth="1"/>
    <col min="11265" max="11265" width="17.26953125" customWidth="1"/>
    <col min="11266" max="11267" width="31" customWidth="1"/>
    <col min="11268" max="11271" width="25.1796875" customWidth="1"/>
    <col min="11518" max="11518" width="10.1796875" customWidth="1"/>
    <col min="11519" max="11519" width="12" customWidth="1"/>
    <col min="11520" max="11520" width="17.81640625" customWidth="1"/>
    <col min="11521" max="11521" width="17.26953125" customWidth="1"/>
    <col min="11522" max="11523" width="31" customWidth="1"/>
    <col min="11524" max="11527" width="25.1796875" customWidth="1"/>
    <col min="11774" max="11774" width="10.1796875" customWidth="1"/>
    <col min="11775" max="11775" width="12" customWidth="1"/>
    <col min="11776" max="11776" width="17.81640625" customWidth="1"/>
    <col min="11777" max="11777" width="17.26953125" customWidth="1"/>
    <col min="11778" max="11779" width="31" customWidth="1"/>
    <col min="11780" max="11783" width="25.1796875" customWidth="1"/>
    <col min="12030" max="12030" width="10.1796875" customWidth="1"/>
    <col min="12031" max="12031" width="12" customWidth="1"/>
    <col min="12032" max="12032" width="17.81640625" customWidth="1"/>
    <col min="12033" max="12033" width="17.26953125" customWidth="1"/>
    <col min="12034" max="12035" width="31" customWidth="1"/>
    <col min="12036" max="12039" width="25.1796875" customWidth="1"/>
    <col min="12286" max="12286" width="10.1796875" customWidth="1"/>
    <col min="12287" max="12287" width="12" customWidth="1"/>
    <col min="12288" max="12288" width="17.81640625" customWidth="1"/>
    <col min="12289" max="12289" width="17.26953125" customWidth="1"/>
    <col min="12290" max="12291" width="31" customWidth="1"/>
    <col min="12292" max="12295" width="25.1796875" customWidth="1"/>
    <col min="12542" max="12542" width="10.1796875" customWidth="1"/>
    <col min="12543" max="12543" width="12" customWidth="1"/>
    <col min="12544" max="12544" width="17.81640625" customWidth="1"/>
    <col min="12545" max="12545" width="17.26953125" customWidth="1"/>
    <col min="12546" max="12547" width="31" customWidth="1"/>
    <col min="12548" max="12551" width="25.1796875" customWidth="1"/>
    <col min="12798" max="12798" width="10.1796875" customWidth="1"/>
    <col min="12799" max="12799" width="12" customWidth="1"/>
    <col min="12800" max="12800" width="17.81640625" customWidth="1"/>
    <col min="12801" max="12801" width="17.26953125" customWidth="1"/>
    <col min="12802" max="12803" width="31" customWidth="1"/>
    <col min="12804" max="12807" width="25.1796875" customWidth="1"/>
    <col min="13054" max="13054" width="10.1796875" customWidth="1"/>
    <col min="13055" max="13055" width="12" customWidth="1"/>
    <col min="13056" max="13056" width="17.81640625" customWidth="1"/>
    <col min="13057" max="13057" width="17.26953125" customWidth="1"/>
    <col min="13058" max="13059" width="31" customWidth="1"/>
    <col min="13060" max="13063" width="25.1796875" customWidth="1"/>
    <col min="13310" max="13310" width="10.1796875" customWidth="1"/>
    <col min="13311" max="13311" width="12" customWidth="1"/>
    <col min="13312" max="13312" width="17.81640625" customWidth="1"/>
    <col min="13313" max="13313" width="17.26953125" customWidth="1"/>
    <col min="13314" max="13315" width="31" customWidth="1"/>
    <col min="13316" max="13319" width="25.1796875" customWidth="1"/>
    <col min="13566" max="13566" width="10.1796875" customWidth="1"/>
    <col min="13567" max="13567" width="12" customWidth="1"/>
    <col min="13568" max="13568" width="17.81640625" customWidth="1"/>
    <col min="13569" max="13569" width="17.26953125" customWidth="1"/>
    <col min="13570" max="13571" width="31" customWidth="1"/>
    <col min="13572" max="13575" width="25.1796875" customWidth="1"/>
    <col min="13822" max="13822" width="10.1796875" customWidth="1"/>
    <col min="13823" max="13823" width="12" customWidth="1"/>
    <col min="13824" max="13824" width="17.81640625" customWidth="1"/>
    <col min="13825" max="13825" width="17.26953125" customWidth="1"/>
    <col min="13826" max="13827" width="31" customWidth="1"/>
    <col min="13828" max="13831" width="25.1796875" customWidth="1"/>
    <col min="14078" max="14078" width="10.1796875" customWidth="1"/>
    <col min="14079" max="14079" width="12" customWidth="1"/>
    <col min="14080" max="14080" width="17.81640625" customWidth="1"/>
    <col min="14081" max="14081" width="17.26953125" customWidth="1"/>
    <col min="14082" max="14083" width="31" customWidth="1"/>
    <col min="14084" max="14087" width="25.1796875" customWidth="1"/>
    <col min="14334" max="14334" width="10.1796875" customWidth="1"/>
    <col min="14335" max="14335" width="12" customWidth="1"/>
    <col min="14336" max="14336" width="17.81640625" customWidth="1"/>
    <col min="14337" max="14337" width="17.26953125" customWidth="1"/>
    <col min="14338" max="14339" width="31" customWidth="1"/>
    <col min="14340" max="14343" width="25.1796875" customWidth="1"/>
    <col min="14590" max="14590" width="10.1796875" customWidth="1"/>
    <col min="14591" max="14591" width="12" customWidth="1"/>
    <col min="14592" max="14592" width="17.81640625" customWidth="1"/>
    <col min="14593" max="14593" width="17.26953125" customWidth="1"/>
    <col min="14594" max="14595" width="31" customWidth="1"/>
    <col min="14596" max="14599" width="25.1796875" customWidth="1"/>
    <col min="14846" max="14846" width="10.1796875" customWidth="1"/>
    <col min="14847" max="14847" width="12" customWidth="1"/>
    <col min="14848" max="14848" width="17.81640625" customWidth="1"/>
    <col min="14849" max="14849" width="17.26953125" customWidth="1"/>
    <col min="14850" max="14851" width="31" customWidth="1"/>
    <col min="14852" max="14855" width="25.1796875" customWidth="1"/>
    <col min="15102" max="15102" width="10.1796875" customWidth="1"/>
    <col min="15103" max="15103" width="12" customWidth="1"/>
    <col min="15104" max="15104" width="17.81640625" customWidth="1"/>
    <col min="15105" max="15105" width="17.26953125" customWidth="1"/>
    <col min="15106" max="15107" width="31" customWidth="1"/>
    <col min="15108" max="15111" width="25.1796875" customWidth="1"/>
    <col min="15358" max="15358" width="10.1796875" customWidth="1"/>
    <col min="15359" max="15359" width="12" customWidth="1"/>
    <col min="15360" max="15360" width="17.81640625" customWidth="1"/>
    <col min="15361" max="15361" width="17.26953125" customWidth="1"/>
    <col min="15362" max="15363" width="31" customWidth="1"/>
    <col min="15364" max="15367" width="25.1796875" customWidth="1"/>
    <col min="15614" max="15614" width="10.1796875" customWidth="1"/>
    <col min="15615" max="15615" width="12" customWidth="1"/>
    <col min="15616" max="15616" width="17.81640625" customWidth="1"/>
    <col min="15617" max="15617" width="17.26953125" customWidth="1"/>
    <col min="15618" max="15619" width="31" customWidth="1"/>
    <col min="15620" max="15623" width="25.1796875" customWidth="1"/>
    <col min="15870" max="15870" width="10.1796875" customWidth="1"/>
    <col min="15871" max="15871" width="12" customWidth="1"/>
    <col min="15872" max="15872" width="17.81640625" customWidth="1"/>
    <col min="15873" max="15873" width="17.26953125" customWidth="1"/>
    <col min="15874" max="15875" width="31" customWidth="1"/>
    <col min="15876" max="15879" width="25.1796875" customWidth="1"/>
    <col min="16126" max="16126" width="10.1796875" customWidth="1"/>
    <col min="16127" max="16127" width="12" customWidth="1"/>
    <col min="16128" max="16128" width="17.81640625" customWidth="1"/>
    <col min="16129" max="16129" width="17.26953125" customWidth="1"/>
    <col min="16130" max="16131" width="31" customWidth="1"/>
    <col min="16132" max="16135" width="25.1796875" customWidth="1"/>
  </cols>
  <sheetData>
    <row r="2" spans="2:11" ht="22" x14ac:dyDescent="0.65">
      <c r="B2" s="786" t="s">
        <v>409</v>
      </c>
    </row>
    <row r="6" spans="2:11" ht="13" x14ac:dyDescent="0.3">
      <c r="B6" s="787" t="s">
        <v>204</v>
      </c>
    </row>
    <row r="7" spans="2:11" x14ac:dyDescent="0.25">
      <c r="B7" s="1270"/>
    </row>
    <row r="8" spans="2:11" x14ac:dyDescent="0.25">
      <c r="B8" s="788"/>
    </row>
    <row r="9" spans="2:11" ht="13" thickBot="1" x14ac:dyDescent="0.3">
      <c r="B9" s="788"/>
    </row>
    <row r="10" spans="2:11" ht="39.5" thickBot="1" x14ac:dyDescent="0.3">
      <c r="B10" s="788"/>
      <c r="H10" s="1472" t="s">
        <v>1377</v>
      </c>
      <c r="I10" s="1473" t="s">
        <v>1092</v>
      </c>
      <c r="J10" s="1473" t="s">
        <v>1378</v>
      </c>
      <c r="K10" s="1474" t="s">
        <v>1379</v>
      </c>
    </row>
    <row r="11" spans="2:11" ht="50" x14ac:dyDescent="0.25">
      <c r="B11" s="788"/>
      <c r="H11" s="1475" t="s">
        <v>1380</v>
      </c>
      <c r="I11" s="1476">
        <v>0.82</v>
      </c>
      <c r="J11" s="1477" t="s">
        <v>1381</v>
      </c>
      <c r="K11" s="1478" t="s">
        <v>1382</v>
      </c>
    </row>
    <row r="12" spans="2:11" ht="25" x14ac:dyDescent="0.25">
      <c r="B12" s="788"/>
      <c r="H12" s="1479" t="s">
        <v>1383</v>
      </c>
      <c r="I12" s="1480">
        <v>0.9</v>
      </c>
      <c r="J12" s="1481" t="s">
        <v>1384</v>
      </c>
      <c r="K12" s="1478" t="s">
        <v>1385</v>
      </c>
    </row>
    <row r="13" spans="2:11" ht="25" x14ac:dyDescent="0.25">
      <c r="B13" s="788"/>
      <c r="H13" s="1479" t="s">
        <v>1386</v>
      </c>
      <c r="I13" s="1480">
        <v>0.8</v>
      </c>
      <c r="J13" s="1481" t="s">
        <v>1387</v>
      </c>
      <c r="K13" s="1478" t="s">
        <v>1388</v>
      </c>
    </row>
    <row r="14" spans="2:11" x14ac:dyDescent="0.25">
      <c r="B14" s="788"/>
    </row>
    <row r="15" spans="2:11" x14ac:dyDescent="0.25">
      <c r="B15" s="788"/>
    </row>
    <row r="16" spans="2:11" x14ac:dyDescent="0.25">
      <c r="B16" s="788"/>
    </row>
    <row r="17" spans="2:8" x14ac:dyDescent="0.25">
      <c r="B17" s="788"/>
    </row>
    <row r="18" spans="2:8" x14ac:dyDescent="0.25">
      <c r="B18" s="788"/>
    </row>
    <row r="19" spans="2:8" x14ac:dyDescent="0.25">
      <c r="B19" s="788"/>
    </row>
    <row r="20" spans="2:8" x14ac:dyDescent="0.25">
      <c r="B20" s="788"/>
    </row>
    <row r="21" spans="2:8" x14ac:dyDescent="0.25">
      <c r="B21" s="788"/>
    </row>
    <row r="22" spans="2:8" x14ac:dyDescent="0.25">
      <c r="B22" s="788"/>
    </row>
    <row r="23" spans="2:8" x14ac:dyDescent="0.25">
      <c r="B23" s="788"/>
    </row>
    <row r="24" spans="2:8" x14ac:dyDescent="0.25">
      <c r="B24" s="788"/>
    </row>
    <row r="25" spans="2:8" x14ac:dyDescent="0.25">
      <c r="B25" s="788"/>
    </row>
    <row r="26" spans="2:8" x14ac:dyDescent="0.25">
      <c r="B26" s="788"/>
    </row>
    <row r="27" spans="2:8" x14ac:dyDescent="0.25">
      <c r="B27" s="788"/>
    </row>
    <row r="28" spans="2:8" x14ac:dyDescent="0.25">
      <c r="B28" s="788"/>
    </row>
    <row r="29" spans="2:8" ht="13" x14ac:dyDescent="0.3">
      <c r="B29" s="789" t="s">
        <v>205</v>
      </c>
    </row>
    <row r="30" spans="2:8" ht="13" thickBot="1" x14ac:dyDescent="0.3">
      <c r="B30" s="1270"/>
    </row>
    <row r="31" spans="2:8" ht="13.5" thickBot="1" x14ac:dyDescent="0.35">
      <c r="B31" s="1482" t="s">
        <v>1389</v>
      </c>
      <c r="C31" s="1483">
        <v>1</v>
      </c>
      <c r="D31" s="1483">
        <v>2</v>
      </c>
      <c r="E31" s="1483">
        <v>3</v>
      </c>
      <c r="F31" s="1483">
        <v>4</v>
      </c>
      <c r="G31" s="1483">
        <v>5</v>
      </c>
      <c r="H31" s="1483">
        <v>6</v>
      </c>
    </row>
    <row r="32" spans="2:8" ht="13" x14ac:dyDescent="0.3">
      <c r="B32" s="1484"/>
      <c r="C32" s="1485" t="s">
        <v>1390</v>
      </c>
      <c r="D32" s="1485" t="s">
        <v>1088</v>
      </c>
      <c r="E32" s="1485" t="s">
        <v>1391</v>
      </c>
      <c r="F32" s="1493" t="s">
        <v>1417</v>
      </c>
      <c r="G32" s="1485" t="s">
        <v>872</v>
      </c>
      <c r="H32" s="1485" t="s">
        <v>1392</v>
      </c>
    </row>
    <row r="33" spans="2:8" x14ac:dyDescent="0.25">
      <c r="B33" s="1494" t="s">
        <v>1418</v>
      </c>
      <c r="C33" s="1494" t="s">
        <v>1393</v>
      </c>
      <c r="D33" s="1494" t="s">
        <v>1393</v>
      </c>
      <c r="E33" s="1494" t="s">
        <v>1393</v>
      </c>
      <c r="F33" s="1494" t="s">
        <v>1393</v>
      </c>
      <c r="G33" s="1494" t="s">
        <v>1393</v>
      </c>
      <c r="H33" s="1494" t="s">
        <v>1393</v>
      </c>
    </row>
    <row r="34" spans="2:8" x14ac:dyDescent="0.25">
      <c r="B34" s="1486" t="s">
        <v>1419</v>
      </c>
      <c r="C34" s="1486" t="s">
        <v>1393</v>
      </c>
      <c r="D34" s="1486" t="s">
        <v>1393</v>
      </c>
      <c r="E34" s="1486" t="s">
        <v>1393</v>
      </c>
      <c r="F34" s="1486" t="s">
        <v>1393</v>
      </c>
      <c r="G34" s="1486" t="s">
        <v>1393</v>
      </c>
      <c r="H34" s="1486" t="s">
        <v>1393</v>
      </c>
    </row>
    <row r="35" spans="2:8" x14ac:dyDescent="0.25">
      <c r="B35" s="1486" t="s">
        <v>1394</v>
      </c>
      <c r="C35" s="1487">
        <v>0</v>
      </c>
      <c r="D35" s="1487">
        <v>0</v>
      </c>
      <c r="E35" s="1487">
        <v>9.2999999999999992E-3</v>
      </c>
      <c r="F35" s="1487">
        <v>0</v>
      </c>
      <c r="G35" s="1487">
        <v>0</v>
      </c>
      <c r="H35" s="1487">
        <v>8.4809699999999991E-3</v>
      </c>
    </row>
    <row r="36" spans="2:8" x14ac:dyDescent="0.25">
      <c r="B36" s="1486" t="s">
        <v>1395</v>
      </c>
      <c r="C36" s="1487">
        <v>0.9</v>
      </c>
      <c r="D36" s="1487">
        <v>0</v>
      </c>
      <c r="E36" s="1487">
        <v>0</v>
      </c>
      <c r="F36" s="1487">
        <v>0</v>
      </c>
      <c r="G36" s="1487">
        <v>0</v>
      </c>
      <c r="H36" s="1487">
        <v>0</v>
      </c>
    </row>
    <row r="37" spans="2:8" x14ac:dyDescent="0.25">
      <c r="B37" s="1486" t="s">
        <v>1396</v>
      </c>
      <c r="C37" s="1487">
        <v>0.05</v>
      </c>
      <c r="D37" s="1487">
        <v>0</v>
      </c>
      <c r="E37" s="1487">
        <v>0</v>
      </c>
      <c r="F37" s="1487">
        <v>0</v>
      </c>
      <c r="G37" s="1487">
        <v>0</v>
      </c>
      <c r="H37" s="1487">
        <v>0</v>
      </c>
    </row>
    <row r="38" spans="2:8" x14ac:dyDescent="0.25">
      <c r="B38" s="1486" t="s">
        <v>1397</v>
      </c>
      <c r="C38" s="1487">
        <v>0</v>
      </c>
      <c r="D38" s="1487">
        <v>0</v>
      </c>
      <c r="E38" s="1487">
        <v>4.0000000000000002E-4</v>
      </c>
      <c r="F38" s="1487">
        <v>0.94287810000000005</v>
      </c>
      <c r="G38" s="1487">
        <v>1.4807199999999999E-5</v>
      </c>
      <c r="H38" s="1487">
        <v>4.4494800000000001E-2</v>
      </c>
    </row>
    <row r="39" spans="2:8" x14ac:dyDescent="0.25">
      <c r="B39" s="1486" t="s">
        <v>1398</v>
      </c>
      <c r="C39" s="1487">
        <v>0</v>
      </c>
      <c r="D39" s="1487">
        <v>0</v>
      </c>
      <c r="E39" s="1487">
        <v>0</v>
      </c>
      <c r="F39" s="1487">
        <v>3.7683999999999998E-4</v>
      </c>
      <c r="G39" s="1487">
        <v>0.99596899999999999</v>
      </c>
      <c r="H39" s="1487">
        <v>0</v>
      </c>
    </row>
    <row r="40" spans="2:8" x14ac:dyDescent="0.25">
      <c r="B40" s="1486" t="s">
        <v>1399</v>
      </c>
      <c r="C40" s="1487">
        <v>0</v>
      </c>
      <c r="D40" s="1487">
        <v>1</v>
      </c>
      <c r="E40" s="1487">
        <v>1.01E-2</v>
      </c>
      <c r="F40" s="1487">
        <v>5.6680000000000001E-2</v>
      </c>
      <c r="G40" s="1487">
        <v>0</v>
      </c>
      <c r="H40" s="1487">
        <v>0.16721739999999999</v>
      </c>
    </row>
    <row r="41" spans="2:8" x14ac:dyDescent="0.25">
      <c r="B41" s="1486" t="s">
        <v>1400</v>
      </c>
      <c r="C41" s="1487">
        <v>0.05</v>
      </c>
      <c r="D41" s="1487">
        <v>0</v>
      </c>
      <c r="E41" s="1487">
        <v>0.77239999999999998</v>
      </c>
      <c r="F41" s="1487">
        <v>6.4318200000000004E-5</v>
      </c>
      <c r="G41" s="1487">
        <v>4.0161499999999996E-3</v>
      </c>
      <c r="H41" s="1487">
        <v>0.71097429999999995</v>
      </c>
    </row>
    <row r="42" spans="2:8" x14ac:dyDescent="0.25">
      <c r="B42" s="1486" t="s">
        <v>1401</v>
      </c>
      <c r="C42" s="1487">
        <v>0</v>
      </c>
      <c r="D42" s="1487">
        <v>0</v>
      </c>
      <c r="E42" s="1487">
        <v>0.20780000000000001</v>
      </c>
      <c r="F42" s="1487">
        <v>0</v>
      </c>
      <c r="G42" s="1487">
        <v>0</v>
      </c>
      <c r="H42" s="1487">
        <v>6.8832500000000005E-2</v>
      </c>
    </row>
    <row r="43" spans="2:8" x14ac:dyDescent="0.25">
      <c r="B43" s="1486"/>
      <c r="C43" s="1487"/>
      <c r="D43" s="1487"/>
      <c r="E43" s="1487"/>
      <c r="F43" s="1487"/>
      <c r="G43" s="1487"/>
      <c r="H43" s="1487"/>
    </row>
    <row r="44" spans="2:8" x14ac:dyDescent="0.25">
      <c r="B44" s="1486" t="s">
        <v>1402</v>
      </c>
      <c r="C44" s="1488" t="s">
        <v>1403</v>
      </c>
      <c r="D44" s="1488" t="s">
        <v>1403</v>
      </c>
      <c r="E44" s="1488" t="s">
        <v>1403</v>
      </c>
      <c r="F44" s="1488" t="s">
        <v>1403</v>
      </c>
      <c r="G44" s="1488" t="s">
        <v>1403</v>
      </c>
      <c r="H44" s="1487" t="s">
        <v>1404</v>
      </c>
    </row>
    <row r="45" spans="2:8" x14ac:dyDescent="0.25">
      <c r="B45" s="1486"/>
      <c r="C45" s="1487"/>
      <c r="D45" s="1487"/>
      <c r="E45" s="1487"/>
      <c r="F45" s="1487"/>
      <c r="G45" s="1487"/>
      <c r="H45" s="1487"/>
    </row>
    <row r="46" spans="2:8" x14ac:dyDescent="0.25">
      <c r="B46" s="1486" t="s">
        <v>1405</v>
      </c>
      <c r="C46" s="1495">
        <v>6980.5</v>
      </c>
      <c r="D46" s="1495">
        <v>24431.75</v>
      </c>
      <c r="E46" s="1495">
        <v>38507.550000000003</v>
      </c>
      <c r="F46" s="1495">
        <v>5426.53</v>
      </c>
      <c r="G46" s="1495">
        <v>16506</v>
      </c>
      <c r="H46" s="1495">
        <v>42226.32</v>
      </c>
    </row>
    <row r="47" spans="2:8" x14ac:dyDescent="0.25">
      <c r="B47" s="1486" t="s">
        <v>1406</v>
      </c>
      <c r="C47" s="1489">
        <v>121060</v>
      </c>
      <c r="D47" s="1489">
        <v>440145</v>
      </c>
      <c r="E47" s="1489">
        <v>1111250</v>
      </c>
      <c r="F47" s="1489">
        <v>230734</v>
      </c>
      <c r="G47" s="1489">
        <v>35008</v>
      </c>
      <c r="H47" s="1489">
        <v>1158220</v>
      </c>
    </row>
    <row r="48" spans="2:8" x14ac:dyDescent="0.25">
      <c r="B48" s="1486"/>
      <c r="C48" s="1489"/>
      <c r="D48" s="1489"/>
      <c r="E48" s="1489"/>
      <c r="F48" s="1489"/>
      <c r="G48" s="1489"/>
      <c r="H48" s="1489"/>
    </row>
    <row r="49" spans="2:8" x14ac:dyDescent="0.25">
      <c r="B49" s="1486" t="s">
        <v>1407</v>
      </c>
      <c r="C49" s="1490">
        <v>59</v>
      </c>
      <c r="D49" s="1490">
        <v>750</v>
      </c>
      <c r="E49" s="1490">
        <v>60</v>
      </c>
      <c r="F49" s="1490">
        <v>121</v>
      </c>
      <c r="G49" s="1490">
        <v>108</v>
      </c>
      <c r="H49" s="1490">
        <v>280.05259999999998</v>
      </c>
    </row>
    <row r="50" spans="2:8" ht="13" thickBot="1" x14ac:dyDescent="0.3">
      <c r="B50" s="1491" t="s">
        <v>1408</v>
      </c>
      <c r="C50" s="1492">
        <v>450</v>
      </c>
      <c r="D50" s="1492">
        <v>450</v>
      </c>
      <c r="E50" s="1492">
        <v>14.696</v>
      </c>
      <c r="F50" s="1492">
        <v>27</v>
      </c>
      <c r="G50" s="1492">
        <v>346</v>
      </c>
      <c r="H50" s="1492">
        <v>14.7</v>
      </c>
    </row>
  </sheetData>
  <phoneticPr fontId="0" type="noConversion"/>
  <pageMargins left="0.75" right="0.75" top="1" bottom="1" header="0.5" footer="0.5"/>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indexed="50"/>
    <pageSetUpPr fitToPage="1"/>
  </sheetPr>
  <dimension ref="A1:H225"/>
  <sheetViews>
    <sheetView zoomScale="85" zoomScaleNormal="85" workbookViewId="0">
      <selection activeCell="C32" sqref="C32"/>
    </sheetView>
  </sheetViews>
  <sheetFormatPr defaultColWidth="9.1796875" defaultRowHeight="12.5" x14ac:dyDescent="0.25"/>
  <cols>
    <col min="1" max="1" width="4.453125" style="468" customWidth="1"/>
    <col min="2" max="2" width="62.81640625" style="29" customWidth="1"/>
    <col min="3" max="3" width="21.1796875" style="29" customWidth="1"/>
    <col min="4" max="4" width="20.1796875" style="29" customWidth="1"/>
    <col min="5" max="5" width="24.26953125" style="29" customWidth="1"/>
    <col min="6" max="6" width="21.81640625" style="29" customWidth="1"/>
    <col min="7" max="7" width="16.26953125" style="29" customWidth="1"/>
    <col min="8" max="8" width="33.7265625" style="29" bestFit="1" customWidth="1"/>
    <col min="9" max="9" width="38" style="29" bestFit="1" customWidth="1"/>
    <col min="10" max="10" width="47.26953125" style="29" customWidth="1"/>
    <col min="11" max="11" width="18.453125" style="29" customWidth="1"/>
    <col min="12" max="16384" width="9.1796875" style="29"/>
  </cols>
  <sheetData>
    <row r="1" spans="1:8" ht="8.5" customHeight="1" thickBot="1" x14ac:dyDescent="0.3">
      <c r="A1" s="987" t="s">
        <v>1288</v>
      </c>
    </row>
    <row r="2" spans="1:8" ht="27" customHeight="1" thickBot="1" x14ac:dyDescent="0.3">
      <c r="A2" s="469"/>
      <c r="B2" s="1539" t="s">
        <v>1427</v>
      </c>
      <c r="C2" s="1540"/>
      <c r="D2" s="1540"/>
      <c r="E2" s="1541"/>
      <c r="F2" s="1541"/>
      <c r="G2" s="1542"/>
    </row>
    <row r="3" spans="1:8" ht="19.899999999999999" customHeight="1" thickBot="1" x14ac:dyDescent="0.3">
      <c r="A3" s="469" t="s">
        <v>1042</v>
      </c>
      <c r="B3" s="1543" t="s">
        <v>1420</v>
      </c>
      <c r="C3" s="1544"/>
      <c r="D3" s="1545"/>
      <c r="E3" s="322"/>
      <c r="F3" s="323"/>
      <c r="G3" s="324"/>
    </row>
    <row r="4" spans="1:8" ht="6.65" customHeight="1" thickBot="1" x14ac:dyDescent="0.3">
      <c r="A4" s="469"/>
      <c r="B4" s="508"/>
      <c r="C4" s="509"/>
      <c r="D4" s="1546"/>
      <c r="E4" s="1546"/>
      <c r="F4" s="500"/>
      <c r="G4" s="501"/>
    </row>
    <row r="5" spans="1:8" ht="22.5" thickTop="1" x14ac:dyDescent="0.25">
      <c r="A5" s="469"/>
      <c r="B5" s="780" t="s">
        <v>1067</v>
      </c>
      <c r="C5" s="781"/>
      <c r="D5" s="782"/>
      <c r="E5" s="782"/>
      <c r="F5" s="503"/>
      <c r="G5" s="505"/>
    </row>
    <row r="6" spans="1:8" ht="21" customHeight="1" x14ac:dyDescent="0.25">
      <c r="A6" s="469"/>
      <c r="B6" s="1246" t="s">
        <v>203</v>
      </c>
      <c r="C6" s="509"/>
      <c r="D6" s="1202"/>
      <c r="E6" s="1202"/>
      <c r="F6" s="500"/>
      <c r="G6" s="501"/>
    </row>
    <row r="7" spans="1:8" ht="20" x14ac:dyDescent="0.25">
      <c r="A7" s="469"/>
      <c r="B7" s="1247"/>
      <c r="C7" s="509"/>
      <c r="D7" s="776"/>
      <c r="E7" s="776"/>
      <c r="F7" s="500"/>
      <c r="G7" s="501"/>
    </row>
    <row r="8" spans="1:8" ht="29.25" customHeight="1" x14ac:dyDescent="0.25">
      <c r="A8" s="469"/>
      <c r="B8" s="1246" t="s">
        <v>198</v>
      </c>
      <c r="C8" s="509"/>
      <c r="D8" s="1129"/>
      <c r="E8" s="1129"/>
      <c r="F8" s="500"/>
      <c r="G8" s="501"/>
    </row>
    <row r="9" spans="1:8" ht="20" x14ac:dyDescent="0.25">
      <c r="A9" s="469"/>
      <c r="B9" s="1247"/>
      <c r="C9" s="509"/>
      <c r="D9" s="509"/>
      <c r="E9" s="509"/>
      <c r="F9" s="500"/>
      <c r="G9" s="501"/>
    </row>
    <row r="10" spans="1:8" ht="20" x14ac:dyDescent="0.25">
      <c r="A10" s="469"/>
      <c r="B10" s="1246" t="s">
        <v>197</v>
      </c>
      <c r="C10" s="509"/>
      <c r="D10" s="509"/>
      <c r="E10" s="509"/>
      <c r="F10" s="500"/>
      <c r="G10" s="501"/>
    </row>
    <row r="11" spans="1:8" ht="20" x14ac:dyDescent="0.25">
      <c r="A11" s="469"/>
      <c r="B11" s="508"/>
      <c r="C11" s="509"/>
      <c r="D11" s="509"/>
      <c r="E11" s="509"/>
      <c r="F11" s="500"/>
      <c r="G11" s="501"/>
    </row>
    <row r="12" spans="1:8" ht="20" x14ac:dyDescent="0.25">
      <c r="A12" s="469"/>
      <c r="B12" s="508"/>
      <c r="C12" s="509"/>
      <c r="D12" s="509"/>
      <c r="E12" s="509"/>
      <c r="F12" s="500"/>
      <c r="G12" s="501"/>
    </row>
    <row r="13" spans="1:8" ht="20" x14ac:dyDescent="0.25">
      <c r="A13" s="469"/>
      <c r="B13" s="508"/>
      <c r="C13" s="509"/>
      <c r="D13" s="509"/>
      <c r="E13" s="509"/>
      <c r="F13" s="500"/>
      <c r="G13" s="501"/>
    </row>
    <row r="14" spans="1:8" ht="20" x14ac:dyDescent="0.25">
      <c r="A14" s="469"/>
      <c r="B14" s="835" t="s">
        <v>322</v>
      </c>
      <c r="C14" s="509"/>
      <c r="D14" s="509"/>
      <c r="E14" s="509"/>
      <c r="F14" s="509"/>
      <c r="G14" s="501"/>
    </row>
    <row r="15" spans="1:8" ht="20" x14ac:dyDescent="0.25">
      <c r="A15" s="469"/>
      <c r="B15" s="835" t="s">
        <v>372</v>
      </c>
      <c r="C15" s="509"/>
      <c r="D15" s="509"/>
      <c r="E15" s="509"/>
      <c r="F15" s="509"/>
      <c r="G15" s="501"/>
    </row>
    <row r="16" spans="1:8" ht="20" x14ac:dyDescent="0.25">
      <c r="A16" s="469"/>
      <c r="B16" s="835" t="s">
        <v>143</v>
      </c>
      <c r="C16" s="509"/>
      <c r="D16" s="509"/>
      <c r="E16" s="509"/>
      <c r="F16" s="509"/>
      <c r="G16" s="501"/>
      <c r="H16" s="1198" t="s">
        <v>1178</v>
      </c>
    </row>
    <row r="17" spans="1:8" ht="20" x14ac:dyDescent="0.25">
      <c r="A17" s="469"/>
      <c r="B17" s="835" t="s">
        <v>951</v>
      </c>
      <c r="C17" s="509"/>
      <c r="D17" s="509"/>
      <c r="E17" s="509"/>
      <c r="F17" s="509"/>
      <c r="G17" s="501"/>
      <c r="H17" s="1199">
        <f ca="1">+NPV</f>
        <v>1.3074668136707323E-6</v>
      </c>
    </row>
    <row r="18" spans="1:8" ht="20" x14ac:dyDescent="0.25">
      <c r="A18" s="469"/>
      <c r="B18" s="835" t="s">
        <v>354</v>
      </c>
      <c r="C18" s="509"/>
      <c r="D18" s="509"/>
      <c r="E18" s="509"/>
      <c r="F18" s="509"/>
      <c r="G18" s="501"/>
    </row>
    <row r="19" spans="1:8" ht="20" x14ac:dyDescent="0.25">
      <c r="A19" s="469"/>
      <c r="B19" s="835" t="s">
        <v>952</v>
      </c>
      <c r="C19" s="509"/>
      <c r="D19" s="509"/>
      <c r="E19" s="509"/>
      <c r="F19" s="509"/>
      <c r="G19" s="501"/>
    </row>
    <row r="20" spans="1:8" ht="20" x14ac:dyDescent="0.25">
      <c r="A20" s="469"/>
      <c r="B20" s="835" t="s">
        <v>953</v>
      </c>
      <c r="C20" s="509"/>
      <c r="D20" s="509"/>
      <c r="E20" s="509"/>
      <c r="F20" s="509"/>
      <c r="G20" s="501"/>
    </row>
    <row r="21" spans="1:8" ht="5.5" customHeight="1" x14ac:dyDescent="0.25">
      <c r="A21" s="469"/>
      <c r="B21" s="833"/>
      <c r="C21" s="509"/>
      <c r="D21" s="776"/>
      <c r="E21" s="776"/>
      <c r="F21" s="500"/>
      <c r="G21" s="501"/>
    </row>
    <row r="22" spans="1:8" ht="5.5" customHeight="1" x14ac:dyDescent="0.25">
      <c r="A22" s="469"/>
      <c r="E22" s="776"/>
      <c r="F22" s="500"/>
      <c r="G22" s="501"/>
    </row>
    <row r="23" spans="1:8" ht="5.5" customHeight="1" thickBot="1" x14ac:dyDescent="0.3">
      <c r="A23" s="469"/>
      <c r="B23" s="508"/>
      <c r="C23" s="509"/>
      <c r="D23" s="776"/>
      <c r="E23" s="776"/>
      <c r="F23" s="500"/>
      <c r="G23" s="501"/>
    </row>
    <row r="24" spans="1:8" ht="31.5" customHeight="1" thickTop="1" thickBot="1" x14ac:dyDescent="0.3">
      <c r="A24" s="469"/>
      <c r="B24" s="502" t="s">
        <v>322</v>
      </c>
      <c r="C24" s="504"/>
      <c r="D24" s="504"/>
      <c r="E24" s="1525" t="s">
        <v>441</v>
      </c>
      <c r="F24" s="1525"/>
      <c r="G24" s="1526"/>
    </row>
    <row r="25" spans="1:8" ht="17.149999999999999" customHeight="1" thickBot="1" x14ac:dyDescent="0.3">
      <c r="A25" s="469" t="s">
        <v>8</v>
      </c>
      <c r="B25" s="325" t="s">
        <v>334</v>
      </c>
      <c r="C25" s="860">
        <f ca="1">0.9*sensitivity_01</f>
        <v>0.9</v>
      </c>
      <c r="D25" s="475"/>
      <c r="E25" s="1532"/>
      <c r="F25" s="1532"/>
      <c r="G25" s="1533"/>
    </row>
    <row r="26" spans="1:8" ht="17.149999999999999" customHeight="1" thickBot="1" x14ac:dyDescent="0.3">
      <c r="A26" s="469" t="s">
        <v>26</v>
      </c>
      <c r="B26" s="325" t="s">
        <v>335</v>
      </c>
      <c r="C26" s="560">
        <f ca="1">379387*sensitivity_02</f>
        <v>379387</v>
      </c>
      <c r="D26" s="475"/>
      <c r="E26" s="1532"/>
      <c r="F26" s="1532"/>
      <c r="G26" s="1533"/>
    </row>
    <row r="27" spans="1:8" ht="17.149999999999999" customHeight="1" thickBot="1" x14ac:dyDescent="0.3">
      <c r="A27" s="469"/>
      <c r="B27" s="325" t="s">
        <v>430</v>
      </c>
      <c r="C27" s="861">
        <f ca="1">design_cap*cap_factor</f>
        <v>341448.3</v>
      </c>
      <c r="D27" s="475"/>
      <c r="E27" s="246"/>
      <c r="F27" s="246"/>
      <c r="G27" s="557"/>
    </row>
    <row r="28" spans="1:8" ht="17.149999999999999" customHeight="1" thickBot="1" x14ac:dyDescent="0.3">
      <c r="A28" s="469" t="s">
        <v>1009</v>
      </c>
      <c r="B28" s="325" t="s">
        <v>20</v>
      </c>
      <c r="C28" s="506">
        <f ca="1">output_kgpday*365</f>
        <v>124628629.5</v>
      </c>
      <c r="D28" s="475"/>
      <c r="E28" s="1536"/>
      <c r="F28" s="1532"/>
      <c r="G28" s="1533"/>
    </row>
    <row r="29" spans="1:8" ht="20.149999999999999" customHeight="1" thickTop="1" thickBot="1" x14ac:dyDescent="0.3">
      <c r="A29" s="469"/>
      <c r="B29" s="502" t="s">
        <v>372</v>
      </c>
      <c r="C29" s="504"/>
      <c r="D29" s="507"/>
      <c r="E29" s="1525" t="s">
        <v>1099</v>
      </c>
      <c r="F29" s="1525"/>
      <c r="G29" s="1526"/>
    </row>
    <row r="30" spans="1:8" ht="17.149999999999999" customHeight="1" thickBot="1" x14ac:dyDescent="0.3">
      <c r="A30" s="469" t="s">
        <v>1025</v>
      </c>
      <c r="B30" s="326" t="s">
        <v>1026</v>
      </c>
      <c r="C30" s="1271">
        <v>2016</v>
      </c>
      <c r="D30" s="475"/>
      <c r="E30" s="1523"/>
      <c r="F30" s="1523"/>
      <c r="G30" s="1524"/>
    </row>
    <row r="31" spans="1:8" ht="17.149999999999999" customHeight="1" thickBot="1" x14ac:dyDescent="0.3">
      <c r="A31" s="469" t="s">
        <v>182</v>
      </c>
      <c r="B31" s="325" t="s">
        <v>373</v>
      </c>
      <c r="C31" s="1271">
        <v>2015</v>
      </c>
      <c r="D31" s="475"/>
      <c r="E31" s="1523"/>
      <c r="F31" s="1523"/>
      <c r="G31" s="1524"/>
    </row>
    <row r="32" spans="1:8" ht="17.149999999999999" customHeight="1" thickBot="1" x14ac:dyDescent="0.3">
      <c r="A32" s="469"/>
      <c r="B32" s="325" t="s">
        <v>841</v>
      </c>
      <c r="C32" s="862">
        <v>2005</v>
      </c>
      <c r="D32" s="1547" t="s">
        <v>1098</v>
      </c>
      <c r="E32" s="1005"/>
      <c r="F32" s="1005"/>
      <c r="G32" s="1006"/>
    </row>
    <row r="33" spans="1:7" ht="17.149999999999999" customHeight="1" thickBot="1" x14ac:dyDescent="0.3">
      <c r="A33" s="469" t="s">
        <v>10</v>
      </c>
      <c r="B33" s="325" t="s">
        <v>374</v>
      </c>
      <c r="C33" s="862">
        <v>3</v>
      </c>
      <c r="D33" s="1547"/>
      <c r="E33" s="1537"/>
      <c r="F33" s="1537"/>
      <c r="G33" s="1538"/>
    </row>
    <row r="34" spans="1:7" ht="17.149999999999999" customHeight="1" thickBot="1" x14ac:dyDescent="0.3">
      <c r="A34" s="469" t="s">
        <v>161</v>
      </c>
      <c r="B34" s="325" t="s">
        <v>945</v>
      </c>
      <c r="C34" s="863">
        <v>0.08</v>
      </c>
      <c r="D34" s="989"/>
      <c r="E34" s="1523"/>
      <c r="F34" s="1523"/>
      <c r="G34" s="1524"/>
    </row>
    <row r="35" spans="1:7" ht="17.149999999999999" customHeight="1" thickBot="1" x14ac:dyDescent="0.3">
      <c r="A35" s="469" t="s">
        <v>162</v>
      </c>
      <c r="B35" s="325" t="s">
        <v>375</v>
      </c>
      <c r="C35" s="863">
        <v>0.6</v>
      </c>
      <c r="D35" s="989"/>
      <c r="E35" s="1523"/>
      <c r="F35" s="1523"/>
      <c r="G35" s="1524"/>
    </row>
    <row r="36" spans="1:7" ht="17.149999999999999" customHeight="1" thickBot="1" x14ac:dyDescent="0.3">
      <c r="A36" s="469" t="s">
        <v>163</v>
      </c>
      <c r="B36" s="327" t="s">
        <v>376</v>
      </c>
      <c r="C36" s="863">
        <v>0.32</v>
      </c>
      <c r="D36" s="989"/>
      <c r="E36" s="1523"/>
      <c r="F36" s="1523"/>
      <c r="G36" s="1524"/>
    </row>
    <row r="37" spans="1:7" ht="17.149999999999999" customHeight="1" thickBot="1" x14ac:dyDescent="0.3">
      <c r="A37" s="469" t="s">
        <v>164</v>
      </c>
      <c r="B37" s="327" t="s">
        <v>323</v>
      </c>
      <c r="C37" s="863"/>
      <c r="D37" s="475"/>
      <c r="E37" s="1523"/>
      <c r="F37" s="1523"/>
      <c r="G37" s="1524"/>
    </row>
    <row r="38" spans="1:7" ht="17.149999999999999" customHeight="1" thickBot="1" x14ac:dyDescent="0.3">
      <c r="A38" s="469" t="s">
        <v>181</v>
      </c>
      <c r="B38" s="325" t="s">
        <v>378</v>
      </c>
      <c r="C38" s="862">
        <v>1</v>
      </c>
      <c r="D38" s="475"/>
      <c r="E38" s="1523"/>
      <c r="F38" s="1523"/>
      <c r="G38" s="1524"/>
    </row>
    <row r="39" spans="1:7" ht="17.149999999999999" customHeight="1" thickBot="1" x14ac:dyDescent="0.3">
      <c r="A39" s="469" t="s">
        <v>170</v>
      </c>
      <c r="B39" s="325" t="s">
        <v>379</v>
      </c>
      <c r="C39" s="862">
        <v>40</v>
      </c>
      <c r="D39" s="475"/>
      <c r="E39" s="1523"/>
      <c r="F39" s="1523"/>
      <c r="G39" s="1524"/>
    </row>
    <row r="40" spans="1:7" ht="17.149999999999999" customHeight="1" thickBot="1" x14ac:dyDescent="0.3">
      <c r="A40" s="469" t="s">
        <v>7</v>
      </c>
      <c r="B40" s="325" t="s">
        <v>380</v>
      </c>
      <c r="C40" s="862">
        <v>40</v>
      </c>
      <c r="D40" s="475"/>
      <c r="E40" s="1523"/>
      <c r="F40" s="1523"/>
      <c r="G40" s="1524"/>
    </row>
    <row r="41" spans="1:7" ht="17.149999999999999" customHeight="1" thickBot="1" x14ac:dyDescent="0.3">
      <c r="A41" s="469" t="s">
        <v>24</v>
      </c>
      <c r="B41" s="325" t="s">
        <v>381</v>
      </c>
      <c r="C41" s="862">
        <v>20</v>
      </c>
      <c r="D41" s="475"/>
      <c r="E41" s="1523"/>
      <c r="F41" s="1523"/>
      <c r="G41" s="1524"/>
    </row>
    <row r="42" spans="1:7" ht="17.149999999999999" customHeight="1" thickBot="1" x14ac:dyDescent="0.3">
      <c r="A42" s="469" t="s">
        <v>25</v>
      </c>
      <c r="B42" s="325" t="s">
        <v>389</v>
      </c>
      <c r="C42" s="862" t="s">
        <v>438</v>
      </c>
      <c r="D42" s="475"/>
      <c r="E42" s="1523"/>
      <c r="F42" s="1523"/>
      <c r="G42" s="1524"/>
    </row>
    <row r="43" spans="1:7" ht="17.149999999999999" customHeight="1" thickBot="1" x14ac:dyDescent="0.3">
      <c r="A43" s="469" t="s">
        <v>247</v>
      </c>
      <c r="B43" s="325" t="s">
        <v>19</v>
      </c>
      <c r="C43" s="863">
        <v>0.4</v>
      </c>
      <c r="D43" s="475"/>
      <c r="E43" s="1523"/>
      <c r="F43" s="1523"/>
      <c r="G43" s="1524"/>
    </row>
    <row r="44" spans="1:7" ht="17.149999999999999" customHeight="1" thickBot="1" x14ac:dyDescent="0.3">
      <c r="A44" s="469" t="s">
        <v>13</v>
      </c>
      <c r="B44" s="325" t="s">
        <v>388</v>
      </c>
      <c r="C44" s="1444">
        <v>3.6999999999999998E-2</v>
      </c>
      <c r="D44" s="475"/>
      <c r="E44" s="1530"/>
      <c r="F44" s="1523"/>
      <c r="G44" s="1524"/>
    </row>
    <row r="45" spans="1:7" ht="17.149999999999999" customHeight="1" thickBot="1" x14ac:dyDescent="0.3">
      <c r="A45" s="469" t="s">
        <v>14</v>
      </c>
      <c r="B45" s="325" t="s">
        <v>382</v>
      </c>
      <c r="C45" s="1518">
        <v>0</v>
      </c>
      <c r="D45" s="475"/>
      <c r="E45" s="1530" t="s">
        <v>1426</v>
      </c>
      <c r="F45" s="1523"/>
      <c r="G45" s="1524"/>
    </row>
    <row r="46" spans="1:7" ht="17.149999999999999" customHeight="1" thickBot="1" x14ac:dyDescent="0.3">
      <c r="A46" s="469" t="s">
        <v>165</v>
      </c>
      <c r="B46" s="325" t="s">
        <v>383</v>
      </c>
      <c r="C46" s="863">
        <v>0.75</v>
      </c>
      <c r="D46" s="475"/>
      <c r="E46" s="1523"/>
      <c r="F46" s="1523"/>
      <c r="G46" s="1524"/>
    </row>
    <row r="47" spans="1:7" ht="17.149999999999999" customHeight="1" thickBot="1" x14ac:dyDescent="0.3">
      <c r="A47" s="469" t="s">
        <v>167</v>
      </c>
      <c r="B47" s="325" t="s">
        <v>384</v>
      </c>
      <c r="C47" s="863">
        <v>0.5</v>
      </c>
      <c r="D47" s="475"/>
      <c r="E47" s="1523"/>
      <c r="F47" s="1523"/>
      <c r="G47" s="1524"/>
    </row>
    <row r="48" spans="1:7" ht="17.149999999999999" customHeight="1" thickBot="1" x14ac:dyDescent="0.3">
      <c r="A48" s="469" t="s">
        <v>168</v>
      </c>
      <c r="B48" s="325" t="s">
        <v>385</v>
      </c>
      <c r="C48" s="863">
        <v>0.75</v>
      </c>
      <c r="D48" s="475"/>
      <c r="E48" s="1523"/>
      <c r="F48" s="1523"/>
      <c r="G48" s="1524"/>
    </row>
    <row r="49" spans="1:7" ht="17.149999999999999" customHeight="1" thickBot="1" x14ac:dyDescent="0.3">
      <c r="A49" s="469" t="s">
        <v>18</v>
      </c>
      <c r="B49" s="325" t="s">
        <v>386</v>
      </c>
      <c r="C49" s="863">
        <v>0.1</v>
      </c>
      <c r="D49" s="475"/>
      <c r="E49" s="1523"/>
      <c r="F49" s="1523"/>
      <c r="G49" s="1524"/>
    </row>
    <row r="50" spans="1:7" ht="17.149999999999999" customHeight="1" thickBot="1" x14ac:dyDescent="0.3">
      <c r="A50" s="469" t="s">
        <v>178</v>
      </c>
      <c r="B50" s="325" t="s">
        <v>387</v>
      </c>
      <c r="C50" s="863">
        <v>0.1</v>
      </c>
      <c r="D50" s="475"/>
      <c r="E50" s="1523"/>
      <c r="F50" s="1523"/>
      <c r="G50" s="1524"/>
    </row>
    <row r="51" spans="1:7" ht="17.149999999999999" customHeight="1" thickBot="1" x14ac:dyDescent="0.3">
      <c r="A51" s="469" t="s">
        <v>30</v>
      </c>
      <c r="B51" s="325" t="s">
        <v>978</v>
      </c>
      <c r="C51" s="860">
        <v>1.9E-2</v>
      </c>
      <c r="D51" s="475"/>
      <c r="E51" s="1523"/>
      <c r="F51" s="1523"/>
      <c r="G51" s="1524"/>
    </row>
    <row r="52" spans="1:7" ht="17.149999999999999" customHeight="1" thickBot="1" x14ac:dyDescent="0.3">
      <c r="A52" s="469" t="s">
        <v>174</v>
      </c>
      <c r="B52" s="325" t="s">
        <v>1020</v>
      </c>
      <c r="C52" s="860">
        <f ca="1">0.08*sensitivity_03</f>
        <v>0.08</v>
      </c>
      <c r="D52" s="475"/>
      <c r="E52" s="1530"/>
      <c r="F52" s="1523"/>
      <c r="G52" s="1524"/>
    </row>
    <row r="53" spans="1:7" ht="17.149999999999999" customHeight="1" thickBot="1" x14ac:dyDescent="0.3">
      <c r="A53" s="469" t="s">
        <v>184</v>
      </c>
      <c r="B53" s="325" t="s">
        <v>1021</v>
      </c>
      <c r="C53" s="860">
        <v>0.06</v>
      </c>
      <c r="D53" s="475"/>
      <c r="E53" s="1523"/>
      <c r="F53" s="1523"/>
      <c r="G53" s="1524"/>
    </row>
    <row r="54" spans="1:7" ht="17.149999999999999" customHeight="1" thickBot="1" x14ac:dyDescent="0.3">
      <c r="A54" s="469" t="s">
        <v>28</v>
      </c>
      <c r="B54" s="325" t="s">
        <v>977</v>
      </c>
      <c r="C54" s="474">
        <v>0.21</v>
      </c>
      <c r="D54" s="475"/>
      <c r="E54" s="1523"/>
      <c r="F54" s="1523"/>
      <c r="G54" s="1524"/>
    </row>
    <row r="55" spans="1:7" ht="17.149999999999999" customHeight="1" thickBot="1" x14ac:dyDescent="0.3">
      <c r="A55" s="469" t="s">
        <v>1017</v>
      </c>
      <c r="B55" s="325" t="s">
        <v>21</v>
      </c>
      <c r="C55" s="864">
        <f>fed_tax_rate+state_tax_rate*(1-fed_tax_rate)</f>
        <v>0.25739999999999996</v>
      </c>
      <c r="D55" s="476"/>
      <c r="E55" s="1531"/>
      <c r="F55" s="1523"/>
      <c r="G55" s="1524"/>
    </row>
    <row r="56" spans="1:7" ht="17.149999999999999" customHeight="1" thickBot="1" x14ac:dyDescent="0.3">
      <c r="A56" s="469" t="s">
        <v>189</v>
      </c>
      <c r="B56" s="325" t="s">
        <v>371</v>
      </c>
      <c r="C56" s="477">
        <v>0.15</v>
      </c>
      <c r="D56" s="475"/>
      <c r="E56" s="1523"/>
      <c r="F56" s="1523"/>
      <c r="G56" s="1524"/>
    </row>
    <row r="57" spans="1:7" ht="18.75" customHeight="1" thickTop="1" x14ac:dyDescent="0.3">
      <c r="A57" s="469"/>
      <c r="B57" s="510" t="s">
        <v>1043</v>
      </c>
      <c r="C57" s="837"/>
      <c r="D57" s="831"/>
      <c r="E57" s="831"/>
      <c r="F57" s="831"/>
      <c r="G57" s="832"/>
    </row>
    <row r="58" spans="1:7" ht="21" customHeight="1" thickBot="1" x14ac:dyDescent="0.3">
      <c r="A58" s="469"/>
      <c r="B58" s="436" t="s">
        <v>275</v>
      </c>
      <c r="C58" s="494"/>
      <c r="D58" s="438"/>
      <c r="E58" s="437"/>
      <c r="F58" s="437"/>
      <c r="G58" s="439"/>
    </row>
    <row r="59" spans="1:7" ht="23.25" customHeight="1" thickBot="1" x14ac:dyDescent="0.3">
      <c r="A59" s="469"/>
      <c r="B59" s="480" t="s">
        <v>1290</v>
      </c>
      <c r="C59" s="494"/>
      <c r="D59" s="438"/>
      <c r="E59" s="437"/>
      <c r="F59" s="1527" t="s">
        <v>714</v>
      </c>
      <c r="G59" s="439"/>
    </row>
    <row r="60" spans="1:7" ht="18.75" customHeight="1" thickBot="1" x14ac:dyDescent="0.3">
      <c r="A60" s="469"/>
      <c r="B60" s="436" t="s">
        <v>696</v>
      </c>
      <c r="C60" s="437"/>
      <c r="D60" s="438"/>
      <c r="E60" s="437"/>
      <c r="F60" s="1527"/>
      <c r="G60" s="439"/>
    </row>
    <row r="61" spans="1:7" ht="17.149999999999999" customHeight="1" thickBot="1" x14ac:dyDescent="0.3">
      <c r="A61" s="469"/>
      <c r="B61" s="1200" t="s">
        <v>833</v>
      </c>
      <c r="C61" s="440" t="str">
        <f>IF(OR(TMP_FeedType="Feedstock",TMP_FeedType = "Utility")," Enter usage in","Enter production in")</f>
        <v xml:space="preserve"> Enter usage in</v>
      </c>
      <c r="D61" s="440" t="str">
        <f ca="1">VLOOKUP(TMP_FeedName,INDIRECT(TMP_PriceTable),4,FALSE)</f>
        <v>mmBtu</v>
      </c>
      <c r="E61" s="437"/>
      <c r="F61" s="1527"/>
      <c r="G61" s="439"/>
    </row>
    <row r="62" spans="1:7" ht="17.149999999999999" customHeight="1" thickBot="1" x14ac:dyDescent="0.3">
      <c r="A62" s="469"/>
      <c r="B62" s="436" t="s">
        <v>697</v>
      </c>
      <c r="C62" s="440"/>
      <c r="D62" s="440"/>
      <c r="E62" s="437"/>
      <c r="F62" s="1527"/>
      <c r="G62" s="439"/>
    </row>
    <row r="63" spans="1:7" ht="17.149999999999999" customHeight="1" thickBot="1" x14ac:dyDescent="0.3">
      <c r="A63" s="469"/>
      <c r="B63" s="1200" t="s">
        <v>283</v>
      </c>
      <c r="C63" s="438"/>
      <c r="D63" s="438"/>
      <c r="E63" s="437"/>
      <c r="F63" s="1527"/>
      <c r="G63" s="439"/>
    </row>
    <row r="64" spans="1:7" ht="17.149999999999999" customHeight="1" thickBot="1" x14ac:dyDescent="0.3">
      <c r="A64" s="469"/>
      <c r="B64" s="895"/>
      <c r="C64" s="438"/>
      <c r="D64" s="438"/>
      <c r="E64" s="437"/>
      <c r="F64" s="1527"/>
      <c r="G64" s="439"/>
    </row>
    <row r="65" spans="1:8" ht="37.5" customHeight="1" thickBot="1" x14ac:dyDescent="0.3">
      <c r="A65" s="469"/>
      <c r="B65" s="449" t="str">
        <f>SELECTED_FEED</f>
        <v>feedstock</v>
      </c>
      <c r="C65" s="551" t="str">
        <f>TMP_FeedName</f>
        <v>Industrial Natural Gas</v>
      </c>
      <c r="D65" s="552"/>
      <c r="E65" s="442"/>
      <c r="F65" s="1527"/>
      <c r="G65" s="439"/>
    </row>
    <row r="66" spans="1:8" ht="19" customHeight="1" thickBot="1" x14ac:dyDescent="0.3">
      <c r="A66" s="469"/>
      <c r="B66" s="450" t="str">
        <f ca="1">"Price Conversion Factor (GJ/"&amp;TMP_Units&amp;")"</f>
        <v>Price Conversion Factor (GJ/mmBtu)</v>
      </c>
      <c r="C66" s="461">
        <f ca="1">VLOOKUP(TMP_FeedName,MASTER_PROPERTY_TABLE,9,FALSE)</f>
        <v>1.0549999999999999</v>
      </c>
      <c r="D66" s="443"/>
      <c r="E66" s="442"/>
      <c r="F66" s="1527"/>
      <c r="G66" s="439"/>
    </row>
    <row r="67" spans="1:8" ht="19" customHeight="1" thickBot="1" x14ac:dyDescent="0.3">
      <c r="A67" s="469"/>
      <c r="B67" s="841" t="str">
        <f ca="1">"Price in Startup Year ($" &amp; ref_year &amp; ")/" &amp; TMP_Units</f>
        <v>Price in Startup Year ($2016)/mmBtu</v>
      </c>
      <c r="C67" s="1272">
        <f ca="1">HLOOKUP(startup_year,INDIRECT(TMP_PriceTable),MATCH(TMP_FeedName,INDIRECT(Energy_Feed_List),0),FALSE)*TMP_Conversion</f>
        <v>3.7336748144174337</v>
      </c>
      <c r="D67" s="444"/>
      <c r="E67" s="445"/>
      <c r="F67" s="1527"/>
      <c r="G67" s="439"/>
    </row>
    <row r="68" spans="1:8" ht="19" customHeight="1" thickBot="1" x14ac:dyDescent="0.35">
      <c r="A68" s="469"/>
      <c r="B68" s="450" t="str">
        <f ca="1">IF(OR(TMP_FeedType="Feedstock",TMP_FeedType = "Utility"),"Usage ("&amp;TMP_Units&amp;"/kg H2)","Production ("&amp;TMP_Units&amp;"/kg H2)")</f>
        <v>Usage (mmBtu/kg H2)</v>
      </c>
      <c r="C68" s="914">
        <v>0.15579999999999999</v>
      </c>
      <c r="D68" s="445"/>
      <c r="E68" s="442"/>
      <c r="F68" s="1527"/>
      <c r="G68" s="439"/>
    </row>
    <row r="69" spans="1:8" ht="19" customHeight="1" thickBot="1" x14ac:dyDescent="0.3">
      <c r="A69" s="469"/>
      <c r="B69" s="451" t="str">
        <f>IF(OR(TMP_FeedType = "Feedstock",TMP_FeedType = "Utility"), "Cost in Startup Year","Income in Startup Year")</f>
        <v>Cost in Startup Year</v>
      </c>
      <c r="C69" s="466">
        <f ca="1">design_cap*365*cap_factor*TMP_Usage*TMP_StartPrice</f>
        <v>72497288.363619894</v>
      </c>
      <c r="D69" s="443"/>
      <c r="E69" s="442"/>
      <c r="F69" s="437"/>
      <c r="G69" s="439"/>
    </row>
    <row r="70" spans="1:8" ht="19" customHeight="1" thickBot="1" x14ac:dyDescent="0.3">
      <c r="A70" s="469"/>
      <c r="B70" s="450" t="s">
        <v>262</v>
      </c>
      <c r="C70" s="460" t="s">
        <v>711</v>
      </c>
      <c r="D70" s="443"/>
      <c r="E70" s="442"/>
      <c r="F70" s="437"/>
      <c r="G70" s="439"/>
    </row>
    <row r="71" spans="1:8" s="438" customFormat="1" ht="19" customHeight="1" x14ac:dyDescent="0.25">
      <c r="A71" s="909"/>
      <c r="B71" s="910"/>
      <c r="C71" s="911"/>
      <c r="D71" s="443"/>
      <c r="E71" s="442"/>
      <c r="F71" s="437"/>
      <c r="G71" s="439"/>
      <c r="H71" s="29"/>
    </row>
    <row r="72" spans="1:8" ht="27" customHeight="1" thickBot="1" x14ac:dyDescent="0.35">
      <c r="A72" s="470"/>
      <c r="B72" s="912" t="s">
        <v>715</v>
      </c>
      <c r="C72" s="447"/>
      <c r="D72" s="447"/>
      <c r="E72" s="447"/>
      <c r="F72" s="447"/>
      <c r="G72" s="448"/>
    </row>
    <row r="73" spans="1:8" ht="28" customHeight="1" x14ac:dyDescent="0.25">
      <c r="A73" s="470" t="s">
        <v>15</v>
      </c>
      <c r="B73" s="462"/>
      <c r="C73" s="463"/>
      <c r="D73" s="463"/>
      <c r="E73" s="463"/>
      <c r="F73" s="464"/>
      <c r="G73" s="465"/>
    </row>
    <row r="74" spans="1:8" ht="28" customHeight="1" x14ac:dyDescent="0.25">
      <c r="A74" s="470"/>
      <c r="B74" s="462" t="s">
        <v>833</v>
      </c>
      <c r="C74" s="463" t="s">
        <v>1353</v>
      </c>
      <c r="D74" s="463" t="s">
        <v>1354</v>
      </c>
      <c r="E74" s="463" t="s">
        <v>1355</v>
      </c>
      <c r="F74" s="464" t="s">
        <v>834</v>
      </c>
      <c r="G74" s="465" t="s">
        <v>262</v>
      </c>
    </row>
    <row r="75" spans="1:8" ht="28" customHeight="1" x14ac:dyDescent="0.25">
      <c r="A75" s="470"/>
      <c r="B75" s="462" t="s">
        <v>283</v>
      </c>
      <c r="C75" s="463">
        <v>1.0549999999999999</v>
      </c>
      <c r="D75" s="463">
        <v>3.7336748144174337</v>
      </c>
      <c r="E75" s="463">
        <f ca="1">0.1558*sensitivity_04</f>
        <v>0.15579999999999999</v>
      </c>
      <c r="F75" s="464">
        <f ca="1">+feedstockIndustrial_Natural_Gas_Usage*feedstockIndustrial_Natural_Gas_Price*output_kgyear*percnt_var*'Cash Flow Analysis'!E68/'Cash Flow Analysis'!E69</f>
        <v>53359142.563998953</v>
      </c>
      <c r="G75" s="465" t="s">
        <v>711</v>
      </c>
    </row>
    <row r="76" spans="1:8" ht="28" customHeight="1" x14ac:dyDescent="0.25">
      <c r="A76" s="470" t="s">
        <v>15</v>
      </c>
      <c r="B76" s="462"/>
      <c r="C76" s="463"/>
      <c r="D76" s="463"/>
      <c r="E76" s="463"/>
      <c r="F76" s="464"/>
      <c r="G76" s="465"/>
    </row>
    <row r="77" spans="1:8" ht="28" customHeight="1" x14ac:dyDescent="0.25">
      <c r="A77" s="470"/>
      <c r="B77" s="462" t="s">
        <v>1352</v>
      </c>
      <c r="C77" s="463" t="s">
        <v>1349</v>
      </c>
      <c r="D77" s="463" t="s">
        <v>1350</v>
      </c>
      <c r="E77" s="463" t="s">
        <v>1356</v>
      </c>
      <c r="F77" s="464" t="s">
        <v>834</v>
      </c>
      <c r="G77" s="465" t="s">
        <v>262</v>
      </c>
    </row>
    <row r="78" spans="1:8" ht="28" customHeight="1" x14ac:dyDescent="0.25">
      <c r="A78" s="470"/>
      <c r="B78" s="462" t="s">
        <v>698</v>
      </c>
      <c r="C78" s="463">
        <v>3.5999999999999995E-3</v>
      </c>
      <c r="D78" s="463">
        <v>6.9980611257164108E-2</v>
      </c>
      <c r="E78" s="463">
        <f ca="1">0.6*sensitivity_05</f>
        <v>0.6</v>
      </c>
      <c r="F78" s="464">
        <f ca="1">+utilityIndustrial_Electricity_Price*utilityIndustrial_Electricity_Usage*output_kgyear*percnt_var*'Cash Flow Analysis'!E68/'Cash Flow Analysis'!E69</f>
        <v>3851535.2822852656</v>
      </c>
      <c r="G78" s="465" t="s">
        <v>711</v>
      </c>
    </row>
    <row r="79" spans="1:8" ht="28" customHeight="1" x14ac:dyDescent="0.25">
      <c r="A79" s="469" t="s">
        <v>273</v>
      </c>
      <c r="B79" s="462"/>
      <c r="C79" s="463"/>
      <c r="D79" s="463"/>
      <c r="E79" s="463"/>
      <c r="F79" s="464"/>
      <c r="G79" s="465"/>
    </row>
    <row r="80" spans="1:8" ht="28" customHeight="1" x14ac:dyDescent="0.25">
      <c r="A80" s="471" t="s">
        <v>274</v>
      </c>
      <c r="B80" s="463"/>
      <c r="C80" s="463"/>
      <c r="D80" s="463"/>
      <c r="E80" s="463"/>
      <c r="F80" s="464"/>
      <c r="G80" s="465"/>
    </row>
    <row r="81" spans="1:8" ht="17.149999999999999" customHeight="1" thickBot="1" x14ac:dyDescent="0.3">
      <c r="A81" s="471"/>
      <c r="B81" s="330"/>
      <c r="C81" s="330"/>
      <c r="D81" s="336"/>
      <c r="E81" s="336"/>
      <c r="F81" s="333" t="s">
        <v>58</v>
      </c>
      <c r="G81" s="335"/>
    </row>
    <row r="82" spans="1:8" ht="17.149999999999999" customHeight="1" thickBot="1" x14ac:dyDescent="0.3">
      <c r="A82" s="469" t="s">
        <v>251</v>
      </c>
      <c r="B82" s="337" t="s">
        <v>277</v>
      </c>
      <c r="C82" s="333"/>
      <c r="D82" s="336"/>
      <c r="E82" s="336"/>
      <c r="F82" s="249">
        <f ca="1">SUM(Dynamic_Feed_Total)</f>
        <v>53359142.563998953</v>
      </c>
      <c r="G82" s="335"/>
    </row>
    <row r="83" spans="1:8" ht="17.149999999999999" customHeight="1" thickBot="1" x14ac:dyDescent="0.3">
      <c r="A83" s="469" t="s">
        <v>252</v>
      </c>
      <c r="B83" s="337" t="s">
        <v>278</v>
      </c>
      <c r="C83" s="333"/>
      <c r="D83" s="336"/>
      <c r="E83" s="336"/>
      <c r="F83" s="249">
        <f ca="1">SUM(Dynamic_Utilities_Total)</f>
        <v>3851535.2822852656</v>
      </c>
      <c r="G83" s="335"/>
    </row>
    <row r="84" spans="1:8" ht="17.149999999999999" customHeight="1" thickBot="1" x14ac:dyDescent="0.3">
      <c r="A84" s="469" t="s">
        <v>256</v>
      </c>
      <c r="B84" s="328" t="s">
        <v>276</v>
      </c>
      <c r="C84" s="333"/>
      <c r="D84" s="336"/>
      <c r="E84" s="336"/>
      <c r="F84" s="249">
        <f>SUM(Dynamic_Byproduct_Total)</f>
        <v>0</v>
      </c>
      <c r="G84" s="335"/>
    </row>
    <row r="85" spans="1:8" ht="38.25" customHeight="1" x14ac:dyDescent="0.25">
      <c r="A85" s="469"/>
      <c r="B85" s="328"/>
      <c r="C85" s="323"/>
      <c r="D85" s="838" t="s">
        <v>317</v>
      </c>
      <c r="E85" s="1532"/>
      <c r="F85" s="1532"/>
      <c r="G85" s="1533"/>
    </row>
    <row r="86" spans="1:8" ht="28.5" customHeight="1" thickBot="1" x14ac:dyDescent="0.3">
      <c r="A86" s="469"/>
      <c r="B86" s="328"/>
      <c r="C86" s="323"/>
      <c r="D86" s="438"/>
      <c r="E86" s="1534"/>
      <c r="F86" s="1534"/>
      <c r="G86" s="1535"/>
    </row>
    <row r="87" spans="1:8" ht="17.149999999999999" customHeight="1" thickTop="1" thickBot="1" x14ac:dyDescent="0.3">
      <c r="A87" s="469"/>
      <c r="B87" s="502" t="s">
        <v>83</v>
      </c>
      <c r="C87" s="503"/>
      <c r="D87" s="503"/>
      <c r="E87" s="1525" t="s">
        <v>441</v>
      </c>
      <c r="F87" s="1525"/>
      <c r="G87" s="1526"/>
    </row>
    <row r="88" spans="1:8" ht="20.149999999999999" customHeight="1" thickBot="1" x14ac:dyDescent="0.3">
      <c r="A88" s="469" t="s">
        <v>246</v>
      </c>
      <c r="B88" s="331" t="s">
        <v>336</v>
      </c>
      <c r="C88" s="247">
        <f ca="1">Det_scaled_cap</f>
        <v>202246783.50553989</v>
      </c>
      <c r="D88" s="475"/>
      <c r="E88" s="1528" t="s">
        <v>531</v>
      </c>
      <c r="F88" s="1528"/>
      <c r="G88" s="1529"/>
    </row>
    <row r="89" spans="1:8" ht="28.9" customHeight="1" thickBot="1" x14ac:dyDescent="0.3">
      <c r="A89" s="469"/>
      <c r="B89" s="331" t="s">
        <v>1003</v>
      </c>
      <c r="C89" s="1278">
        <f ca="1">Det_CO2_seq</f>
        <v>137971172.45797154</v>
      </c>
      <c r="D89" s="475"/>
      <c r="E89" s="1528" t="s">
        <v>843</v>
      </c>
      <c r="F89" s="1528"/>
      <c r="G89" s="1529"/>
    </row>
    <row r="90" spans="1:8" ht="21.75" customHeight="1" x14ac:dyDescent="0.25">
      <c r="A90" s="469"/>
      <c r="B90" s="331"/>
      <c r="C90"/>
      <c r="D90"/>
      <c r="E90"/>
      <c r="F90"/>
      <c r="G90" s="453"/>
    </row>
    <row r="91" spans="1:8" ht="45.75" customHeight="1" thickBot="1" x14ac:dyDescent="0.35">
      <c r="A91" s="469"/>
      <c r="B91" s="331" t="s">
        <v>337</v>
      </c>
      <c r="C91" s="990" t="str">
        <f>"Enter values in basis year (" &amp; BasisYear &amp; ") dollars"</f>
        <v>Enter values in basis year (2005) dollars</v>
      </c>
      <c r="D91" s="990" t="s">
        <v>844</v>
      </c>
      <c r="E91" s="990" t="str">
        <f xml:space="preserve"> "Reference Year ("&amp; ref_year &amp; ") Dollars"</f>
        <v>Reference Year (2016) Dollars</v>
      </c>
      <c r="F91"/>
      <c r="G91" s="453"/>
      <c r="H91" s="35"/>
    </row>
    <row r="92" spans="1:8" ht="17.149999999999999" customHeight="1" x14ac:dyDescent="0.25">
      <c r="A92" s="469" t="s">
        <v>179</v>
      </c>
      <c r="B92" s="326" t="s">
        <v>712</v>
      </c>
      <c r="C92" s="1016">
        <f ca="1">0.02*(direct_cap+CO2_seq)/(CEPCIinflator*CPIinflator)</f>
        <v>5254679.049848319</v>
      </c>
      <c r="D92" s="1038">
        <f t="shared" ref="D92:D98" si="0">CEPCIinflator*CPIinflator</f>
        <v>1.294914314408345</v>
      </c>
      <c r="E92" s="1018">
        <f ca="1">C92*D92</f>
        <v>6804359.1192702297</v>
      </c>
      <c r="F92" s="1004"/>
      <c r="G92" s="1007"/>
    </row>
    <row r="93" spans="1:8" ht="29.25" customHeight="1" x14ac:dyDescent="0.25">
      <c r="A93" s="469" t="s">
        <v>27</v>
      </c>
      <c r="B93" s="325" t="s">
        <v>338</v>
      </c>
      <c r="C93" s="1019">
        <f ca="1">0.1*(direct_cap+CO2_seq)/(CEPCIinflator*CPIinflator)</f>
        <v>26273395.249241594</v>
      </c>
      <c r="D93" s="1039">
        <f t="shared" si="0"/>
        <v>1.294914314408345</v>
      </c>
      <c r="E93" s="1021">
        <f t="shared" ref="E93:E98" ca="1" si="1">C93*D93</f>
        <v>34021795.596351147</v>
      </c>
      <c r="F93" s="1004"/>
      <c r="G93" s="1007"/>
      <c r="H93" s="34"/>
    </row>
    <row r="94" spans="1:8" ht="17.149999999999999" customHeight="1" x14ac:dyDescent="0.25">
      <c r="A94" s="469" t="s">
        <v>171</v>
      </c>
      <c r="B94" s="325" t="s">
        <v>347</v>
      </c>
      <c r="C94" s="1019"/>
      <c r="D94" s="1039">
        <f t="shared" si="0"/>
        <v>1.294914314408345</v>
      </c>
      <c r="E94" s="1021">
        <f t="shared" si="1"/>
        <v>0</v>
      </c>
      <c r="F94" s="1004"/>
      <c r="G94" s="1007"/>
      <c r="H94" s="908"/>
    </row>
    <row r="95" spans="1:8" ht="17.149999999999999" customHeight="1" x14ac:dyDescent="0.25">
      <c r="A95" s="469" t="s">
        <v>173</v>
      </c>
      <c r="B95" s="325" t="s">
        <v>348</v>
      </c>
      <c r="C95" s="1019">
        <f ca="1">0.15*(direct_cap+CO2_seq)/(CEPCIinflator*CPIinflator)</f>
        <v>39410092.873862386</v>
      </c>
      <c r="D95" s="1039">
        <f t="shared" si="0"/>
        <v>1.294914314408345</v>
      </c>
      <c r="E95" s="1021">
        <f t="shared" ca="1" si="1"/>
        <v>51032693.394526713</v>
      </c>
      <c r="F95" s="1004"/>
      <c r="G95" s="1007"/>
      <c r="H95" s="908"/>
    </row>
    <row r="96" spans="1:8" ht="31.5" customHeight="1" x14ac:dyDescent="0.25">
      <c r="A96" s="469" t="s">
        <v>159</v>
      </c>
      <c r="B96" s="325" t="s">
        <v>350</v>
      </c>
      <c r="C96" s="1019"/>
      <c r="D96" s="1039">
        <f t="shared" si="0"/>
        <v>1.294914314408345</v>
      </c>
      <c r="E96" s="1021">
        <f t="shared" si="1"/>
        <v>0</v>
      </c>
      <c r="F96" s="1004"/>
      <c r="G96" s="1007"/>
      <c r="H96" s="34"/>
    </row>
    <row r="97" spans="1:7" ht="17.149999999999999" customHeight="1" x14ac:dyDescent="0.25">
      <c r="A97" s="469" t="s">
        <v>29</v>
      </c>
      <c r="B97" s="325" t="s">
        <v>349</v>
      </c>
      <c r="C97" s="1019"/>
      <c r="D97" s="1039">
        <f t="shared" si="0"/>
        <v>1.294914314408345</v>
      </c>
      <c r="E97" s="1021">
        <f t="shared" si="1"/>
        <v>0</v>
      </c>
      <c r="F97" s="1004"/>
      <c r="G97" s="1007"/>
    </row>
    <row r="98" spans="1:7" ht="21.75" customHeight="1" thickBot="1" x14ac:dyDescent="0.3">
      <c r="A98" s="469" t="s">
        <v>169</v>
      </c>
      <c r="B98" s="326" t="s">
        <v>713</v>
      </c>
      <c r="C98" s="1022">
        <f ca="1">0.15*(direct_cap+CO2_seq)/(CEPCIinflator*CPIinflator)</f>
        <v>39410092.873862386</v>
      </c>
      <c r="D98" s="1040">
        <f t="shared" si="0"/>
        <v>1.294914314408345</v>
      </c>
      <c r="E98" s="1023">
        <f t="shared" ca="1" si="1"/>
        <v>51032693.394526713</v>
      </c>
      <c r="F98" s="1004"/>
      <c r="G98" s="1007"/>
    </row>
    <row r="99" spans="1:7" ht="20.149999999999999" customHeight="1" thickBot="1" x14ac:dyDescent="0.3">
      <c r="A99" s="469" t="s">
        <v>1010</v>
      </c>
      <c r="B99" s="331" t="s">
        <v>979</v>
      </c>
      <c r="C99"/>
      <c r="E99" s="865">
        <f ca="1">direct_cap+CO2_seq+SUM($E$92:$E$98)</f>
        <v>483109497.46818626</v>
      </c>
      <c r="F99" s="1008"/>
      <c r="G99" s="1009"/>
    </row>
    <row r="100" spans="1:7" x14ac:dyDescent="0.25">
      <c r="A100" s="469"/>
      <c r="B100" s="325"/>
      <c r="C100" s="323"/>
      <c r="D100" s="1554" t="s">
        <v>844</v>
      </c>
      <c r="E100"/>
      <c r="F100" s="479"/>
      <c r="G100" s="478"/>
    </row>
    <row r="101" spans="1:7" ht="30.75" customHeight="1" thickBot="1" x14ac:dyDescent="0.35">
      <c r="A101" s="469"/>
      <c r="B101" s="331" t="s">
        <v>351</v>
      </c>
      <c r="C101" s="990" t="str">
        <f>"Enter values in basis year (" &amp; BasisYear &amp; ") dollars"</f>
        <v>Enter values in basis year (2005) dollars</v>
      </c>
      <c r="D101" s="1555"/>
      <c r="E101" s="990" t="str">
        <f xml:space="preserve"> "Reference Year ("&amp; ref_year &amp; ") Dollars"</f>
        <v>Reference Year (2016) Dollars</v>
      </c>
      <c r="F101" s="479"/>
      <c r="G101" s="478"/>
    </row>
    <row r="102" spans="1:7" ht="27.75" customHeight="1" thickBot="1" x14ac:dyDescent="0.3">
      <c r="A102" s="469" t="s">
        <v>1093</v>
      </c>
      <c r="B102" s="325" t="s">
        <v>352</v>
      </c>
      <c r="C102" s="1016">
        <v>50000</v>
      </c>
      <c r="D102" s="1038">
        <f>CPIinflator</f>
        <v>1.100724186648488</v>
      </c>
      <c r="E102" s="1001">
        <f>C102*D102</f>
        <v>55036.209332424405</v>
      </c>
      <c r="F102" s="479"/>
      <c r="G102" s="478"/>
    </row>
    <row r="103" spans="1:7" ht="25.5" customHeight="1" thickBot="1" x14ac:dyDescent="0.3">
      <c r="A103" s="469" t="s">
        <v>1094</v>
      </c>
      <c r="B103" s="325" t="s">
        <v>353</v>
      </c>
      <c r="C103" s="1025">
        <v>20</v>
      </c>
      <c r="D103" s="1020">
        <f ca="1">Scale_Factor *1</f>
        <v>1</v>
      </c>
      <c r="E103" s="998">
        <f ca="1">C103*D103</f>
        <v>20</v>
      </c>
      <c r="F103" s="479"/>
      <c r="G103" s="478"/>
    </row>
    <row r="104" spans="1:7" ht="27" customHeight="1" thickBot="1" x14ac:dyDescent="0.3">
      <c r="A104" s="469" t="s">
        <v>1011</v>
      </c>
      <c r="B104" s="325" t="s">
        <v>980</v>
      </c>
      <c r="C104" s="1026"/>
      <c r="D104" s="1026"/>
      <c r="E104" s="865">
        <f ca="1">acre_cost*acres</f>
        <v>1100724.186648488</v>
      </c>
      <c r="F104" s="479"/>
      <c r="G104" s="478"/>
    </row>
    <row r="105" spans="1:7" ht="17.149999999999999" customHeight="1" thickBot="1" x14ac:dyDescent="0.3">
      <c r="A105" s="469"/>
      <c r="B105" s="325" t="s">
        <v>1012</v>
      </c>
      <c r="C105" s="1016"/>
      <c r="D105" s="1038">
        <f>CPIinflator</f>
        <v>1.100724186648488</v>
      </c>
      <c r="E105" s="865">
        <f>C105*D105</f>
        <v>0</v>
      </c>
      <c r="F105" s="1008"/>
      <c r="G105" s="1009"/>
    </row>
    <row r="106" spans="1:7" ht="20.149999999999999" customHeight="1" thickBot="1" x14ac:dyDescent="0.3">
      <c r="A106" s="469" t="s">
        <v>1018</v>
      </c>
      <c r="B106" s="331" t="s">
        <v>981</v>
      </c>
      <c r="C106" s="1026"/>
      <c r="D106" s="1026"/>
      <c r="E106" s="248">
        <f ca="1">land_cost+$E$105</f>
        <v>1100724.186648488</v>
      </c>
      <c r="F106" s="479"/>
      <c r="G106" s="478"/>
    </row>
    <row r="107" spans="1:7" ht="13" thickBot="1" x14ac:dyDescent="0.3">
      <c r="A107" s="469"/>
      <c r="B107" s="325"/>
      <c r="C107" s="323"/>
      <c r="D107" s="1026"/>
      <c r="E107" s="479"/>
      <c r="F107" s="479"/>
      <c r="G107" s="478"/>
    </row>
    <row r="108" spans="1:7" ht="20.149999999999999" customHeight="1" thickBot="1" x14ac:dyDescent="0.3">
      <c r="A108" s="469" t="s">
        <v>1019</v>
      </c>
      <c r="B108" s="331" t="s">
        <v>995</v>
      </c>
      <c r="C108" s="247">
        <f ca="1">(depr_cap+non_dep_cap)*sensitivity_06</f>
        <v>484210221.65483475</v>
      </c>
      <c r="D108" s="1026"/>
      <c r="E108" s="1024"/>
      <c r="F108" s="479"/>
      <c r="G108" s="478"/>
    </row>
    <row r="109" spans="1:7" ht="13" thickBot="1" x14ac:dyDescent="0.3">
      <c r="A109" s="469"/>
      <c r="B109" s="325"/>
      <c r="C109" s="323"/>
      <c r="D109" s="1026"/>
      <c r="E109" s="479"/>
      <c r="F109" s="479"/>
      <c r="G109" s="478"/>
    </row>
    <row r="110" spans="1:7" ht="44.25" customHeight="1" thickTop="1" thickBot="1" x14ac:dyDescent="0.35">
      <c r="A110" s="469"/>
      <c r="B110" s="502" t="s">
        <v>354</v>
      </c>
      <c r="C110" s="1033" t="str">
        <f>"Enter values in basis year (" &amp; BasisYear &amp; ") dollars"</f>
        <v>Enter values in basis year (2005) dollars</v>
      </c>
      <c r="D110" s="1033" t="s">
        <v>844</v>
      </c>
      <c r="E110" s="1033" t="str">
        <f xml:space="preserve"> "Reference Year ("&amp; ref_year &amp; ") Dollars"</f>
        <v>Reference Year (2016) Dollars</v>
      </c>
      <c r="F110" s="503"/>
      <c r="G110" s="505"/>
    </row>
    <row r="111" spans="1:7" s="35" customFormat="1" ht="29.25" customHeight="1" thickBot="1" x14ac:dyDescent="0.3">
      <c r="A111" s="469" t="s">
        <v>1022</v>
      </c>
      <c r="B111" s="326" t="s">
        <v>355</v>
      </c>
      <c r="C111" s="1030">
        <v>25</v>
      </c>
      <c r="D111" s="1017">
        <f ca="1">Scale_Ratio^0.25</f>
        <v>1</v>
      </c>
      <c r="E111" s="1031">
        <f ca="1">C111*D111</f>
        <v>25</v>
      </c>
      <c r="F111" s="1010"/>
      <c r="G111" s="1028"/>
    </row>
    <row r="112" spans="1:7" s="35" customFormat="1" ht="17.25" customHeight="1" thickBot="1" x14ac:dyDescent="0.3">
      <c r="A112" s="469" t="s">
        <v>1023</v>
      </c>
      <c r="B112" s="326" t="s">
        <v>356</v>
      </c>
      <c r="C112" s="1016">
        <v>50</v>
      </c>
      <c r="D112" s="1038">
        <f>VLOOKUP(ref_year,Tbl_labor_indexes,2,FALSE)/VLOOKUP(BasisYear,Tbl_labor_indexes,2,FALSE)</f>
        <v>1.1548042704626329</v>
      </c>
      <c r="E112" s="1003">
        <f>C112*D112</f>
        <v>57.740213523131644</v>
      </c>
      <c r="F112" s="1010"/>
      <c r="G112" s="1028"/>
    </row>
    <row r="113" spans="1:8" s="35" customFormat="1" ht="17.149999999999999" customHeight="1" thickBot="1" x14ac:dyDescent="0.3">
      <c r="A113" s="469" t="s">
        <v>1013</v>
      </c>
      <c r="B113" s="326" t="s">
        <v>996</v>
      </c>
      <c r="C113" s="1026"/>
      <c r="D113" s="1026"/>
      <c r="E113" s="866">
        <f ca="1">FTEs*2080*FTE_cost</f>
        <v>3002491.1032028454</v>
      </c>
      <c r="F113" s="1010"/>
      <c r="G113" s="1028"/>
    </row>
    <row r="114" spans="1:8" s="35" customFormat="1" ht="17.149999999999999" customHeight="1" thickBot="1" x14ac:dyDescent="0.3">
      <c r="A114" s="469" t="s">
        <v>160</v>
      </c>
      <c r="B114" s="326" t="s">
        <v>357</v>
      </c>
      <c r="C114" s="481">
        <v>0.2</v>
      </c>
      <c r="D114" s="1026"/>
      <c r="F114" s="1010"/>
      <c r="G114" s="1028"/>
    </row>
    <row r="115" spans="1:8" s="35" customFormat="1" ht="17.149999999999999" customHeight="1" thickBot="1" x14ac:dyDescent="0.3">
      <c r="A115" s="469" t="s">
        <v>1016</v>
      </c>
      <c r="B115" s="326" t="s">
        <v>989</v>
      </c>
      <c r="C115" s="1026"/>
      <c r="D115" s="1026"/>
      <c r="E115" s="992">
        <f ca="1">labor_cost*overhead_rate</f>
        <v>600498.22064056911</v>
      </c>
      <c r="F115" s="1010"/>
      <c r="G115" s="1028"/>
    </row>
    <row r="116" spans="1:8" s="35" customFormat="1" ht="17.149999999999999" customHeight="1" thickBot="1" x14ac:dyDescent="0.3">
      <c r="A116" s="469" t="s">
        <v>31</v>
      </c>
      <c r="B116" s="326" t="s">
        <v>358</v>
      </c>
      <c r="C116" s="1016">
        <v>0</v>
      </c>
      <c r="D116" s="1038">
        <f ca="1">Scale_Factor *CEPCIinflator*CPIinflator</f>
        <v>1.294914314408345</v>
      </c>
      <c r="E116" s="999">
        <f ca="1">C116*D116</f>
        <v>0</v>
      </c>
      <c r="F116" s="1010"/>
      <c r="G116" s="1028"/>
    </row>
    <row r="117" spans="1:8" s="35" customFormat="1" ht="26.25" customHeight="1" thickBot="1" x14ac:dyDescent="0.3">
      <c r="A117" s="469" t="s">
        <v>186</v>
      </c>
      <c r="B117" s="326" t="s">
        <v>1097</v>
      </c>
      <c r="C117" s="1000">
        <v>0.02</v>
      </c>
      <c r="D117" s="1041"/>
      <c r="F117" s="1010"/>
      <c r="G117" s="1028"/>
    </row>
    <row r="118" spans="1:8" s="35" customFormat="1" ht="17.149999999999999" customHeight="1" thickBot="1" x14ac:dyDescent="0.3">
      <c r="A118" s="469" t="s">
        <v>1014</v>
      </c>
      <c r="B118" s="325" t="s">
        <v>994</v>
      </c>
      <c r="C118" s="1026"/>
      <c r="D118" s="1041"/>
      <c r="E118" s="903">
        <f ca="1">tax_ins_rate*total_cap</f>
        <v>9684204.4330966957</v>
      </c>
      <c r="F118" s="1010"/>
      <c r="G118" s="1028"/>
    </row>
    <row r="119" spans="1:8" s="35" customFormat="1" ht="17.149999999999999" customHeight="1" thickBot="1" x14ac:dyDescent="0.3">
      <c r="A119" s="469" t="s">
        <v>175</v>
      </c>
      <c r="B119" s="325" t="s">
        <v>359</v>
      </c>
      <c r="C119" s="1016">
        <v>0</v>
      </c>
      <c r="D119" s="1038">
        <f ca="1">Scale_Factor *CPIinflator</f>
        <v>1.100724186648488</v>
      </c>
      <c r="E119" s="1001">
        <f ca="1">C119*D119</f>
        <v>0</v>
      </c>
      <c r="F119" s="1010"/>
      <c r="G119" s="1028"/>
    </row>
    <row r="120" spans="1:8" s="35" customFormat="1" ht="27" customHeight="1" thickBot="1" x14ac:dyDescent="0.3">
      <c r="A120" s="469" t="s">
        <v>1024</v>
      </c>
      <c r="B120" s="326" t="s">
        <v>360</v>
      </c>
      <c r="C120" s="1016">
        <v>1014762</v>
      </c>
      <c r="D120" s="1038">
        <f ca="1">Scale_Factor *CEPCIinflator*CPIinflator</f>
        <v>1.294914314408345</v>
      </c>
      <c r="E120" s="1002">
        <f ca="1">C120*D120</f>
        <v>1314029.8395176411</v>
      </c>
      <c r="F120" s="1010"/>
      <c r="G120" s="1028"/>
      <c r="H120" s="839"/>
    </row>
    <row r="121" spans="1:8" s="35" customFormat="1" ht="17.149999999999999" customHeight="1" thickBot="1" x14ac:dyDescent="0.3">
      <c r="A121" s="469" t="s">
        <v>172</v>
      </c>
      <c r="B121" s="326" t="s">
        <v>361</v>
      </c>
      <c r="C121" s="1016">
        <v>0</v>
      </c>
      <c r="D121" s="1038">
        <f ca="1">Scale_Factor *CEPCIinflator*CPIinflator</f>
        <v>1.294914314408345</v>
      </c>
      <c r="E121" s="993">
        <f ca="1">C121*D121</f>
        <v>0</v>
      </c>
      <c r="F121" s="1010"/>
      <c r="G121" s="1028"/>
    </row>
    <row r="122" spans="1:8" s="35" customFormat="1" ht="17.149999999999999" customHeight="1" thickBot="1" x14ac:dyDescent="0.3">
      <c r="A122" s="469" t="s">
        <v>157</v>
      </c>
      <c r="B122" s="325" t="s">
        <v>362</v>
      </c>
      <c r="C122" s="1016">
        <v>0</v>
      </c>
      <c r="D122" s="1038">
        <f ca="1">Scale_Ratio * CEPCIinflator*CPIinflator</f>
        <v>1.294914314408345</v>
      </c>
      <c r="E122" s="513">
        <f ca="1">C122*D122</f>
        <v>0</v>
      </c>
      <c r="F122" s="1010"/>
      <c r="G122" s="1028"/>
    </row>
    <row r="123" spans="1:8" s="35" customFormat="1" ht="17.149999999999999" customHeight="1" thickBot="1" x14ac:dyDescent="0.3">
      <c r="A123" s="469" t="s">
        <v>158</v>
      </c>
      <c r="B123" s="325" t="s">
        <v>363</v>
      </c>
      <c r="C123" s="1016">
        <v>0</v>
      </c>
      <c r="D123" s="1038">
        <f ca="1">Scale_Factor *CEPCIinflator*CPIinflator</f>
        <v>1.294914314408345</v>
      </c>
      <c r="E123" s="248">
        <f ca="1">C123*D123</f>
        <v>0</v>
      </c>
      <c r="F123" s="1010"/>
      <c r="G123" s="1028"/>
    </row>
    <row r="124" spans="1:8" s="35" customFormat="1" ht="24" customHeight="1" thickBot="1" x14ac:dyDescent="0.3">
      <c r="A124" s="469" t="s">
        <v>1015</v>
      </c>
      <c r="B124" s="331" t="s">
        <v>997</v>
      </c>
      <c r="C124" s="1026"/>
      <c r="D124" s="1026"/>
      <c r="E124" s="865">
        <f ca="1">(labor_cost+overhead_GA+tax_insurance+licensing+SUM(E119:E123))*sensitivity_07</f>
        <v>14601223.596457751</v>
      </c>
      <c r="F124" s="1027"/>
      <c r="G124" s="1029"/>
    </row>
    <row r="125" spans="1:8" s="35" customFormat="1" ht="13" thickBot="1" x14ac:dyDescent="0.3">
      <c r="A125" s="469"/>
      <c r="B125" s="326"/>
      <c r="C125" s="329"/>
      <c r="D125" s="516"/>
      <c r="E125" s="323"/>
      <c r="F125" s="323"/>
      <c r="G125" s="324"/>
    </row>
    <row r="126" spans="1:8" s="35" customFormat="1" ht="26.25" customHeight="1" thickTop="1" thickBot="1" x14ac:dyDescent="0.3">
      <c r="A126" s="469"/>
      <c r="B126" s="495" t="s">
        <v>948</v>
      </c>
      <c r="C126" s="496"/>
      <c r="D126" s="497"/>
      <c r="E126" s="498"/>
      <c r="F126" s="497"/>
      <c r="G126" s="499"/>
    </row>
    <row r="127" spans="1:8" customFormat="1" ht="15" customHeight="1" thickTop="1" x14ac:dyDescent="0.3">
      <c r="A127" s="469"/>
      <c r="B127" s="510" t="s">
        <v>1044</v>
      </c>
      <c r="C127" s="511"/>
      <c r="D127" s="511"/>
      <c r="E127" s="511"/>
      <c r="F127" s="511"/>
      <c r="G127" s="512"/>
    </row>
    <row r="128" spans="1:8" customFormat="1" ht="15" customHeight="1" x14ac:dyDescent="0.25">
      <c r="A128" s="469"/>
      <c r="B128" s="454"/>
      <c r="C128" s="452"/>
      <c r="D128" s="452"/>
      <c r="E128" s="452"/>
      <c r="F128" s="452"/>
      <c r="G128" s="453"/>
    </row>
    <row r="129" spans="1:7" customFormat="1" ht="24" customHeight="1" thickBot="1" x14ac:dyDescent="0.3">
      <c r="A129" s="469"/>
      <c r="B129" s="436" t="s">
        <v>1051</v>
      </c>
      <c r="C129" s="452"/>
      <c r="D129" s="452"/>
      <c r="E129" s="452"/>
      <c r="F129" s="452"/>
      <c r="G129" s="453"/>
    </row>
    <row r="130" spans="1:7" customFormat="1" ht="24" customHeight="1" thickBot="1" x14ac:dyDescent="0.3">
      <c r="A130" s="469"/>
      <c r="B130" s="480" t="s">
        <v>1045</v>
      </c>
      <c r="C130" s="452"/>
      <c r="D130" s="452"/>
      <c r="E130" s="452"/>
      <c r="F130" s="452"/>
      <c r="G130" s="453"/>
    </row>
    <row r="131" spans="1:7" customFormat="1" ht="24" customHeight="1" thickBot="1" x14ac:dyDescent="0.3">
      <c r="A131" s="469"/>
      <c r="B131" s="458" t="s">
        <v>1072</v>
      </c>
      <c r="C131" s="1550" t="str">
        <f>B130</f>
        <v>Cooling Water</v>
      </c>
      <c r="D131" s="1551"/>
      <c r="E131" s="452"/>
      <c r="F131" s="452"/>
      <c r="G131" s="453"/>
    </row>
    <row r="132" spans="1:7" customFormat="1" ht="18.75" customHeight="1" thickBot="1" x14ac:dyDescent="0.3">
      <c r="A132" s="469"/>
      <c r="B132" s="441" t="str">
        <f ca="1">"$(" &amp; ref_year &amp; ")/ " &amp; VLOOKUP(TMP_NonE_Feed,Tbl_Other_Inputs_and_Byproducts,2,FALSE)</f>
        <v>$(2016)/ gal</v>
      </c>
      <c r="C132" s="485">
        <f ca="1">HLOOKUP(startup_year,Tbl_Other_Inputs_and_Byproducts,MATCH(TMP_NonE_Feed,Other_Inputs_List,0),FALSE)</f>
        <v>1.1334993860117458E-4</v>
      </c>
      <c r="D132" s="452"/>
      <c r="E132" s="452"/>
      <c r="F132" s="452"/>
      <c r="G132" s="453"/>
    </row>
    <row r="133" spans="1:7" customFormat="1" ht="18" customHeight="1" thickBot="1" x14ac:dyDescent="0.3">
      <c r="A133" s="469"/>
      <c r="B133" s="446" t="str">
        <f>IF(TMP_NonE_Type="Feed or utility","Usage per kg H2","Production per kg H2")</f>
        <v>Usage per kg H2</v>
      </c>
      <c r="C133" s="482"/>
      <c r="D133" s="452"/>
      <c r="E133" s="452"/>
      <c r="F133" s="452"/>
      <c r="G133" s="453"/>
    </row>
    <row r="134" spans="1:7" customFormat="1" ht="19.5" customHeight="1" thickBot="1" x14ac:dyDescent="0.3">
      <c r="A134" s="469"/>
      <c r="B134" s="446" t="str">
        <f>IF(TMP_NonE_Type = "Feed or utility", "Cost in Startup Year","Income in Startup Year")</f>
        <v>Cost in Startup Year</v>
      </c>
      <c r="C134" s="457">
        <f ca="1">design_cap*365*cap_factor*TMP_NonE_Usage*TMP_NonE_StartPrice</f>
        <v>0</v>
      </c>
      <c r="D134" s="452"/>
      <c r="E134" s="452"/>
      <c r="F134" s="452"/>
      <c r="G134" s="453"/>
    </row>
    <row r="135" spans="1:7" customFormat="1" ht="24" customHeight="1" thickBot="1" x14ac:dyDescent="0.3">
      <c r="A135" s="469"/>
      <c r="B135" s="455" t="s">
        <v>262</v>
      </c>
      <c r="C135" s="459" t="s">
        <v>23</v>
      </c>
      <c r="D135" s="456"/>
      <c r="E135" s="456"/>
      <c r="F135" s="456"/>
      <c r="G135" s="448"/>
    </row>
    <row r="136" spans="1:7" customFormat="1" ht="24" customHeight="1" x14ac:dyDescent="0.25">
      <c r="A136" s="472" t="s">
        <v>1053</v>
      </c>
      <c r="B136" s="332"/>
      <c r="C136" s="333"/>
      <c r="D136" s="333"/>
      <c r="E136" s="334"/>
      <c r="F136" s="333"/>
      <c r="G136" s="335"/>
    </row>
    <row r="137" spans="1:7" customFormat="1" ht="24" customHeight="1" x14ac:dyDescent="0.25">
      <c r="A137" s="472"/>
      <c r="B137" s="332" t="s">
        <v>1072</v>
      </c>
      <c r="C137" s="333" t="s">
        <v>1302</v>
      </c>
      <c r="D137" s="333" t="s">
        <v>837</v>
      </c>
      <c r="E137" s="334" t="s">
        <v>834</v>
      </c>
      <c r="F137" s="333" t="s">
        <v>262</v>
      </c>
      <c r="G137" s="335"/>
    </row>
    <row r="138" spans="1:7" customFormat="1" ht="24" customHeight="1" x14ac:dyDescent="0.25">
      <c r="A138" s="472"/>
      <c r="B138" s="332" t="s">
        <v>1046</v>
      </c>
      <c r="C138" s="333">
        <v>7.1248532835024025E-3</v>
      </c>
      <c r="D138" s="333">
        <v>3.355</v>
      </c>
      <c r="E138" s="334">
        <v>2979108.1488740137</v>
      </c>
      <c r="F138" s="333" t="s">
        <v>23</v>
      </c>
      <c r="G138" s="335"/>
    </row>
    <row r="139" spans="1:7" customFormat="1" ht="24" customHeight="1" x14ac:dyDescent="0.25">
      <c r="A139" s="472"/>
      <c r="B139" s="332" t="s">
        <v>1072</v>
      </c>
      <c r="C139" s="333" t="s">
        <v>1302</v>
      </c>
      <c r="D139" s="333" t="s">
        <v>837</v>
      </c>
      <c r="E139" s="334" t="s">
        <v>834</v>
      </c>
      <c r="F139" s="333" t="s">
        <v>262</v>
      </c>
      <c r="G139" s="335"/>
    </row>
    <row r="140" spans="1:7" customFormat="1" ht="24" customHeight="1" x14ac:dyDescent="0.25">
      <c r="A140" s="472"/>
      <c r="B140" s="332" t="s">
        <v>1045</v>
      </c>
      <c r="C140" s="333">
        <v>1.1334993860117458E-4</v>
      </c>
      <c r="D140" s="333">
        <v>1.4950000000000001</v>
      </c>
      <c r="E140" s="334">
        <v>21119.338015151436</v>
      </c>
      <c r="F140" s="333" t="s">
        <v>23</v>
      </c>
      <c r="G140" s="335"/>
    </row>
    <row r="141" spans="1:7" customFormat="1" ht="16" customHeight="1" x14ac:dyDescent="0.25">
      <c r="A141" s="469" t="s">
        <v>1054</v>
      </c>
      <c r="B141" s="332"/>
      <c r="C141" s="338"/>
      <c r="D141" s="338"/>
      <c r="E141" s="339"/>
      <c r="F141" s="338"/>
      <c r="G141" s="335"/>
    </row>
    <row r="142" spans="1:7" customFormat="1" ht="16" customHeight="1" thickBot="1" x14ac:dyDescent="0.3">
      <c r="A142" s="469" t="s">
        <v>1055</v>
      </c>
      <c r="B142" s="332"/>
      <c r="C142" s="333"/>
      <c r="D142" s="333"/>
      <c r="E142" s="339"/>
      <c r="F142" s="333"/>
      <c r="G142" s="335"/>
    </row>
    <row r="143" spans="1:7" customFormat="1" ht="17.149999999999999" customHeight="1" thickBot="1" x14ac:dyDescent="0.3">
      <c r="A143" s="469"/>
      <c r="B143" s="337" t="s">
        <v>862</v>
      </c>
      <c r="C143" s="249">
        <f>SUM(Dynamic_NonE_Feed_Total)</f>
        <v>3000227.4868891649</v>
      </c>
      <c r="D143" s="476"/>
      <c r="E143" s="1556"/>
      <c r="F143" s="1556"/>
      <c r="G143" s="1548"/>
    </row>
    <row r="144" spans="1:7" customFormat="1" ht="17.149999999999999" customHeight="1" thickBot="1" x14ac:dyDescent="0.3">
      <c r="A144" s="469" t="s">
        <v>257</v>
      </c>
      <c r="B144" s="337" t="s">
        <v>279</v>
      </c>
      <c r="C144" s="249">
        <f>SUM(Dynamic_NonE_Byprod_Total)</f>
        <v>0</v>
      </c>
      <c r="D144" s="476"/>
      <c r="E144" s="1556"/>
      <c r="F144" s="1556"/>
      <c r="G144" s="1548"/>
    </row>
    <row r="145" spans="1:7" customFormat="1" ht="26.5" customHeight="1" thickBot="1" x14ac:dyDescent="0.3">
      <c r="A145" s="469"/>
      <c r="B145" s="337"/>
      <c r="C145" s="333"/>
      <c r="D145" s="483"/>
      <c r="E145" s="1556"/>
      <c r="F145" s="1556"/>
      <c r="G145" s="1548"/>
    </row>
    <row r="146" spans="1:7" customFormat="1" ht="17.149999999999999" customHeight="1" thickBot="1" x14ac:dyDescent="0.3">
      <c r="A146" s="469" t="s">
        <v>250</v>
      </c>
      <c r="B146" s="331" t="s">
        <v>253</v>
      </c>
      <c r="C146" s="247">
        <f ca="1">Total_Energy_Feed_Cost</f>
        <v>53359142.563998953</v>
      </c>
      <c r="D146" s="476"/>
      <c r="E146" s="1552"/>
      <c r="F146" s="1552"/>
      <c r="G146" s="1553"/>
    </row>
    <row r="147" spans="1:7" customFormat="1" ht="17.149999999999999" customHeight="1" thickBot="1" x14ac:dyDescent="0.3">
      <c r="A147" s="469" t="s">
        <v>664</v>
      </c>
      <c r="B147" s="331" t="s">
        <v>254</v>
      </c>
      <c r="C147" s="247">
        <f ca="1">Total_Energy_Utilities_Cost+Total_Non_Energy_Feed_Cost</f>
        <v>6851762.7691744305</v>
      </c>
      <c r="D147" s="476"/>
      <c r="E147" s="1552"/>
      <c r="F147" s="1552"/>
      <c r="G147" s="1553"/>
    </row>
    <row r="148" spans="1:7" customFormat="1" ht="31.5" customHeight="1" thickBot="1" x14ac:dyDescent="0.3">
      <c r="A148" s="469" t="s">
        <v>665</v>
      </c>
      <c r="B148" s="331" t="s">
        <v>255</v>
      </c>
      <c r="C148" s="513">
        <f>Total_Energy_Byproduct_Credit+total_non_energy_byproduct_credit</f>
        <v>0</v>
      </c>
      <c r="D148" s="476"/>
      <c r="E148" s="1560"/>
      <c r="F148" s="1560"/>
      <c r="G148" s="1561"/>
    </row>
    <row r="149" spans="1:7" customFormat="1" ht="45.75" customHeight="1" thickTop="1" thickBot="1" x14ac:dyDescent="0.35">
      <c r="A149" s="469"/>
      <c r="B149" s="510" t="s">
        <v>816</v>
      </c>
      <c r="C149" s="1033" t="str">
        <f>"Enter values in basis year (" &amp; BasisYear &amp; ") dollars"</f>
        <v>Enter values in basis year (2005) dollars</v>
      </c>
      <c r="D149" s="1033" t="s">
        <v>844</v>
      </c>
      <c r="E149" s="1033" t="str">
        <f xml:space="preserve"> "Reference Year ("&amp; ref_year &amp; ") Dollars"</f>
        <v>Reference Year (2016) Dollars</v>
      </c>
      <c r="F149" s="514"/>
      <c r="G149" s="515"/>
    </row>
    <row r="150" spans="1:7" s="35" customFormat="1" ht="39" customHeight="1" thickBot="1" x14ac:dyDescent="0.3">
      <c r="A150" s="469" t="s">
        <v>187</v>
      </c>
      <c r="B150" s="325" t="s">
        <v>364</v>
      </c>
      <c r="C150" s="1016">
        <v>4629000</v>
      </c>
      <c r="D150" s="1038">
        <f ca="1">Scale_Ratio * VLOOKUP(ref_year,Chemical_price_indexes,2,FALSE)/VLOOKUP(BasisYear,Chemical_price_indexes,2,FALSE)</f>
        <v>1.4260544580886279</v>
      </c>
      <c r="E150" s="513">
        <f ca="1">C150*D150</f>
        <v>6601206.0864922581</v>
      </c>
      <c r="F150" s="1559"/>
      <c r="G150" s="1524"/>
    </row>
    <row r="151" spans="1:7" s="35" customFormat="1" ht="38.25" customHeight="1" thickBot="1" x14ac:dyDescent="0.3">
      <c r="A151" s="469" t="s">
        <v>280</v>
      </c>
      <c r="B151" s="616" t="s">
        <v>929</v>
      </c>
      <c r="C151" s="1016">
        <v>0</v>
      </c>
      <c r="D151" s="1038">
        <f ca="1">Scale_Ratio * VLOOKUP(ref_year,Chemical_price_indexes,2,FALSE)/VLOOKUP(BasisYear,Chemical_price_indexes,2,FALSE)</f>
        <v>1.4260544580886279</v>
      </c>
      <c r="E151" s="513">
        <f ca="1">C151*D151</f>
        <v>0</v>
      </c>
      <c r="F151" s="1010"/>
      <c r="G151" s="1028"/>
    </row>
    <row r="152" spans="1:7" s="35" customFormat="1" ht="17.149999999999999" customHeight="1" thickBot="1" x14ac:dyDescent="0.3">
      <c r="A152" s="469" t="s">
        <v>188</v>
      </c>
      <c r="B152" s="326" t="s">
        <v>365</v>
      </c>
      <c r="C152" s="1016">
        <v>0</v>
      </c>
      <c r="D152" s="1038">
        <f ca="1">Scale_Ratio * VLOOKUP(ref_year,Chemical_price_indexes,2,FALSE)/VLOOKUP(BasisYear,Chemical_price_indexes,2,FALSE)</f>
        <v>1.4260544580886279</v>
      </c>
      <c r="E152" s="513">
        <f ca="1">C152*D152</f>
        <v>0</v>
      </c>
      <c r="F152" s="1010"/>
      <c r="G152" s="1028"/>
    </row>
    <row r="153" spans="1:7" s="35" customFormat="1" ht="17.149999999999999" customHeight="1" thickBot="1" x14ac:dyDescent="0.3">
      <c r="A153" s="469" t="s">
        <v>180</v>
      </c>
      <c r="B153" s="326" t="s">
        <v>366</v>
      </c>
      <c r="C153" s="1016">
        <v>0</v>
      </c>
      <c r="D153" s="1038">
        <f ca="1">Scale_Ratio * VLOOKUP(ref_year,Chemical_price_indexes,2,FALSE)/VLOOKUP(BasisYear,Chemical_price_indexes,2,FALSE)</f>
        <v>1.4260544580886279</v>
      </c>
      <c r="E153" s="513">
        <f ca="1">C153*D153</f>
        <v>0</v>
      </c>
      <c r="F153" s="1010"/>
      <c r="G153" s="1028"/>
    </row>
    <row r="154" spans="1:7" s="35" customFormat="1" ht="28.5" customHeight="1" thickBot="1" x14ac:dyDescent="0.3">
      <c r="A154" s="469" t="s">
        <v>176</v>
      </c>
      <c r="B154" s="326" t="s">
        <v>367</v>
      </c>
      <c r="C154" s="1273">
        <v>5.0000000000000001E-3</v>
      </c>
      <c r="D154"/>
      <c r="E154" s="1557" t="s">
        <v>1205</v>
      </c>
      <c r="F154" s="1557"/>
      <c r="G154" s="1558"/>
    </row>
    <row r="155" spans="1:7" s="35" customFormat="1" ht="17.149999999999999" customHeight="1" thickBot="1" x14ac:dyDescent="0.3">
      <c r="A155" s="469" t="s">
        <v>177</v>
      </c>
      <c r="B155" s="326" t="s">
        <v>368</v>
      </c>
      <c r="C155" s="1016">
        <v>0</v>
      </c>
      <c r="D155" s="1038">
        <f ca="1">Scale_Ratio * CPIinflator</f>
        <v>1.100724186648488</v>
      </c>
      <c r="E155" s="1002">
        <v>0</v>
      </c>
      <c r="F155" s="1010"/>
      <c r="G155" s="1028"/>
    </row>
    <row r="156" spans="1:7" s="35" customFormat="1" ht="17.149999999999999" customHeight="1" thickBot="1" x14ac:dyDescent="0.3">
      <c r="A156" s="469" t="s">
        <v>156</v>
      </c>
      <c r="B156" s="326" t="s">
        <v>369</v>
      </c>
      <c r="C156" s="1016">
        <v>0</v>
      </c>
      <c r="D156" s="1038">
        <f ca="1">Scale_Ratio * CPIinflator</f>
        <v>1.100724186648488</v>
      </c>
      <c r="E156" s="1002">
        <v>0</v>
      </c>
      <c r="F156" s="1010"/>
      <c r="G156" s="1028"/>
    </row>
    <row r="157" spans="1:7" s="35" customFormat="1" ht="17.149999999999999" customHeight="1" thickBot="1" x14ac:dyDescent="0.3">
      <c r="A157" s="469" t="s">
        <v>185</v>
      </c>
      <c r="B157" s="326" t="s">
        <v>370</v>
      </c>
      <c r="C157" s="1016">
        <v>0</v>
      </c>
      <c r="D157" s="1038">
        <f ca="1">Scale_Ratio * CPIinflator</f>
        <v>1.100724186648488</v>
      </c>
      <c r="E157" s="1002">
        <v>0</v>
      </c>
      <c r="F157" s="1014"/>
      <c r="G157" s="1015"/>
    </row>
    <row r="158" spans="1:7" s="35" customFormat="1" ht="17.149999999999999" customHeight="1" thickBot="1" x14ac:dyDescent="0.3">
      <c r="A158" s="469" t="s">
        <v>9</v>
      </c>
      <c r="B158" s="326" t="s">
        <v>960</v>
      </c>
      <c r="C158"/>
      <c r="D158" s="1042"/>
      <c r="E158" s="1002">
        <f ca="1">Det_CO2_OandMcost</f>
        <v>9522185.2856293581</v>
      </c>
      <c r="F158" s="1014"/>
      <c r="G158" s="1548"/>
    </row>
    <row r="159" spans="1:7" s="35" customFormat="1" ht="17.149999999999999" customHeight="1" thickBot="1" x14ac:dyDescent="0.3">
      <c r="A159" s="469"/>
      <c r="B159" s="326" t="s">
        <v>957</v>
      </c>
      <c r="C159" s="1016">
        <v>0</v>
      </c>
      <c r="D159" s="1038">
        <f>CPIinflator</f>
        <v>1.100724186648488</v>
      </c>
      <c r="E159" s="1002">
        <v>0</v>
      </c>
      <c r="F159" s="1014"/>
      <c r="G159" s="1548"/>
    </row>
    <row r="160" spans="1:7" s="35" customFormat="1" ht="17.149999999999999" customHeight="1" thickBot="1" x14ac:dyDescent="0.3">
      <c r="A160" s="469"/>
      <c r="B160" s="326" t="s">
        <v>956</v>
      </c>
      <c r="C160"/>
      <c r="D160" s="1042"/>
      <c r="E160" s="834">
        <f ca="1">ROUND(Proc_CO2_tax*12/44*Proc_CO2_MTpY,-2)</f>
        <v>0</v>
      </c>
      <c r="F160" s="1014"/>
      <c r="G160" s="1548"/>
    </row>
    <row r="161" spans="1:7" s="35" customFormat="1" ht="17.149999999999999" customHeight="1" thickBot="1" x14ac:dyDescent="0.3">
      <c r="A161" s="469"/>
      <c r="B161" s="326" t="s">
        <v>958</v>
      </c>
      <c r="C161" s="1016">
        <v>0</v>
      </c>
      <c r="D161" s="1038">
        <f>CPIinflator</f>
        <v>1.100724186648488</v>
      </c>
      <c r="E161" s="834">
        <v>0</v>
      </c>
      <c r="F161" s="1014"/>
      <c r="G161" s="1548"/>
    </row>
    <row r="162" spans="1:7" s="35" customFormat="1" ht="17.149999999999999" customHeight="1" thickBot="1" x14ac:dyDescent="0.3">
      <c r="A162" s="469"/>
      <c r="B162" s="326" t="s">
        <v>959</v>
      </c>
      <c r="C162" s="1036"/>
      <c r="D162" s="1037"/>
      <c r="E162" s="834">
        <f ca="1">ROUND(Upstream_CO2_tax/1000*Upstream_GHG_total*output_kgyear,2)</f>
        <v>0</v>
      </c>
      <c r="F162" s="830"/>
      <c r="G162" s="1548"/>
    </row>
    <row r="163" spans="1:7" s="35" customFormat="1" ht="23.25" customHeight="1" thickBot="1" x14ac:dyDescent="0.3">
      <c r="A163" s="469" t="s">
        <v>260</v>
      </c>
      <c r="B163" s="340" t="s">
        <v>258</v>
      </c>
      <c r="C163" s="1034"/>
      <c r="D163" s="1035"/>
      <c r="E163" s="836">
        <f ca="1">ROUND(total_feedstock+total_utilities+total_other_raw-total_byproducts+var_misc+waste_treat+solidwaste_treat+royalties+operator_profit-tax_credit+CO2_OandMcost+Proc_CO2_taxpYear + Upstream_CO2_taxpYear,-2)</f>
        <v>76334300</v>
      </c>
      <c r="F163" s="1032"/>
      <c r="G163" s="1549"/>
    </row>
    <row r="164" spans="1:7" s="35" customFormat="1" x14ac:dyDescent="0.25">
      <c r="A164" s="468"/>
    </row>
    <row r="165" spans="1:7" s="35" customFormat="1" x14ac:dyDescent="0.25">
      <c r="A165" s="468"/>
    </row>
    <row r="166" spans="1:7" s="35" customFormat="1" x14ac:dyDescent="0.25">
      <c r="A166" s="468"/>
    </row>
    <row r="167" spans="1:7" s="35" customFormat="1" x14ac:dyDescent="0.25">
      <c r="A167" s="468"/>
    </row>
    <row r="168" spans="1:7" s="35" customFormat="1" x14ac:dyDescent="0.25">
      <c r="A168" s="468"/>
    </row>
    <row r="169" spans="1:7" s="35" customFormat="1" x14ac:dyDescent="0.25">
      <c r="A169" s="468"/>
    </row>
    <row r="170" spans="1:7" s="35" customFormat="1" x14ac:dyDescent="0.25">
      <c r="A170" s="468"/>
    </row>
    <row r="171" spans="1:7" s="35" customFormat="1" x14ac:dyDescent="0.25">
      <c r="A171" s="468"/>
    </row>
    <row r="172" spans="1:7" s="35" customFormat="1" x14ac:dyDescent="0.25">
      <c r="A172" s="468"/>
    </row>
    <row r="173" spans="1:7" s="35" customFormat="1" x14ac:dyDescent="0.25">
      <c r="A173" s="468"/>
    </row>
    <row r="174" spans="1:7" s="35" customFormat="1" x14ac:dyDescent="0.25">
      <c r="A174" s="468"/>
    </row>
    <row r="175" spans="1:7" s="35" customFormat="1" x14ac:dyDescent="0.25">
      <c r="A175" s="468"/>
    </row>
    <row r="176" spans="1:7" s="35" customFormat="1" x14ac:dyDescent="0.25">
      <c r="A176" s="468"/>
    </row>
    <row r="177" spans="1:4" s="35" customFormat="1" x14ac:dyDescent="0.25">
      <c r="A177" s="468"/>
    </row>
    <row r="178" spans="1:4" s="35" customFormat="1" x14ac:dyDescent="0.25">
      <c r="A178" s="468"/>
    </row>
    <row r="179" spans="1:4" s="35" customFormat="1" x14ac:dyDescent="0.25">
      <c r="A179" s="468"/>
    </row>
    <row r="180" spans="1:4" s="35" customFormat="1" x14ac:dyDescent="0.25">
      <c r="A180" s="468"/>
    </row>
    <row r="181" spans="1:4" s="35" customFormat="1" x14ac:dyDescent="0.25">
      <c r="A181" s="468"/>
    </row>
    <row r="182" spans="1:4" s="35" customFormat="1" x14ac:dyDescent="0.25">
      <c r="A182" s="468"/>
    </row>
    <row r="183" spans="1:4" s="35" customFormat="1" x14ac:dyDescent="0.25">
      <c r="A183" s="468"/>
    </row>
    <row r="184" spans="1:4" s="35" customFormat="1" x14ac:dyDescent="0.25">
      <c r="A184" s="468"/>
    </row>
    <row r="185" spans="1:4" s="35" customFormat="1" x14ac:dyDescent="0.25">
      <c r="A185" s="468"/>
    </row>
    <row r="186" spans="1:4" s="35" customFormat="1" x14ac:dyDescent="0.25">
      <c r="A186" s="468"/>
    </row>
    <row r="187" spans="1:4" s="35" customFormat="1" x14ac:dyDescent="0.25">
      <c r="A187" s="468"/>
    </row>
    <row r="188" spans="1:4" s="35" customFormat="1" x14ac:dyDescent="0.25">
      <c r="A188" s="468"/>
    </row>
    <row r="189" spans="1:4" s="35" customFormat="1" x14ac:dyDescent="0.25">
      <c r="A189" s="468"/>
    </row>
    <row r="190" spans="1:4" s="35" customFormat="1" x14ac:dyDescent="0.25">
      <c r="A190" s="468"/>
      <c r="B190" s="29"/>
      <c r="C190" s="34"/>
      <c r="D190" s="29"/>
    </row>
    <row r="191" spans="1:4" s="35" customFormat="1" x14ac:dyDescent="0.25">
      <c r="A191" s="468"/>
      <c r="B191" s="29"/>
      <c r="C191" s="34"/>
      <c r="D191" s="29"/>
    </row>
    <row r="192" spans="1:4" s="35" customFormat="1" x14ac:dyDescent="0.25">
      <c r="A192" s="468"/>
      <c r="B192" s="29"/>
      <c r="C192" s="34"/>
      <c r="D192" s="29"/>
    </row>
    <row r="193" spans="1:4" s="35" customFormat="1" x14ac:dyDescent="0.25">
      <c r="A193" s="468"/>
      <c r="B193" s="29"/>
      <c r="C193" s="34"/>
      <c r="D193" s="29"/>
    </row>
    <row r="194" spans="1:4" s="35" customFormat="1" x14ac:dyDescent="0.25">
      <c r="A194" s="468"/>
      <c r="B194" s="29"/>
      <c r="C194" s="34"/>
      <c r="D194" s="29"/>
    </row>
    <row r="195" spans="1:4" s="35" customFormat="1" x14ac:dyDescent="0.25">
      <c r="A195" s="468"/>
      <c r="B195" s="29"/>
      <c r="C195" s="34"/>
      <c r="D195" s="29"/>
    </row>
    <row r="196" spans="1:4" s="35" customFormat="1" x14ac:dyDescent="0.25">
      <c r="A196" s="468"/>
      <c r="B196" s="29"/>
      <c r="C196" s="34"/>
      <c r="D196" s="29"/>
    </row>
    <row r="197" spans="1:4" s="35" customFormat="1" x14ac:dyDescent="0.25">
      <c r="A197" s="468"/>
      <c r="B197" s="29"/>
      <c r="C197" s="34"/>
      <c r="D197" s="29"/>
    </row>
    <row r="198" spans="1:4" s="35" customFormat="1" x14ac:dyDescent="0.25">
      <c r="A198" s="468"/>
      <c r="B198" s="29"/>
      <c r="C198" s="34"/>
      <c r="D198" s="29"/>
    </row>
    <row r="199" spans="1:4" s="35" customFormat="1" x14ac:dyDescent="0.25">
      <c r="A199" s="468"/>
      <c r="B199" s="29"/>
      <c r="C199" s="34"/>
      <c r="D199" s="29"/>
    </row>
    <row r="200" spans="1:4" s="35" customFormat="1" x14ac:dyDescent="0.25">
      <c r="A200" s="468"/>
      <c r="B200" s="29"/>
      <c r="C200" s="34"/>
      <c r="D200" s="29"/>
    </row>
    <row r="201" spans="1:4" s="35" customFormat="1" x14ac:dyDescent="0.25">
      <c r="A201" s="468"/>
      <c r="B201" s="29"/>
      <c r="C201" s="34"/>
      <c r="D201" s="29"/>
    </row>
    <row r="202" spans="1:4" s="35" customFormat="1" x14ac:dyDescent="0.25">
      <c r="A202" s="468"/>
      <c r="B202" s="29"/>
      <c r="C202" s="34"/>
      <c r="D202" s="29"/>
    </row>
    <row r="203" spans="1:4" s="35" customFormat="1" x14ac:dyDescent="0.25">
      <c r="A203" s="468"/>
      <c r="B203" s="29"/>
      <c r="C203" s="34"/>
      <c r="D203" s="29"/>
    </row>
    <row r="204" spans="1:4" s="35" customFormat="1" x14ac:dyDescent="0.25">
      <c r="A204" s="468"/>
      <c r="B204" s="29"/>
      <c r="C204" s="34"/>
      <c r="D204" s="29"/>
    </row>
    <row r="205" spans="1:4" s="35" customFormat="1" x14ac:dyDescent="0.25">
      <c r="A205" s="468"/>
      <c r="B205" s="29"/>
      <c r="C205" s="34"/>
      <c r="D205" s="29"/>
    </row>
    <row r="206" spans="1:4" s="35" customFormat="1" x14ac:dyDescent="0.25">
      <c r="A206" s="468"/>
      <c r="B206" s="29"/>
      <c r="C206" s="34"/>
      <c r="D206" s="29"/>
    </row>
    <row r="207" spans="1:4" s="35" customFormat="1" x14ac:dyDescent="0.25">
      <c r="A207" s="468"/>
      <c r="B207" s="29"/>
      <c r="C207" s="34"/>
      <c r="D207" s="29"/>
    </row>
    <row r="208" spans="1:4" s="35" customFormat="1" x14ac:dyDescent="0.25">
      <c r="A208" s="468"/>
      <c r="B208" s="29"/>
      <c r="C208" s="34"/>
      <c r="D208" s="29"/>
    </row>
    <row r="209" spans="1:4" s="35" customFormat="1" x14ac:dyDescent="0.25">
      <c r="A209" s="468"/>
      <c r="B209" s="29"/>
      <c r="C209" s="34"/>
      <c r="D209" s="29"/>
    </row>
    <row r="210" spans="1:4" s="35" customFormat="1" x14ac:dyDescent="0.25">
      <c r="A210" s="468"/>
      <c r="B210" s="29"/>
      <c r="C210" s="34"/>
      <c r="D210" s="29"/>
    </row>
    <row r="211" spans="1:4" s="35" customFormat="1" x14ac:dyDescent="0.25">
      <c r="A211" s="468"/>
      <c r="B211" s="29"/>
      <c r="C211" s="34"/>
      <c r="D211" s="29"/>
    </row>
    <row r="212" spans="1:4" s="35" customFormat="1" x14ac:dyDescent="0.25">
      <c r="A212" s="468"/>
      <c r="B212" s="29"/>
      <c r="C212" s="34"/>
      <c r="D212" s="29"/>
    </row>
    <row r="213" spans="1:4" s="35" customFormat="1" x14ac:dyDescent="0.25">
      <c r="A213" s="468"/>
      <c r="B213" s="29"/>
      <c r="C213" s="34"/>
      <c r="D213" s="29"/>
    </row>
    <row r="214" spans="1:4" s="35" customFormat="1" x14ac:dyDescent="0.25">
      <c r="A214" s="468"/>
      <c r="B214" s="29"/>
      <c r="C214" s="34"/>
      <c r="D214" s="29"/>
    </row>
    <row r="215" spans="1:4" s="35" customFormat="1" x14ac:dyDescent="0.25">
      <c r="A215" s="468"/>
      <c r="B215" s="29"/>
      <c r="C215" s="34"/>
      <c r="D215" s="29"/>
    </row>
    <row r="216" spans="1:4" s="35" customFormat="1" x14ac:dyDescent="0.25">
      <c r="A216" s="468"/>
      <c r="B216" s="29"/>
      <c r="C216" s="34"/>
      <c r="D216" s="29"/>
    </row>
    <row r="217" spans="1:4" s="35" customFormat="1" x14ac:dyDescent="0.25">
      <c r="A217" s="468"/>
      <c r="B217" s="29"/>
      <c r="C217" s="34"/>
      <c r="D217" s="29"/>
    </row>
    <row r="218" spans="1:4" s="35" customFormat="1" x14ac:dyDescent="0.25">
      <c r="A218" s="468"/>
      <c r="B218" s="29"/>
      <c r="C218" s="34"/>
      <c r="D218" s="29"/>
    </row>
    <row r="219" spans="1:4" s="35" customFormat="1" x14ac:dyDescent="0.25">
      <c r="A219" s="468"/>
      <c r="B219" s="29"/>
      <c r="C219" s="34"/>
      <c r="D219" s="29"/>
    </row>
    <row r="220" spans="1:4" s="35" customFormat="1" x14ac:dyDescent="0.25">
      <c r="A220" s="468"/>
      <c r="B220" s="29"/>
      <c r="C220" s="34"/>
      <c r="D220" s="29"/>
    </row>
    <row r="221" spans="1:4" s="35" customFormat="1" x14ac:dyDescent="0.25">
      <c r="A221" s="468"/>
      <c r="B221" s="29"/>
      <c r="C221" s="34"/>
      <c r="D221" s="29"/>
    </row>
    <row r="222" spans="1:4" s="35" customFormat="1" x14ac:dyDescent="0.25">
      <c r="A222" s="468"/>
      <c r="B222" s="29"/>
      <c r="C222" s="34"/>
      <c r="D222" s="29"/>
    </row>
    <row r="223" spans="1:4" s="35" customFormat="1" x14ac:dyDescent="0.25">
      <c r="A223" s="468"/>
      <c r="B223" s="29"/>
      <c r="C223" s="34"/>
      <c r="D223" s="29"/>
    </row>
    <row r="224" spans="1:4" s="35" customFormat="1" x14ac:dyDescent="0.25">
      <c r="A224" s="468"/>
      <c r="B224" s="29"/>
      <c r="C224" s="34"/>
      <c r="D224" s="29"/>
    </row>
    <row r="225" spans="1:4" s="35" customFormat="1" x14ac:dyDescent="0.25">
      <c r="A225" s="468"/>
      <c r="B225" s="29"/>
      <c r="C225" s="34"/>
      <c r="D225" s="29"/>
    </row>
  </sheetData>
  <mergeCells count="50">
    <mergeCell ref="G158:G163"/>
    <mergeCell ref="C131:D131"/>
    <mergeCell ref="E146:G146"/>
    <mergeCell ref="D100:D101"/>
    <mergeCell ref="E88:G88"/>
    <mergeCell ref="E143:G145"/>
    <mergeCell ref="E154:G154"/>
    <mergeCell ref="F150:G150"/>
    <mergeCell ref="E147:G147"/>
    <mergeCell ref="E148:G148"/>
    <mergeCell ref="B2:G2"/>
    <mergeCell ref="B3:D3"/>
    <mergeCell ref="D4:E4"/>
    <mergeCell ref="E54:G54"/>
    <mergeCell ref="E50:G50"/>
    <mergeCell ref="E47:G47"/>
    <mergeCell ref="D32:D33"/>
    <mergeCell ref="E45:G45"/>
    <mergeCell ref="E36:G36"/>
    <mergeCell ref="E43:G43"/>
    <mergeCell ref="E42:G42"/>
    <mergeCell ref="E41:G41"/>
    <mergeCell ref="E49:G49"/>
    <mergeCell ref="E46:G46"/>
    <mergeCell ref="E24:G24"/>
    <mergeCell ref="E25:G25"/>
    <mergeCell ref="E26:G26"/>
    <mergeCell ref="E28:G28"/>
    <mergeCell ref="E35:G35"/>
    <mergeCell ref="E29:G29"/>
    <mergeCell ref="E44:G44"/>
    <mergeCell ref="E37:G37"/>
    <mergeCell ref="E30:G30"/>
    <mergeCell ref="E31:G31"/>
    <mergeCell ref="E34:G34"/>
    <mergeCell ref="E33:G33"/>
    <mergeCell ref="E40:G40"/>
    <mergeCell ref="E38:G38"/>
    <mergeCell ref="E39:G39"/>
    <mergeCell ref="E48:G48"/>
    <mergeCell ref="E87:G87"/>
    <mergeCell ref="F59:F68"/>
    <mergeCell ref="E56:G56"/>
    <mergeCell ref="E89:G89"/>
    <mergeCell ref="E53:G53"/>
    <mergeCell ref="E52:G52"/>
    <mergeCell ref="E51:G51"/>
    <mergeCell ref="E55:G55"/>
    <mergeCell ref="E85:G85"/>
    <mergeCell ref="E86:G86"/>
  </mergeCells>
  <phoneticPr fontId="2" type="noConversion"/>
  <conditionalFormatting sqref="H16:H17">
    <cfRule type="expression" dxfId="2" priority="9">
      <formula>$H$17 &gt; 0.3</formula>
    </cfRule>
  </conditionalFormatting>
  <dataValidations xWindow="543" yWindow="734" count="17">
    <dataValidation allowBlank="1" showInputMessage="1" showErrorMessage="1" prompt="Tax covers all fuel and utilities.  Result may be negative (credit) for biomass derived feed." sqref="E161" xr:uid="{00000000-0002-0000-0300-000000000000}"/>
    <dataValidation allowBlank="1" showInputMessage="1" showErrorMessage="1" prompt="Enter specific year replacement costs on Replacement Costs sheet" sqref="C154" xr:uid="{00000000-0002-0000-0300-000001000000}"/>
    <dataValidation allowBlank="1" showInputMessage="1" showErrorMessage="1" prompt="View or change values for the original design estimate on the &quot;Capital Cost&quot; sheet only. Plant scaling values will use the original design estimate as the basis for scaling" sqref="C88" xr:uid="{00000000-0002-0000-0300-000002000000}"/>
    <dataValidation allowBlank="1" showInputMessage="1" showErrorMessage="1" prompt="If the field is blue (linked), enter values on the &quot;Carbon Sequestration&quot; sheet only. If gold (unlinked) enter values here. Click the button to link or unlink the field." sqref="C89:C90" xr:uid="{00000000-0002-0000-0300-000003000000}"/>
    <dataValidation type="list" allowBlank="1" showInputMessage="1" showErrorMessage="1" sqref="B130" xr:uid="{00000000-0002-0000-0300-000004000000}">
      <formula1>Other_Materials_List</formula1>
    </dataValidation>
    <dataValidation type="list" allowBlank="1" showInputMessage="1" showErrorMessage="1" sqref="C42" xr:uid="{00000000-0002-0000-0300-000005000000}">
      <formula1>"Straight Line, MACRS"</formula1>
    </dataValidation>
    <dataValidation type="whole" operator="greaterThanOrEqual" showInputMessage="1" showErrorMessage="1" error="This cell cannot be left blank" sqref="C31" xr:uid="{00000000-0002-0000-0300-000006000000}">
      <formula1>2005</formula1>
    </dataValidation>
    <dataValidation type="decimal" showInputMessage="1" showErrorMessage="1" error="This cell cannot be left blank" sqref="C25" xr:uid="{00000000-0002-0000-0300-000007000000}">
      <formula1>0.01</formula1>
      <formula2>1</formula2>
    </dataValidation>
    <dataValidation type="list" allowBlank="1" showInputMessage="1" showErrorMessage="1" sqref="C41" xr:uid="{00000000-0002-0000-0300-000008000000}">
      <formula1>"3,5,7,10,15,20"</formula1>
    </dataValidation>
    <dataValidation type="list" showInputMessage="1" showErrorMessage="1" error="This cell cannot be blank.  Enter a whole number between 1 and 4 years" prompt="Enter a whole number between 1 and 4 years" sqref="C33" xr:uid="{00000000-0002-0000-0300-000009000000}">
      <formula1>"1,2,3,4"</formula1>
    </dataValidation>
    <dataValidation type="decimal" operator="greaterThan" showInputMessage="1" showErrorMessage="1" error="A value greater than zero is required" prompt="Required input" sqref="C27" xr:uid="{00000000-0002-0000-0300-00000A000000}">
      <formula1>0</formula1>
    </dataValidation>
    <dataValidation type="list" allowBlank="1" showInputMessage="1" showErrorMessage="1" sqref="B59" xr:uid="{00000000-0002-0000-0300-00000B000000}">
      <formula1>INDIRECT(Price_Table_List)</formula1>
    </dataValidation>
    <dataValidation type="list" allowBlank="1" showInputMessage="1" showErrorMessage="1" sqref="B61" xr:uid="{00000000-0002-0000-0300-00000C000000}">
      <formula1>"feedstock, utility, byproduct"</formula1>
    </dataValidation>
    <dataValidation type="list" allowBlank="1" showInputMessage="1" showErrorMessage="1" sqref="B63" xr:uid="{00000000-0002-0000-0300-00000D000000}">
      <formula1>INDIRECT(Energy_Feed_List)</formula1>
    </dataValidation>
    <dataValidation type="whole" showInputMessage="1" showErrorMessage="1" error="Enter years between 1992 and 2016." prompt="Enter a number between 1992 and 2016." sqref="C32" xr:uid="{00000000-0002-0000-0300-00000E000000}">
      <formula1>1992</formula1>
      <formula2>2016</formula2>
    </dataValidation>
    <dataValidation type="whole" showInputMessage="1" showErrorMessage="1" error="This cell cannot be left blank.  Enter a value between 1992 and 2016" prompt="The reference year must be between 1992 and 2016." sqref="C30" xr:uid="{00000000-0002-0000-0300-00000F000000}">
      <formula1>1992</formula1>
      <formula2>2016</formula2>
    </dataValidation>
    <dataValidation type="whole" allowBlank="1" showInputMessage="1" showErrorMessage="1" error="Debt period may not exceed analysis period" sqref="C45" xr:uid="{6C4ECBB4-4AD9-42AC-B984-30F30A493D6D}">
      <formula1>0</formula1>
      <formula2>C40</formula2>
    </dataValidation>
  </dataValidations>
  <hyperlinks>
    <hyperlink ref="B14" location="Input_Sheet_Template!B21" display="Technical Operating Parameters and Specifications" xr:uid="{00000000-0004-0000-0300-000000000000}"/>
    <hyperlink ref="B15" location="Input_Sheet_Template!B26" display="Financial Input Values" xr:uid="{00000000-0004-0000-0300-000001000000}"/>
    <hyperlink ref="B16" location="Input_Sheet_Template!B53" display="Energy Feedstocks, Utilities and Byproducts" xr:uid="{00000000-0004-0000-0300-000002000000}"/>
    <hyperlink ref="B17" location="direct_cap" display="Capital Cost" xr:uid="{00000000-0004-0000-0300-000003000000}"/>
    <hyperlink ref="B18" location="FTEs" display="Fixed Operating Costs" xr:uid="{00000000-0004-0000-0300-000004000000}"/>
    <hyperlink ref="B20" location="var_misc" display="Variable Operating Costs - Other Variable Operating Costs" xr:uid="{00000000-0004-0000-0300-000005000000}"/>
    <hyperlink ref="B19" location="Input_Sheet_Template!B122" display="Variable Operating Costs - Other Materials and Byproducts" xr:uid="{00000000-0004-0000-0300-000006000000}"/>
  </hyperlinks>
  <printOptions horizontalCentered="1"/>
  <pageMargins left="0.75" right="0.75" top="1" bottom="0.75" header="0.5" footer="0.4"/>
  <pageSetup scale="64" orientation="landscape" r:id="rId1"/>
  <headerFooter alignWithMargins="0">
    <oddHeader>&amp;R&amp;D&amp;LCentral Biomass Gasification - Current Timeframe</oddHeader>
    <oddFooter>&amp;CPage 4 of 7</oddFooter>
  </headerFooter>
  <drawing r:id="rId2"/>
  <legacyDrawing r:id="rId3"/>
  <controls>
    <mc:AlternateContent xmlns:mc="http://schemas.openxmlformats.org/markup-compatibility/2006">
      <mc:Choice Requires="x14">
        <control shapeId="1061" r:id="rId4" name="Label1">
          <controlPr defaultSize="0" autoLine="0" r:id="rId5">
            <anchor moveWithCells="1">
              <from>
                <xdr:col>3</xdr:col>
                <xdr:colOff>165100</xdr:colOff>
                <xdr:row>66</xdr:row>
                <xdr:rowOff>12700</xdr:rowOff>
              </from>
              <to>
                <xdr:col>3</xdr:col>
                <xdr:colOff>476250</xdr:colOff>
                <xdr:row>66</xdr:row>
                <xdr:rowOff>190500</xdr:rowOff>
              </to>
            </anchor>
          </controlPr>
        </control>
      </mc:Choice>
      <mc:Fallback>
        <control shapeId="1061" r:id="rId4" name="Label1"/>
      </mc:Fallback>
    </mc:AlternateContent>
    <mc:AlternateContent xmlns:mc="http://schemas.openxmlformats.org/markup-compatibility/2006">
      <mc:Choice Requires="x14">
        <control shapeId="1063" r:id="rId6" name="lblUseDfltPrice">
          <controlPr defaultSize="0" autoLine="0" r:id="rId7">
            <anchor moveWithCells="1">
              <from>
                <xdr:col>1</xdr:col>
                <xdr:colOff>2495550</xdr:colOff>
                <xdr:row>66</xdr:row>
                <xdr:rowOff>31750</xdr:rowOff>
              </from>
              <to>
                <xdr:col>1</xdr:col>
                <xdr:colOff>3714750</xdr:colOff>
                <xdr:row>66</xdr:row>
                <xdr:rowOff>209550</xdr:rowOff>
              </to>
            </anchor>
          </controlPr>
        </control>
      </mc:Choice>
      <mc:Fallback>
        <control shapeId="1063" r:id="rId6" name="lblUseDfltPrice"/>
      </mc:Fallback>
    </mc:AlternateContent>
    <mc:AlternateContent xmlns:mc="http://schemas.openxmlformats.org/markup-compatibility/2006">
      <mc:Choice Requires="x14">
        <control shapeId="1076" r:id="rId8" name="chkNonEnergyByProd">
          <controlPr defaultSize="0" autoLine="0" r:id="rId9">
            <anchor moveWithCells="1">
              <from>
                <xdr:col>2</xdr:col>
                <xdr:colOff>285750</xdr:colOff>
                <xdr:row>128</xdr:row>
                <xdr:rowOff>247650</xdr:rowOff>
              </from>
              <to>
                <xdr:col>3</xdr:col>
                <xdr:colOff>114300</xdr:colOff>
                <xdr:row>129</xdr:row>
                <xdr:rowOff>228600</xdr:rowOff>
              </to>
            </anchor>
          </controlPr>
        </control>
      </mc:Choice>
      <mc:Fallback>
        <control shapeId="1076" r:id="rId8" name="chkNonEnergyByProd"/>
      </mc:Fallback>
    </mc:AlternateContent>
    <mc:AlternateContent xmlns:mc="http://schemas.openxmlformats.org/markup-compatibility/2006">
      <mc:Choice Requires="x14">
        <control shapeId="1083" r:id="rId10" name="lblUseOtherDefault">
          <controlPr defaultSize="0" autoLine="0" r:id="rId11">
            <anchor moveWithCells="1">
              <from>
                <xdr:col>1</xdr:col>
                <xdr:colOff>2222500</xdr:colOff>
                <xdr:row>131</xdr:row>
                <xdr:rowOff>38100</xdr:rowOff>
              </from>
              <to>
                <xdr:col>1</xdr:col>
                <xdr:colOff>3600450</xdr:colOff>
                <xdr:row>131</xdr:row>
                <xdr:rowOff>222250</xdr:rowOff>
              </to>
            </anchor>
          </controlPr>
        </control>
      </mc:Choice>
      <mc:Fallback>
        <control shapeId="1083" r:id="rId10" name="lblUseOtherDefault"/>
      </mc:Fallback>
    </mc:AlternateContent>
    <mc:AlternateContent xmlns:mc="http://schemas.openxmlformats.org/markup-compatibility/2006">
      <mc:Choice Requires="x14">
        <control shapeId="1085" r:id="rId12" name="Label3">
          <controlPr defaultSize="0" autoLine="0" r:id="rId13">
            <anchor moveWithCells="1">
              <from>
                <xdr:col>3</xdr:col>
                <xdr:colOff>298450</xdr:colOff>
                <xdr:row>131</xdr:row>
                <xdr:rowOff>50800</xdr:rowOff>
              </from>
              <to>
                <xdr:col>3</xdr:col>
                <xdr:colOff>609600</xdr:colOff>
                <xdr:row>131</xdr:row>
                <xdr:rowOff>228600</xdr:rowOff>
              </to>
            </anchor>
          </controlPr>
        </control>
      </mc:Choice>
      <mc:Fallback>
        <control shapeId="1085" r:id="rId12" name="Label3"/>
      </mc:Fallback>
    </mc:AlternateContent>
    <mc:AlternateContent xmlns:mc="http://schemas.openxmlformats.org/markup-compatibility/2006">
      <mc:Choice Requires="x14">
        <control shapeId="1093" r:id="rId14" name="chk_depr_type">
          <controlPr defaultSize="0" autoLine="0" r:id="rId15">
            <anchor moveWithCells="1">
              <from>
                <xdr:col>3</xdr:col>
                <xdr:colOff>203200</xdr:colOff>
                <xdr:row>40</xdr:row>
                <xdr:rowOff>184150</xdr:rowOff>
              </from>
              <to>
                <xdr:col>3</xdr:col>
                <xdr:colOff>1231900</xdr:colOff>
                <xdr:row>41</xdr:row>
                <xdr:rowOff>165100</xdr:rowOff>
              </to>
            </anchor>
          </controlPr>
        </control>
      </mc:Choice>
      <mc:Fallback>
        <control shapeId="1093" r:id="rId14" name="chk_depr_type"/>
      </mc:Fallback>
    </mc:AlternateContent>
    <mc:AlternateContent xmlns:mc="http://schemas.openxmlformats.org/markup-compatibility/2006">
      <mc:Choice Requires="x14">
        <control shapeId="1096" r:id="rId16" name="chk_equity">
          <controlPr defaultSize="0" autoLine="0" r:id="rId17">
            <anchor moveWithCells="1">
              <from>
                <xdr:col>3</xdr:col>
                <xdr:colOff>203200</xdr:colOff>
                <xdr:row>42</xdr:row>
                <xdr:rowOff>12700</xdr:rowOff>
              </from>
              <to>
                <xdr:col>3</xdr:col>
                <xdr:colOff>1231900</xdr:colOff>
                <xdr:row>43</xdr:row>
                <xdr:rowOff>0</xdr:rowOff>
              </to>
            </anchor>
          </controlPr>
        </control>
      </mc:Choice>
      <mc:Fallback>
        <control shapeId="1096" r:id="rId16" name="chk_equity"/>
      </mc:Fallback>
    </mc:AlternateContent>
    <mc:AlternateContent xmlns:mc="http://schemas.openxmlformats.org/markup-compatibility/2006">
      <mc:Choice Requires="x14">
        <control shapeId="1097" r:id="rId18" name="chk_ref_year">
          <controlPr defaultSize="0" autoLine="0" r:id="rId19">
            <anchor moveWithCells="1">
              <from>
                <xdr:col>3</xdr:col>
                <xdr:colOff>203200</xdr:colOff>
                <xdr:row>29</xdr:row>
                <xdr:rowOff>12700</xdr:rowOff>
              </from>
              <to>
                <xdr:col>3</xdr:col>
                <xdr:colOff>1231900</xdr:colOff>
                <xdr:row>30</xdr:row>
                <xdr:rowOff>19050</xdr:rowOff>
              </to>
            </anchor>
          </controlPr>
        </control>
      </mc:Choice>
      <mc:Fallback>
        <control shapeId="1097" r:id="rId18" name="chk_ref_year"/>
      </mc:Fallback>
    </mc:AlternateContent>
    <mc:AlternateContent xmlns:mc="http://schemas.openxmlformats.org/markup-compatibility/2006">
      <mc:Choice Requires="x14">
        <control shapeId="1098" r:id="rId20" name="chk_decom_percent">
          <controlPr defaultSize="0" autoLine="0" r:id="rId21">
            <anchor moveWithCells="1">
              <from>
                <xdr:col>3</xdr:col>
                <xdr:colOff>203200</xdr:colOff>
                <xdr:row>48</xdr:row>
                <xdr:rowOff>12700</xdr:rowOff>
              </from>
              <to>
                <xdr:col>3</xdr:col>
                <xdr:colOff>1231900</xdr:colOff>
                <xdr:row>48</xdr:row>
                <xdr:rowOff>209550</xdr:rowOff>
              </to>
            </anchor>
          </controlPr>
        </control>
      </mc:Choice>
      <mc:Fallback>
        <control shapeId="1098" r:id="rId20" name="chk_decom_percent"/>
      </mc:Fallback>
    </mc:AlternateContent>
    <mc:AlternateContent xmlns:mc="http://schemas.openxmlformats.org/markup-compatibility/2006">
      <mc:Choice Requires="x14">
        <control shapeId="1109" r:id="rId22" name="chk_salvage_perct">
          <controlPr defaultSize="0" autoLine="0" r:id="rId23">
            <anchor moveWithCells="1">
              <from>
                <xdr:col>3</xdr:col>
                <xdr:colOff>203200</xdr:colOff>
                <xdr:row>49</xdr:row>
                <xdr:rowOff>12700</xdr:rowOff>
              </from>
              <to>
                <xdr:col>3</xdr:col>
                <xdr:colOff>1231900</xdr:colOff>
                <xdr:row>49</xdr:row>
                <xdr:rowOff>209550</xdr:rowOff>
              </to>
            </anchor>
          </controlPr>
        </control>
      </mc:Choice>
      <mc:Fallback>
        <control shapeId="1109" r:id="rId22" name="chk_salvage_perct"/>
      </mc:Fallback>
    </mc:AlternateContent>
    <mc:AlternateContent xmlns:mc="http://schemas.openxmlformats.org/markup-compatibility/2006">
      <mc:Choice Requires="x14">
        <control shapeId="1110" r:id="rId24" name="chk_inflation_rate">
          <controlPr defaultSize="0" autoLine="0" r:id="rId25">
            <anchor moveWithCells="1">
              <from>
                <xdr:col>3</xdr:col>
                <xdr:colOff>203200</xdr:colOff>
                <xdr:row>50</xdr:row>
                <xdr:rowOff>12700</xdr:rowOff>
              </from>
              <to>
                <xdr:col>3</xdr:col>
                <xdr:colOff>1231900</xdr:colOff>
                <xdr:row>50</xdr:row>
                <xdr:rowOff>209550</xdr:rowOff>
              </to>
            </anchor>
          </controlPr>
        </control>
      </mc:Choice>
      <mc:Fallback>
        <control shapeId="1110" r:id="rId24" name="chk_inflation_rate"/>
      </mc:Fallback>
    </mc:AlternateContent>
    <mc:AlternateContent xmlns:mc="http://schemas.openxmlformats.org/markup-compatibility/2006">
      <mc:Choice Requires="x14">
        <control shapeId="1111" r:id="rId26" name="chk_real_irr">
          <controlPr defaultSize="0" autoLine="0" r:id="rId27">
            <anchor moveWithCells="1">
              <from>
                <xdr:col>3</xdr:col>
                <xdr:colOff>203200</xdr:colOff>
                <xdr:row>51</xdr:row>
                <xdr:rowOff>12700</xdr:rowOff>
              </from>
              <to>
                <xdr:col>3</xdr:col>
                <xdr:colOff>1231900</xdr:colOff>
                <xdr:row>52</xdr:row>
                <xdr:rowOff>0</xdr:rowOff>
              </to>
            </anchor>
          </controlPr>
        </control>
      </mc:Choice>
      <mc:Fallback>
        <control shapeId="1111" r:id="rId26" name="chk_real_irr"/>
      </mc:Fallback>
    </mc:AlternateContent>
    <mc:AlternateContent xmlns:mc="http://schemas.openxmlformats.org/markup-compatibility/2006">
      <mc:Choice Requires="x14">
        <control shapeId="1112" r:id="rId28" name="chk_state_tax_rate">
          <controlPr defaultSize="0" autoLine="0" r:id="rId29">
            <anchor moveWithCells="1">
              <from>
                <xdr:col>3</xdr:col>
                <xdr:colOff>203200</xdr:colOff>
                <xdr:row>52</xdr:row>
                <xdr:rowOff>12700</xdr:rowOff>
              </from>
              <to>
                <xdr:col>3</xdr:col>
                <xdr:colOff>1231900</xdr:colOff>
                <xdr:row>52</xdr:row>
                <xdr:rowOff>209550</xdr:rowOff>
              </to>
            </anchor>
          </controlPr>
        </control>
      </mc:Choice>
      <mc:Fallback>
        <control shapeId="1112" r:id="rId28" name="chk_state_tax_rate"/>
      </mc:Fallback>
    </mc:AlternateContent>
    <mc:AlternateContent xmlns:mc="http://schemas.openxmlformats.org/markup-compatibility/2006">
      <mc:Choice Requires="x14">
        <control shapeId="1113" r:id="rId30" name="chk_fed_tax_rate">
          <controlPr defaultSize="0" autoLine="0" r:id="rId31">
            <anchor moveWithCells="1">
              <from>
                <xdr:col>3</xdr:col>
                <xdr:colOff>203200</xdr:colOff>
                <xdr:row>53</xdr:row>
                <xdr:rowOff>12700</xdr:rowOff>
              </from>
              <to>
                <xdr:col>3</xdr:col>
                <xdr:colOff>1231900</xdr:colOff>
                <xdr:row>54</xdr:row>
                <xdr:rowOff>0</xdr:rowOff>
              </to>
            </anchor>
          </controlPr>
        </control>
      </mc:Choice>
      <mc:Fallback>
        <control shapeId="1113" r:id="rId30" name="chk_fed_tax_rate"/>
      </mc:Fallback>
    </mc:AlternateContent>
    <mc:AlternateContent xmlns:mc="http://schemas.openxmlformats.org/markup-compatibility/2006">
      <mc:Choice Requires="x14">
        <control shapeId="1114" r:id="rId32" name="chk_WorkingCap">
          <controlPr defaultSize="0" autoLine="0" r:id="rId33">
            <anchor moveWithCells="1">
              <from>
                <xdr:col>3</xdr:col>
                <xdr:colOff>203200</xdr:colOff>
                <xdr:row>55</xdr:row>
                <xdr:rowOff>12700</xdr:rowOff>
              </from>
              <to>
                <xdr:col>3</xdr:col>
                <xdr:colOff>1231900</xdr:colOff>
                <xdr:row>55</xdr:row>
                <xdr:rowOff>209550</xdr:rowOff>
              </to>
            </anchor>
          </controlPr>
        </control>
      </mc:Choice>
      <mc:Fallback>
        <control shapeId="1114" r:id="rId32" name="chk_WorkingCap"/>
      </mc:Fallback>
    </mc:AlternateContent>
    <mc:AlternateContent xmlns:mc="http://schemas.openxmlformats.org/markup-compatibility/2006">
      <mc:Choice Requires="x14">
        <control shapeId="1173" r:id="rId34" name="chk_overhead_rate">
          <controlPr defaultSize="0" autoLine="0" r:id="rId35">
            <anchor moveWithCells="1">
              <from>
                <xdr:col>3</xdr:col>
                <xdr:colOff>76200</xdr:colOff>
                <xdr:row>113</xdr:row>
                <xdr:rowOff>12700</xdr:rowOff>
              </from>
              <to>
                <xdr:col>3</xdr:col>
                <xdr:colOff>1174750</xdr:colOff>
                <xdr:row>114</xdr:row>
                <xdr:rowOff>19050</xdr:rowOff>
              </to>
            </anchor>
          </controlPr>
        </control>
      </mc:Choice>
      <mc:Fallback>
        <control shapeId="1173" r:id="rId34" name="chk_overhead_rate"/>
      </mc:Fallback>
    </mc:AlternateContent>
    <mc:AlternateContent xmlns:mc="http://schemas.openxmlformats.org/markup-compatibility/2006">
      <mc:Choice Requires="x14">
        <control shapeId="1174" r:id="rId36" name="chk_tax_ins_rate">
          <controlPr defaultSize="0" autoLine="0" r:id="rId37">
            <anchor moveWithCells="1">
              <from>
                <xdr:col>3</xdr:col>
                <xdr:colOff>57150</xdr:colOff>
                <xdr:row>116</xdr:row>
                <xdr:rowOff>38100</xdr:rowOff>
              </from>
              <to>
                <xdr:col>3</xdr:col>
                <xdr:colOff>1085850</xdr:colOff>
                <xdr:row>116</xdr:row>
                <xdr:rowOff>260350</xdr:rowOff>
              </to>
            </anchor>
          </controlPr>
        </control>
      </mc:Choice>
      <mc:Fallback>
        <control shapeId="1174" r:id="rId36" name="chk_tax_ins_rate"/>
      </mc:Fallback>
    </mc:AlternateContent>
    <mc:AlternateContent xmlns:mc="http://schemas.openxmlformats.org/markup-compatibility/2006">
      <mc:Choice Requires="x14">
        <control shapeId="1175" r:id="rId38" name="chk_royalties">
          <controlPr defaultSize="0" disabled="1" autoLine="0" r:id="rId39">
            <anchor moveWithCells="1">
              <from>
                <xdr:col>5</xdr:col>
                <xdr:colOff>184150</xdr:colOff>
                <xdr:row>154</xdr:row>
                <xdr:rowOff>12700</xdr:rowOff>
              </from>
              <to>
                <xdr:col>5</xdr:col>
                <xdr:colOff>1212850</xdr:colOff>
                <xdr:row>154</xdr:row>
                <xdr:rowOff>209550</xdr:rowOff>
              </to>
            </anchor>
          </controlPr>
        </control>
      </mc:Choice>
      <mc:Fallback>
        <control shapeId="1175" r:id="rId38" name="chk_royalties"/>
      </mc:Fallback>
    </mc:AlternateContent>
    <mc:AlternateContent xmlns:mc="http://schemas.openxmlformats.org/markup-compatibility/2006">
      <mc:Choice Requires="x14">
        <control shapeId="1176" r:id="rId40" name="chk_operator_profit">
          <controlPr defaultSize="0" disabled="1" autoLine="0" r:id="rId41">
            <anchor moveWithCells="1">
              <from>
                <xdr:col>5</xdr:col>
                <xdr:colOff>184150</xdr:colOff>
                <xdr:row>155</xdr:row>
                <xdr:rowOff>12700</xdr:rowOff>
              </from>
              <to>
                <xdr:col>5</xdr:col>
                <xdr:colOff>1212850</xdr:colOff>
                <xdr:row>155</xdr:row>
                <xdr:rowOff>209550</xdr:rowOff>
              </to>
            </anchor>
          </controlPr>
        </control>
      </mc:Choice>
      <mc:Fallback>
        <control shapeId="1176" r:id="rId40" name="chk_operator_profit"/>
      </mc:Fallback>
    </mc:AlternateContent>
    <mc:AlternateContent xmlns:mc="http://schemas.openxmlformats.org/markup-compatibility/2006">
      <mc:Choice Requires="x14">
        <control shapeId="1177" r:id="rId42" name="chk_tax_credit">
          <controlPr defaultSize="0" disabled="1" autoLine="0" r:id="rId43">
            <anchor moveWithCells="1">
              <from>
                <xdr:col>5</xdr:col>
                <xdr:colOff>184150</xdr:colOff>
                <xdr:row>156</xdr:row>
                <xdr:rowOff>0</xdr:rowOff>
              </from>
              <to>
                <xdr:col>5</xdr:col>
                <xdr:colOff>1212850</xdr:colOff>
                <xdr:row>157</xdr:row>
                <xdr:rowOff>0</xdr:rowOff>
              </to>
            </anchor>
          </controlPr>
        </control>
      </mc:Choice>
      <mc:Fallback>
        <control shapeId="1177" r:id="rId42" name="chk_tax_credit"/>
      </mc:Fallback>
    </mc:AlternateContent>
    <mc:AlternateContent xmlns:mc="http://schemas.openxmlformats.org/markup-compatibility/2006">
      <mc:Choice Requires="x14">
        <control shapeId="1223" r:id="rId44" name="chk_Proc_CO2_tax">
          <controlPr defaultSize="0" disabled="1" autoLine="0" r:id="rId45">
            <anchor moveWithCells="1">
              <from>
                <xdr:col>5</xdr:col>
                <xdr:colOff>184150</xdr:colOff>
                <xdr:row>158</xdr:row>
                <xdr:rowOff>0</xdr:rowOff>
              </from>
              <to>
                <xdr:col>5</xdr:col>
                <xdr:colOff>1212850</xdr:colOff>
                <xdr:row>159</xdr:row>
                <xdr:rowOff>0</xdr:rowOff>
              </to>
            </anchor>
          </controlPr>
        </control>
      </mc:Choice>
      <mc:Fallback>
        <control shapeId="1223" r:id="rId44" name="chk_Proc_CO2_tax"/>
      </mc:Fallback>
    </mc:AlternateContent>
    <mc:AlternateContent xmlns:mc="http://schemas.openxmlformats.org/markup-compatibility/2006">
      <mc:Choice Requires="x14">
        <control shapeId="1224" r:id="rId46" name="chk_Upstream_CO2_tax">
          <controlPr defaultSize="0" disabled="1" autoLine="0" r:id="rId47">
            <anchor moveWithCells="1">
              <from>
                <xdr:col>5</xdr:col>
                <xdr:colOff>184150</xdr:colOff>
                <xdr:row>160</xdr:row>
                <xdr:rowOff>0</xdr:rowOff>
              </from>
              <to>
                <xdr:col>5</xdr:col>
                <xdr:colOff>1212850</xdr:colOff>
                <xdr:row>161</xdr:row>
                <xdr:rowOff>0</xdr:rowOff>
              </to>
            </anchor>
          </controlPr>
        </control>
      </mc:Choice>
      <mc:Fallback>
        <control shapeId="1224" r:id="rId46" name="chk_Upstream_CO2_tax"/>
      </mc:Fallback>
    </mc:AlternateContent>
  </controls>
  <extLst>
    <ext xmlns:x14="http://schemas.microsoft.com/office/spreadsheetml/2009/9/main" uri="{CCE6A557-97BC-4b89-ADB6-D9C93CAAB3DF}">
      <x14:dataValidations xmlns:xm="http://schemas.microsoft.com/office/excel/2006/main" xWindow="543" yWindow="734" count="1">
        <x14:dataValidation type="decimal" errorStyle="warning" showInputMessage="1" showErrorMessage="1" error="Capacity is outside the recommended values in this case study.  Please see the Plant Scaling tab for more information." prompt="Required input" xr:uid="{00000000-0002-0000-0300-000010000000}">
          <x14:formula1>
            <xm:f>'Plant Scaling'!C7</xm:f>
          </x14:formula1>
          <x14:formula2>
            <xm:f>'Plant Scaling'!C8</xm:f>
          </x14:formula2>
          <xm:sqref>C26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indexed="50"/>
    <pageSetUpPr fitToPage="1"/>
  </sheetPr>
  <dimension ref="A1:L58"/>
  <sheetViews>
    <sheetView workbookViewId="0">
      <selection activeCell="E18" sqref="E18:H57"/>
    </sheetView>
  </sheetViews>
  <sheetFormatPr defaultColWidth="9.1796875" defaultRowHeight="12.5" x14ac:dyDescent="0.25"/>
  <cols>
    <col min="1" max="1" width="16.26953125" style="214" customWidth="1"/>
    <col min="2" max="2" width="17.453125" style="214" customWidth="1"/>
    <col min="3" max="5" width="19.54296875" style="214" customWidth="1"/>
    <col min="6" max="6" width="19.453125" style="214" customWidth="1"/>
    <col min="7" max="7" width="21.81640625" style="214" customWidth="1"/>
    <col min="8" max="8" width="23.26953125" style="214" customWidth="1"/>
    <col min="9" max="10" width="19.1796875" style="214" customWidth="1"/>
    <col min="11" max="11" width="47.26953125" style="214" customWidth="1"/>
    <col min="12" max="12" width="30.26953125" style="214" customWidth="1"/>
    <col min="13" max="13" width="40.1796875" style="214" customWidth="1"/>
    <col min="14" max="14" width="20" style="214" customWidth="1"/>
    <col min="15" max="16384" width="9.1796875" style="214"/>
  </cols>
  <sheetData>
    <row r="1" spans="1:12" x14ac:dyDescent="0.25">
      <c r="B1" s="38"/>
      <c r="C1" s="38"/>
      <c r="D1" s="38"/>
      <c r="E1" s="38"/>
      <c r="F1" s="38"/>
      <c r="G1" s="38"/>
    </row>
    <row r="2" spans="1:12" ht="22" x14ac:dyDescent="0.65">
      <c r="A2" s="819" t="s">
        <v>1027</v>
      </c>
      <c r="B2" s="38"/>
      <c r="C2" s="38"/>
      <c r="D2" s="38"/>
      <c r="E2" s="38"/>
      <c r="F2" s="38"/>
      <c r="G2" s="38"/>
    </row>
    <row r="3" spans="1:12" ht="13" x14ac:dyDescent="0.25">
      <c r="B3" s="41"/>
      <c r="C3" s="41"/>
      <c r="D3" s="41"/>
      <c r="E3" s="41"/>
      <c r="F3" s="41"/>
      <c r="G3" s="44"/>
      <c r="H3" s="215"/>
      <c r="I3" s="215"/>
      <c r="J3" s="215"/>
    </row>
    <row r="4" spans="1:12" ht="13" x14ac:dyDescent="0.25">
      <c r="B4" s="41"/>
      <c r="C4" s="41"/>
      <c r="D4" s="41"/>
      <c r="E4" s="41"/>
      <c r="F4" s="41"/>
      <c r="G4" s="44"/>
      <c r="H4" s="215"/>
      <c r="I4" s="215"/>
      <c r="J4" s="215"/>
    </row>
    <row r="5" spans="1:12" customFormat="1" ht="15.5" x14ac:dyDescent="0.35">
      <c r="C5" s="821" t="s">
        <v>233</v>
      </c>
      <c r="D5" s="821"/>
      <c r="E5" s="821"/>
    </row>
    <row r="6" spans="1:12" customFormat="1" x14ac:dyDescent="0.25"/>
    <row r="7" spans="1:12" customFormat="1" x14ac:dyDescent="0.25"/>
    <row r="8" spans="1:12" customFormat="1" x14ac:dyDescent="0.25"/>
    <row r="9" spans="1:12" customFormat="1" ht="13" x14ac:dyDescent="0.25">
      <c r="A9" s="820" t="str">
        <f>"NOTE: Enter costs in year "&amp;TEXT(BasisYear,"0")&amp;" $ - Do not inflate"</f>
        <v>NOTE: Enter costs in year 2005 $ - Do not inflate</v>
      </c>
    </row>
    <row r="10" spans="1:12" customFormat="1" ht="13" x14ac:dyDescent="0.25">
      <c r="A10" s="820" t="s">
        <v>1028</v>
      </c>
    </row>
    <row r="11" spans="1:12" customFormat="1" x14ac:dyDescent="0.25"/>
    <row r="12" spans="1:12" ht="13.5" thickBot="1" x14ac:dyDescent="0.35">
      <c r="A12" s="216"/>
      <c r="B12" s="216"/>
      <c r="C12" s="216"/>
      <c r="D12" s="216"/>
      <c r="E12" s="216"/>
      <c r="F12" s="216"/>
      <c r="G12" s="216"/>
      <c r="H12" s="217"/>
      <c r="I12" s="217"/>
      <c r="J12" s="217"/>
    </row>
    <row r="13" spans="1:12" ht="14" thickTop="1" thickBot="1" x14ac:dyDescent="0.35">
      <c r="A13" s="341" t="s">
        <v>1029</v>
      </c>
      <c r="B13" s="342"/>
      <c r="C13" s="343"/>
      <c r="D13" s="343"/>
      <c r="E13" s="343"/>
      <c r="F13" s="344"/>
      <c r="G13" s="345"/>
    </row>
    <row r="14" spans="1:12" ht="14" thickTop="1" thickBot="1" x14ac:dyDescent="0.35">
      <c r="A14" s="346"/>
      <c r="B14" s="347"/>
      <c r="C14" s="348" t="s">
        <v>1030</v>
      </c>
      <c r="D14" s="348"/>
      <c r="E14" s="348"/>
      <c r="F14" s="348" t="s">
        <v>1031</v>
      </c>
      <c r="G14" s="349" t="s">
        <v>1032</v>
      </c>
    </row>
    <row r="15" spans="1:12" s="213" customFormat="1" ht="79" thickTop="1" thickBot="1" x14ac:dyDescent="0.35">
      <c r="A15" s="350" t="s">
        <v>183</v>
      </c>
      <c r="B15" s="533">
        <f>replace_factor</f>
        <v>5.0000000000000001E-3</v>
      </c>
      <c r="C15" s="351"/>
      <c r="D15" s="351"/>
      <c r="E15" s="351"/>
      <c r="F15" s="352"/>
      <c r="G15" s="353" t="s">
        <v>1033</v>
      </c>
      <c r="I15" s="225"/>
      <c r="J15" s="214"/>
      <c r="K15" s="218"/>
    </row>
    <row r="16" spans="1:12" ht="53" thickTop="1" thickBot="1" x14ac:dyDescent="0.35">
      <c r="A16" s="354" t="s">
        <v>1034</v>
      </c>
      <c r="B16" s="355" t="s">
        <v>40</v>
      </c>
      <c r="C16" s="356" t="s">
        <v>1035</v>
      </c>
      <c r="D16" s="356" t="s">
        <v>1036</v>
      </c>
      <c r="E16" s="356" t="s">
        <v>1292</v>
      </c>
      <c r="F16" s="356" t="s">
        <v>1036</v>
      </c>
      <c r="G16" s="356" t="s">
        <v>1037</v>
      </c>
      <c r="H16" s="356" t="s">
        <v>1075</v>
      </c>
      <c r="I16" s="356" t="s">
        <v>1076</v>
      </c>
      <c r="J16" s="356" t="s">
        <v>1077</v>
      </c>
      <c r="K16" s="357" t="s">
        <v>1078</v>
      </c>
      <c r="L16" s="358" t="s">
        <v>1079</v>
      </c>
    </row>
    <row r="17" spans="1:12" ht="14" thickTop="1" thickBot="1" x14ac:dyDescent="0.35">
      <c r="A17" s="359"/>
      <c r="B17" s="360"/>
      <c r="C17" s="360"/>
      <c r="D17" s="360" t="str">
        <f>"Year "&amp;TEXT(BasisYear,"0")&amp;" $"</f>
        <v>Year 2005 $</v>
      </c>
      <c r="E17" s="360" t="str">
        <f>"Year "&amp;TEXT(ref_year,"0")&amp;" $"</f>
        <v>Year 2016 $</v>
      </c>
      <c r="F17" s="360" t="str">
        <f>"Year "&amp;TEXT(ref_year,"0")&amp;" $"</f>
        <v>Year 2016 $</v>
      </c>
      <c r="G17" s="360" t="str">
        <f>"Year "&amp;TEXT(ref_year,"0")&amp;" $"</f>
        <v>Year 2016 $</v>
      </c>
      <c r="H17" s="360" t="s">
        <v>1080</v>
      </c>
      <c r="I17" s="360"/>
      <c r="J17" s="360"/>
      <c r="K17" s="361"/>
      <c r="L17" s="362"/>
    </row>
    <row r="18" spans="1:12" ht="13" thickTop="1" x14ac:dyDescent="0.25">
      <c r="A18" s="96">
        <f>IF(C18&lt;&gt;"",'Cash Flow Analysis'!A65,"")</f>
        <v>2012</v>
      </c>
      <c r="B18" s="317">
        <f>construct+1</f>
        <v>4</v>
      </c>
      <c r="C18" s="317">
        <v>1</v>
      </c>
      <c r="D18" s="486"/>
      <c r="E18" s="219">
        <v>0</v>
      </c>
      <c r="F18" s="219">
        <f t="shared" ref="F18:F57" si="0">(D18)*CPIinflator*CEPCIinflator+E18</f>
        <v>0</v>
      </c>
      <c r="G18" s="219">
        <f ca="1">IF(C18&gt;anal_period,0,IF(replace_factor&lt;&gt;"",replace_factor*depr_cap,0))</f>
        <v>2415547.4873409313</v>
      </c>
      <c r="H18" s="220">
        <f ca="1">(F18+G18)*((1+inflation_rate)^(startup_year-ref_year))</f>
        <v>2370507.8384111202</v>
      </c>
      <c r="I18" s="363"/>
      <c r="J18" s="364"/>
      <c r="K18" s="365"/>
      <c r="L18" s="366"/>
    </row>
    <row r="19" spans="1:12" x14ac:dyDescent="0.25">
      <c r="A19" s="98">
        <f>IF(C19&lt;&gt;"",'Cash Flow Analysis'!A66,"")</f>
        <v>2013</v>
      </c>
      <c r="B19" s="318">
        <f t="shared" ref="B19:B57" si="1">IF(B18&lt;anal_period+construct,B18+1,"")</f>
        <v>5</v>
      </c>
      <c r="C19" s="318">
        <f t="shared" ref="C19:C57" si="2">IF(B19="","",C18+1)</f>
        <v>2</v>
      </c>
      <c r="D19" s="487"/>
      <c r="E19" s="221">
        <f ca="1">+'Carbon Sequestration'!$C$100*(C19&lt;=anal_period)</f>
        <v>13144261.781462643</v>
      </c>
      <c r="F19" s="221">
        <f t="shared" ca="1" si="0"/>
        <v>13144261.781462643</v>
      </c>
      <c r="G19" s="221">
        <f t="shared" ref="G19:G57" ca="1" si="3">IF(C19&gt;anal_period,0,IF(replace_factor&lt;&gt;"",replace_factor*depr_cap,0))</f>
        <v>2415547.4873409313</v>
      </c>
      <c r="H19" s="222">
        <f t="shared" ref="H19:H57" ca="1" si="4">(F19+G19)*((1+inflation_rate)^(startup_year-ref_year))</f>
        <v>15269685.249071224</v>
      </c>
      <c r="I19" s="367"/>
      <c r="J19" s="368"/>
      <c r="K19" s="369"/>
      <c r="L19" s="370"/>
    </row>
    <row r="20" spans="1:12" x14ac:dyDescent="0.25">
      <c r="A20" s="98">
        <f>IF(C20&lt;&gt;"",'Cash Flow Analysis'!A67,"")</f>
        <v>2014</v>
      </c>
      <c r="B20" s="318">
        <f t="shared" si="1"/>
        <v>6</v>
      </c>
      <c r="C20" s="318">
        <f t="shared" si="2"/>
        <v>3</v>
      </c>
      <c r="D20" s="487"/>
      <c r="E20" s="221">
        <f ca="1">+'Carbon Sequestration'!$C$100*(C20&lt;=anal_period)</f>
        <v>13144261.781462643</v>
      </c>
      <c r="F20" s="221">
        <f t="shared" ca="1" si="0"/>
        <v>13144261.781462643</v>
      </c>
      <c r="G20" s="221">
        <f t="shared" ca="1" si="3"/>
        <v>2415547.4873409313</v>
      </c>
      <c r="H20" s="222">
        <f t="shared" ca="1" si="4"/>
        <v>15269685.249071224</v>
      </c>
      <c r="I20" s="367"/>
      <c r="J20" s="368"/>
      <c r="K20" s="369"/>
      <c r="L20" s="370"/>
    </row>
    <row r="21" spans="1:12" x14ac:dyDescent="0.25">
      <c r="A21" s="98">
        <f>IF(C21&lt;&gt;"",'Cash Flow Analysis'!A68,"")</f>
        <v>2015</v>
      </c>
      <c r="B21" s="318">
        <f t="shared" si="1"/>
        <v>7</v>
      </c>
      <c r="C21" s="318">
        <f t="shared" si="2"/>
        <v>4</v>
      </c>
      <c r="D21" s="487"/>
      <c r="E21" s="221">
        <f ca="1">+'Carbon Sequestration'!$C$100*(C21&lt;=anal_period)</f>
        <v>13144261.781462643</v>
      </c>
      <c r="F21" s="221">
        <f t="shared" ca="1" si="0"/>
        <v>13144261.781462643</v>
      </c>
      <c r="G21" s="221">
        <f t="shared" ca="1" si="3"/>
        <v>2415547.4873409313</v>
      </c>
      <c r="H21" s="222">
        <f t="shared" ca="1" si="4"/>
        <v>15269685.249071224</v>
      </c>
      <c r="I21" s="367"/>
      <c r="J21" s="368"/>
      <c r="K21" s="369"/>
      <c r="L21" s="370"/>
    </row>
    <row r="22" spans="1:12" x14ac:dyDescent="0.25">
      <c r="A22" s="98">
        <f>IF(C22&lt;&gt;"",'Cash Flow Analysis'!A69,"")</f>
        <v>2016</v>
      </c>
      <c r="B22" s="318">
        <f t="shared" si="1"/>
        <v>8</v>
      </c>
      <c r="C22" s="318">
        <f t="shared" si="2"/>
        <v>5</v>
      </c>
      <c r="D22" s="487"/>
      <c r="E22" s="221">
        <f ca="1">+'Carbon Sequestration'!$C$100*(C22&lt;=anal_period)</f>
        <v>13144261.781462643</v>
      </c>
      <c r="F22" s="221">
        <f t="shared" ca="1" si="0"/>
        <v>13144261.781462643</v>
      </c>
      <c r="G22" s="221">
        <f t="shared" ca="1" si="3"/>
        <v>2415547.4873409313</v>
      </c>
      <c r="H22" s="222">
        <f t="shared" ca="1" si="4"/>
        <v>15269685.249071224</v>
      </c>
      <c r="I22" s="367"/>
      <c r="J22" s="368"/>
      <c r="K22" s="906"/>
      <c r="L22" s="907"/>
    </row>
    <row r="23" spans="1:12" x14ac:dyDescent="0.25">
      <c r="A23" s="98">
        <f>IF(C23&lt;&gt;"",'Cash Flow Analysis'!A70,"")</f>
        <v>2017</v>
      </c>
      <c r="B23" s="318">
        <f t="shared" si="1"/>
        <v>9</v>
      </c>
      <c r="C23" s="318">
        <f t="shared" si="2"/>
        <v>6</v>
      </c>
      <c r="D23" s="487"/>
      <c r="E23" s="221">
        <f ca="1">+'Carbon Sequestration'!$C$100*(C23&lt;=anal_period)</f>
        <v>13144261.781462643</v>
      </c>
      <c r="F23" s="221">
        <f t="shared" ca="1" si="0"/>
        <v>13144261.781462643</v>
      </c>
      <c r="G23" s="221">
        <f t="shared" ca="1" si="3"/>
        <v>2415547.4873409313</v>
      </c>
      <c r="H23" s="222">
        <f t="shared" ca="1" si="4"/>
        <v>15269685.249071224</v>
      </c>
      <c r="I23" s="367"/>
      <c r="J23" s="368"/>
      <c r="K23" s="369"/>
      <c r="L23" s="370"/>
    </row>
    <row r="24" spans="1:12" x14ac:dyDescent="0.25">
      <c r="A24" s="98">
        <f>IF(C24&lt;&gt;"",'Cash Flow Analysis'!A71,"")</f>
        <v>2018</v>
      </c>
      <c r="B24" s="318">
        <f t="shared" si="1"/>
        <v>10</v>
      </c>
      <c r="C24" s="318">
        <f t="shared" si="2"/>
        <v>7</v>
      </c>
      <c r="D24" s="487"/>
      <c r="E24" s="221">
        <f ca="1">+'Carbon Sequestration'!$C$100*(C24&lt;=anal_period)</f>
        <v>13144261.781462643</v>
      </c>
      <c r="F24" s="221">
        <f t="shared" ca="1" si="0"/>
        <v>13144261.781462643</v>
      </c>
      <c r="G24" s="221">
        <f t="shared" ca="1" si="3"/>
        <v>2415547.4873409313</v>
      </c>
      <c r="H24" s="222">
        <f t="shared" ca="1" si="4"/>
        <v>15269685.249071224</v>
      </c>
      <c r="I24" s="367"/>
      <c r="J24" s="368"/>
      <c r="K24" s="369"/>
      <c r="L24" s="370"/>
    </row>
    <row r="25" spans="1:12" x14ac:dyDescent="0.25">
      <c r="A25" s="98">
        <f>IF(C25&lt;&gt;"",'Cash Flow Analysis'!A72,"")</f>
        <v>2019</v>
      </c>
      <c r="B25" s="318">
        <f t="shared" si="1"/>
        <v>11</v>
      </c>
      <c r="C25" s="318">
        <f t="shared" si="2"/>
        <v>8</v>
      </c>
      <c r="D25" s="487"/>
      <c r="E25" s="221">
        <f ca="1">+'Carbon Sequestration'!$C$100*(C25&lt;=anal_period)</f>
        <v>13144261.781462643</v>
      </c>
      <c r="F25" s="221">
        <f t="shared" ca="1" si="0"/>
        <v>13144261.781462643</v>
      </c>
      <c r="G25" s="221">
        <f t="shared" ca="1" si="3"/>
        <v>2415547.4873409313</v>
      </c>
      <c r="H25" s="222">
        <f t="shared" ca="1" si="4"/>
        <v>15269685.249071224</v>
      </c>
      <c r="I25" s="367"/>
      <c r="J25" s="368"/>
      <c r="K25" s="369"/>
      <c r="L25" s="370"/>
    </row>
    <row r="26" spans="1:12" x14ac:dyDescent="0.25">
      <c r="A26" s="98">
        <f>IF(C26&lt;&gt;"",'Cash Flow Analysis'!A73,"")</f>
        <v>2020</v>
      </c>
      <c r="B26" s="318">
        <f t="shared" si="1"/>
        <v>12</v>
      </c>
      <c r="C26" s="318">
        <f t="shared" si="2"/>
        <v>9</v>
      </c>
      <c r="D26" s="487"/>
      <c r="E26" s="221">
        <f ca="1">+'Carbon Sequestration'!$C$100*(C26&lt;=anal_period)</f>
        <v>13144261.781462643</v>
      </c>
      <c r="F26" s="221">
        <f t="shared" ca="1" si="0"/>
        <v>13144261.781462643</v>
      </c>
      <c r="G26" s="221">
        <f t="shared" ca="1" si="3"/>
        <v>2415547.4873409313</v>
      </c>
      <c r="H26" s="222">
        <f t="shared" ca="1" si="4"/>
        <v>15269685.249071224</v>
      </c>
      <c r="I26" s="367"/>
      <c r="J26" s="368"/>
      <c r="K26" s="369"/>
      <c r="L26" s="370"/>
    </row>
    <row r="27" spans="1:12" x14ac:dyDescent="0.25">
      <c r="A27" s="98">
        <f>IF(C27&lt;&gt;"",'Cash Flow Analysis'!A74,"")</f>
        <v>2021</v>
      </c>
      <c r="B27" s="318">
        <f t="shared" si="1"/>
        <v>13</v>
      </c>
      <c r="C27" s="318">
        <f t="shared" si="2"/>
        <v>10</v>
      </c>
      <c r="D27" s="487"/>
      <c r="E27" s="221">
        <f ca="1">+'Carbon Sequestration'!$C$100*(C27&lt;=anal_period)</f>
        <v>13144261.781462643</v>
      </c>
      <c r="F27" s="221">
        <f t="shared" ca="1" si="0"/>
        <v>13144261.781462643</v>
      </c>
      <c r="G27" s="221">
        <f t="shared" ca="1" si="3"/>
        <v>2415547.4873409313</v>
      </c>
      <c r="H27" s="222">
        <f t="shared" ca="1" si="4"/>
        <v>15269685.249071224</v>
      </c>
      <c r="I27" s="367"/>
      <c r="J27" s="368"/>
      <c r="K27" s="369"/>
      <c r="L27" s="370"/>
    </row>
    <row r="28" spans="1:12" x14ac:dyDescent="0.25">
      <c r="A28" s="98">
        <f>IF(C28&lt;&gt;"",'Cash Flow Analysis'!A75,"")</f>
        <v>2022</v>
      </c>
      <c r="B28" s="318">
        <f t="shared" si="1"/>
        <v>14</v>
      </c>
      <c r="C28" s="318">
        <f t="shared" si="2"/>
        <v>11</v>
      </c>
      <c r="D28" s="487"/>
      <c r="E28" s="221">
        <f ca="1">+'Carbon Sequestration'!$C$100*(C28&lt;=anal_period)</f>
        <v>13144261.781462643</v>
      </c>
      <c r="F28" s="221">
        <f t="shared" ca="1" si="0"/>
        <v>13144261.781462643</v>
      </c>
      <c r="G28" s="221">
        <f t="shared" ca="1" si="3"/>
        <v>2415547.4873409313</v>
      </c>
      <c r="H28" s="222">
        <f t="shared" ca="1" si="4"/>
        <v>15269685.249071224</v>
      </c>
      <c r="I28" s="367"/>
      <c r="J28" s="368"/>
      <c r="K28" s="369"/>
      <c r="L28" s="370"/>
    </row>
    <row r="29" spans="1:12" x14ac:dyDescent="0.25">
      <c r="A29" s="98">
        <f>IF(C29&lt;&gt;"",'Cash Flow Analysis'!A76,"")</f>
        <v>2023</v>
      </c>
      <c r="B29" s="318">
        <f t="shared" si="1"/>
        <v>15</v>
      </c>
      <c r="C29" s="318">
        <f t="shared" si="2"/>
        <v>12</v>
      </c>
      <c r="D29" s="487"/>
      <c r="E29" s="221">
        <f ca="1">+'Carbon Sequestration'!$C$100*(C29&lt;=anal_period)</f>
        <v>13144261.781462643</v>
      </c>
      <c r="F29" s="221">
        <f t="shared" ca="1" si="0"/>
        <v>13144261.781462643</v>
      </c>
      <c r="G29" s="221">
        <f t="shared" ca="1" si="3"/>
        <v>2415547.4873409313</v>
      </c>
      <c r="H29" s="222">
        <f t="shared" ca="1" si="4"/>
        <v>15269685.249071224</v>
      </c>
      <c r="I29" s="367"/>
      <c r="J29" s="368"/>
      <c r="K29" s="369"/>
      <c r="L29" s="370"/>
    </row>
    <row r="30" spans="1:12" x14ac:dyDescent="0.25">
      <c r="A30" s="98">
        <f>IF(C30&lt;&gt;"",'Cash Flow Analysis'!A77,"")</f>
        <v>2024</v>
      </c>
      <c r="B30" s="318">
        <f t="shared" si="1"/>
        <v>16</v>
      </c>
      <c r="C30" s="318">
        <f t="shared" si="2"/>
        <v>13</v>
      </c>
      <c r="D30" s="487"/>
      <c r="E30" s="221">
        <f ca="1">+'Carbon Sequestration'!$C$100*(C30&lt;=anal_period)</f>
        <v>13144261.781462643</v>
      </c>
      <c r="F30" s="221">
        <f t="shared" ca="1" si="0"/>
        <v>13144261.781462643</v>
      </c>
      <c r="G30" s="221">
        <f t="shared" ca="1" si="3"/>
        <v>2415547.4873409313</v>
      </c>
      <c r="H30" s="222">
        <f t="shared" ca="1" si="4"/>
        <v>15269685.249071224</v>
      </c>
      <c r="I30" s="367"/>
      <c r="J30" s="368"/>
      <c r="K30" s="369"/>
      <c r="L30" s="370"/>
    </row>
    <row r="31" spans="1:12" x14ac:dyDescent="0.25">
      <c r="A31" s="98">
        <f>IF(C31&lt;&gt;"",'Cash Flow Analysis'!A78,"")</f>
        <v>2025</v>
      </c>
      <c r="B31" s="318">
        <f t="shared" si="1"/>
        <v>17</v>
      </c>
      <c r="C31" s="318">
        <f t="shared" si="2"/>
        <v>14</v>
      </c>
      <c r="D31" s="487"/>
      <c r="E31" s="221">
        <f ca="1">+'Carbon Sequestration'!$C$100*(C31&lt;=anal_period)</f>
        <v>13144261.781462643</v>
      </c>
      <c r="F31" s="221">
        <f t="shared" ca="1" si="0"/>
        <v>13144261.781462643</v>
      </c>
      <c r="G31" s="221">
        <f t="shared" ca="1" si="3"/>
        <v>2415547.4873409313</v>
      </c>
      <c r="H31" s="222">
        <f t="shared" ca="1" si="4"/>
        <v>15269685.249071224</v>
      </c>
      <c r="I31" s="367"/>
      <c r="J31" s="368"/>
      <c r="K31" s="369"/>
      <c r="L31" s="370"/>
    </row>
    <row r="32" spans="1:12" x14ac:dyDescent="0.25">
      <c r="A32" s="98">
        <f>IF(C32&lt;&gt;"",'Cash Flow Analysis'!A79,"")</f>
        <v>2026</v>
      </c>
      <c r="B32" s="318">
        <f t="shared" si="1"/>
        <v>18</v>
      </c>
      <c r="C32" s="318">
        <f t="shared" si="2"/>
        <v>15</v>
      </c>
      <c r="D32" s="487"/>
      <c r="E32" s="221">
        <f ca="1">+'Carbon Sequestration'!$C$100*(C32&lt;=anal_period)</f>
        <v>13144261.781462643</v>
      </c>
      <c r="F32" s="221">
        <f t="shared" ca="1" si="0"/>
        <v>13144261.781462643</v>
      </c>
      <c r="G32" s="221">
        <f t="shared" ca="1" si="3"/>
        <v>2415547.4873409313</v>
      </c>
      <c r="H32" s="222">
        <f t="shared" ca="1" si="4"/>
        <v>15269685.249071224</v>
      </c>
      <c r="I32" s="367"/>
      <c r="J32" s="368"/>
      <c r="K32" s="369"/>
      <c r="L32" s="370"/>
    </row>
    <row r="33" spans="1:12" x14ac:dyDescent="0.25">
      <c r="A33" s="98">
        <f>IF(C33&lt;&gt;"",'Cash Flow Analysis'!A80,"")</f>
        <v>2027</v>
      </c>
      <c r="B33" s="318">
        <f t="shared" si="1"/>
        <v>19</v>
      </c>
      <c r="C33" s="318">
        <f t="shared" si="2"/>
        <v>16</v>
      </c>
      <c r="D33" s="487"/>
      <c r="E33" s="221">
        <f ca="1">+'Carbon Sequestration'!$C$100*(C33&lt;=anal_period)</f>
        <v>13144261.781462643</v>
      </c>
      <c r="F33" s="221">
        <f t="shared" ca="1" si="0"/>
        <v>13144261.781462643</v>
      </c>
      <c r="G33" s="221">
        <f t="shared" ca="1" si="3"/>
        <v>2415547.4873409313</v>
      </c>
      <c r="H33" s="222">
        <f t="shared" ca="1" si="4"/>
        <v>15269685.249071224</v>
      </c>
      <c r="I33" s="367"/>
      <c r="J33" s="368"/>
      <c r="K33" s="369"/>
      <c r="L33" s="370"/>
    </row>
    <row r="34" spans="1:12" x14ac:dyDescent="0.25">
      <c r="A34" s="98">
        <f>IF(C34&lt;&gt;"",'Cash Flow Analysis'!A81,"")</f>
        <v>2028</v>
      </c>
      <c r="B34" s="318">
        <f t="shared" si="1"/>
        <v>20</v>
      </c>
      <c r="C34" s="318">
        <f t="shared" si="2"/>
        <v>17</v>
      </c>
      <c r="D34" s="487"/>
      <c r="E34" s="221">
        <f ca="1">+'Carbon Sequestration'!$C$100*(C34&lt;=anal_period)</f>
        <v>13144261.781462643</v>
      </c>
      <c r="F34" s="221">
        <f t="shared" ca="1" si="0"/>
        <v>13144261.781462643</v>
      </c>
      <c r="G34" s="221">
        <f t="shared" ca="1" si="3"/>
        <v>2415547.4873409313</v>
      </c>
      <c r="H34" s="222">
        <f t="shared" ca="1" si="4"/>
        <v>15269685.249071224</v>
      </c>
      <c r="I34" s="367"/>
      <c r="J34" s="368"/>
      <c r="K34" s="369"/>
      <c r="L34" s="370"/>
    </row>
    <row r="35" spans="1:12" x14ac:dyDescent="0.25">
      <c r="A35" s="98">
        <f>IF(C35&lt;&gt;"",'Cash Flow Analysis'!A82,"")</f>
        <v>2029</v>
      </c>
      <c r="B35" s="318">
        <f t="shared" si="1"/>
        <v>21</v>
      </c>
      <c r="C35" s="318">
        <f t="shared" si="2"/>
        <v>18</v>
      </c>
      <c r="D35" s="487"/>
      <c r="E35" s="221">
        <f ca="1">+'Carbon Sequestration'!$C$100*(C35&lt;=anal_period)</f>
        <v>13144261.781462643</v>
      </c>
      <c r="F35" s="221">
        <f t="shared" ca="1" si="0"/>
        <v>13144261.781462643</v>
      </c>
      <c r="G35" s="221">
        <f t="shared" ca="1" si="3"/>
        <v>2415547.4873409313</v>
      </c>
      <c r="H35" s="222">
        <f t="shared" ca="1" si="4"/>
        <v>15269685.249071224</v>
      </c>
      <c r="I35" s="367"/>
      <c r="J35" s="368"/>
      <c r="K35" s="369"/>
      <c r="L35" s="370"/>
    </row>
    <row r="36" spans="1:12" x14ac:dyDescent="0.25">
      <c r="A36" s="98">
        <f>IF(C36&lt;&gt;"",'Cash Flow Analysis'!A83,"")</f>
        <v>2030</v>
      </c>
      <c r="B36" s="318">
        <f t="shared" si="1"/>
        <v>22</v>
      </c>
      <c r="C36" s="318">
        <f t="shared" si="2"/>
        <v>19</v>
      </c>
      <c r="D36" s="487"/>
      <c r="E36" s="221">
        <f ca="1">+'Carbon Sequestration'!$C$100*(C36&lt;=anal_period)</f>
        <v>13144261.781462643</v>
      </c>
      <c r="F36" s="221">
        <f t="shared" ca="1" si="0"/>
        <v>13144261.781462643</v>
      </c>
      <c r="G36" s="221">
        <f t="shared" ca="1" si="3"/>
        <v>2415547.4873409313</v>
      </c>
      <c r="H36" s="222">
        <f t="shared" ca="1" si="4"/>
        <v>15269685.249071224</v>
      </c>
      <c r="I36" s="367"/>
      <c r="J36" s="368"/>
      <c r="K36" s="369"/>
      <c r="L36" s="370"/>
    </row>
    <row r="37" spans="1:12" x14ac:dyDescent="0.25">
      <c r="A37" s="98">
        <f>IF(C37&lt;&gt;"",'Cash Flow Analysis'!A84,"")</f>
        <v>2031</v>
      </c>
      <c r="B37" s="318">
        <f t="shared" si="1"/>
        <v>23</v>
      </c>
      <c r="C37" s="318">
        <f t="shared" si="2"/>
        <v>20</v>
      </c>
      <c r="D37" s="487"/>
      <c r="E37" s="221">
        <f ca="1">+'Carbon Sequestration'!$C$100*(C37&lt;=anal_period)</f>
        <v>13144261.781462643</v>
      </c>
      <c r="F37" s="221">
        <f t="shared" ca="1" si="0"/>
        <v>13144261.781462643</v>
      </c>
      <c r="G37" s="221">
        <f t="shared" ca="1" si="3"/>
        <v>2415547.4873409313</v>
      </c>
      <c r="H37" s="222">
        <f t="shared" ca="1" si="4"/>
        <v>15269685.249071224</v>
      </c>
      <c r="I37" s="367"/>
      <c r="J37" s="368"/>
      <c r="K37" s="369"/>
      <c r="L37" s="370"/>
    </row>
    <row r="38" spans="1:12" x14ac:dyDescent="0.25">
      <c r="A38" s="98">
        <f>IF(C38&lt;&gt;"",'Cash Flow Analysis'!A85,"")</f>
        <v>2032</v>
      </c>
      <c r="B38" s="318">
        <f t="shared" si="1"/>
        <v>24</v>
      </c>
      <c r="C38" s="318">
        <f t="shared" si="2"/>
        <v>21</v>
      </c>
      <c r="D38" s="487"/>
      <c r="E38" s="221">
        <f ca="1">+'Carbon Sequestration'!$C$100*(C38&lt;=anal_period)</f>
        <v>13144261.781462643</v>
      </c>
      <c r="F38" s="221">
        <f t="shared" ca="1" si="0"/>
        <v>13144261.781462643</v>
      </c>
      <c r="G38" s="221">
        <f t="shared" ca="1" si="3"/>
        <v>2415547.4873409313</v>
      </c>
      <c r="H38" s="222">
        <f t="shared" ca="1" si="4"/>
        <v>15269685.249071224</v>
      </c>
      <c r="I38" s="367"/>
      <c r="J38" s="368"/>
      <c r="K38" s="369"/>
      <c r="L38" s="370"/>
    </row>
    <row r="39" spans="1:12" x14ac:dyDescent="0.25">
      <c r="A39" s="98">
        <f>IF(C39&lt;&gt;"",'Cash Flow Analysis'!A86,"")</f>
        <v>2033</v>
      </c>
      <c r="B39" s="318">
        <f t="shared" si="1"/>
        <v>25</v>
      </c>
      <c r="C39" s="318">
        <f t="shared" si="2"/>
        <v>22</v>
      </c>
      <c r="D39" s="487"/>
      <c r="E39" s="221">
        <f ca="1">+'Carbon Sequestration'!$C$100*(C39&lt;=anal_period)</f>
        <v>13144261.781462643</v>
      </c>
      <c r="F39" s="221">
        <f t="shared" ca="1" si="0"/>
        <v>13144261.781462643</v>
      </c>
      <c r="G39" s="221">
        <f t="shared" ca="1" si="3"/>
        <v>2415547.4873409313</v>
      </c>
      <c r="H39" s="222">
        <f t="shared" ca="1" si="4"/>
        <v>15269685.249071224</v>
      </c>
      <c r="I39" s="367"/>
      <c r="J39" s="368"/>
      <c r="K39" s="369"/>
      <c r="L39" s="370"/>
    </row>
    <row r="40" spans="1:12" x14ac:dyDescent="0.25">
      <c r="A40" s="98">
        <f>IF(C40&lt;&gt;"",'Cash Flow Analysis'!A87,"")</f>
        <v>2034</v>
      </c>
      <c r="B40" s="318">
        <f t="shared" si="1"/>
        <v>26</v>
      </c>
      <c r="C40" s="318">
        <f t="shared" si="2"/>
        <v>23</v>
      </c>
      <c r="D40" s="487"/>
      <c r="E40" s="221">
        <f ca="1">+'Carbon Sequestration'!$C$100*(C40&lt;=anal_period)</f>
        <v>13144261.781462643</v>
      </c>
      <c r="F40" s="221">
        <f t="shared" ca="1" si="0"/>
        <v>13144261.781462643</v>
      </c>
      <c r="G40" s="221">
        <f t="shared" ca="1" si="3"/>
        <v>2415547.4873409313</v>
      </c>
      <c r="H40" s="222">
        <f t="shared" ca="1" si="4"/>
        <v>15269685.249071224</v>
      </c>
      <c r="I40" s="367"/>
      <c r="J40" s="368"/>
      <c r="K40" s="369"/>
      <c r="L40" s="370"/>
    </row>
    <row r="41" spans="1:12" x14ac:dyDescent="0.25">
      <c r="A41" s="98">
        <f>IF(C41&lt;&gt;"",'Cash Flow Analysis'!A88,"")</f>
        <v>2035</v>
      </c>
      <c r="B41" s="318">
        <f t="shared" si="1"/>
        <v>27</v>
      </c>
      <c r="C41" s="318">
        <f t="shared" si="2"/>
        <v>24</v>
      </c>
      <c r="D41" s="487"/>
      <c r="E41" s="221">
        <f ca="1">+'Carbon Sequestration'!$C$100*(C41&lt;=anal_period)</f>
        <v>13144261.781462643</v>
      </c>
      <c r="F41" s="221">
        <f t="shared" ca="1" si="0"/>
        <v>13144261.781462643</v>
      </c>
      <c r="G41" s="221">
        <f t="shared" ca="1" si="3"/>
        <v>2415547.4873409313</v>
      </c>
      <c r="H41" s="222">
        <f t="shared" ca="1" si="4"/>
        <v>15269685.249071224</v>
      </c>
      <c r="I41" s="367"/>
      <c r="J41" s="368"/>
      <c r="K41" s="369"/>
      <c r="L41" s="370"/>
    </row>
    <row r="42" spans="1:12" x14ac:dyDescent="0.25">
      <c r="A42" s="98">
        <f>IF(C42&lt;&gt;"",'Cash Flow Analysis'!A89,"")</f>
        <v>2036</v>
      </c>
      <c r="B42" s="318">
        <f t="shared" si="1"/>
        <v>28</v>
      </c>
      <c r="C42" s="318">
        <f t="shared" si="2"/>
        <v>25</v>
      </c>
      <c r="D42" s="487"/>
      <c r="E42" s="221">
        <f ca="1">+'Carbon Sequestration'!$C$100*(C42&lt;=anal_period)</f>
        <v>13144261.781462643</v>
      </c>
      <c r="F42" s="221">
        <f t="shared" ca="1" si="0"/>
        <v>13144261.781462643</v>
      </c>
      <c r="G42" s="221">
        <f t="shared" ca="1" si="3"/>
        <v>2415547.4873409313</v>
      </c>
      <c r="H42" s="222">
        <f t="shared" ca="1" si="4"/>
        <v>15269685.249071224</v>
      </c>
      <c r="I42" s="367"/>
      <c r="J42" s="368"/>
      <c r="K42" s="369"/>
      <c r="L42" s="370"/>
    </row>
    <row r="43" spans="1:12" x14ac:dyDescent="0.25">
      <c r="A43" s="98">
        <f>IF(C43&lt;&gt;"",'Cash Flow Analysis'!A90,"")</f>
        <v>2037</v>
      </c>
      <c r="B43" s="318">
        <f t="shared" si="1"/>
        <v>29</v>
      </c>
      <c r="C43" s="318">
        <f t="shared" si="2"/>
        <v>26</v>
      </c>
      <c r="D43" s="487"/>
      <c r="E43" s="221">
        <f ca="1">+'Carbon Sequestration'!$C$100*(C43&lt;=anal_period)</f>
        <v>13144261.781462643</v>
      </c>
      <c r="F43" s="221">
        <f t="shared" ca="1" si="0"/>
        <v>13144261.781462643</v>
      </c>
      <c r="G43" s="221">
        <f t="shared" ca="1" si="3"/>
        <v>2415547.4873409313</v>
      </c>
      <c r="H43" s="222">
        <f t="shared" ca="1" si="4"/>
        <v>15269685.249071224</v>
      </c>
      <c r="I43" s="367"/>
      <c r="J43" s="368"/>
      <c r="K43" s="369"/>
      <c r="L43" s="370"/>
    </row>
    <row r="44" spans="1:12" x14ac:dyDescent="0.25">
      <c r="A44" s="98">
        <f>IF(C44&lt;&gt;"",'Cash Flow Analysis'!A91,"")</f>
        <v>2038</v>
      </c>
      <c r="B44" s="318">
        <f t="shared" si="1"/>
        <v>30</v>
      </c>
      <c r="C44" s="318">
        <f t="shared" si="2"/>
        <v>27</v>
      </c>
      <c r="D44" s="487"/>
      <c r="E44" s="221">
        <f ca="1">+'Carbon Sequestration'!$C$100*(C44&lt;=anal_period)</f>
        <v>13144261.781462643</v>
      </c>
      <c r="F44" s="221">
        <f t="shared" ca="1" si="0"/>
        <v>13144261.781462643</v>
      </c>
      <c r="G44" s="221">
        <f t="shared" ca="1" si="3"/>
        <v>2415547.4873409313</v>
      </c>
      <c r="H44" s="222">
        <f t="shared" ca="1" si="4"/>
        <v>15269685.249071224</v>
      </c>
      <c r="I44" s="367"/>
      <c r="J44" s="368"/>
      <c r="K44" s="369"/>
      <c r="L44" s="370"/>
    </row>
    <row r="45" spans="1:12" x14ac:dyDescent="0.25">
      <c r="A45" s="98">
        <f>IF(C45&lt;&gt;"",'Cash Flow Analysis'!A92,"")</f>
        <v>2039</v>
      </c>
      <c r="B45" s="318">
        <f t="shared" si="1"/>
        <v>31</v>
      </c>
      <c r="C45" s="318">
        <f t="shared" si="2"/>
        <v>28</v>
      </c>
      <c r="D45" s="487"/>
      <c r="E45" s="221">
        <f ca="1">+'Carbon Sequestration'!$C$100*(C45&lt;=anal_period)</f>
        <v>13144261.781462643</v>
      </c>
      <c r="F45" s="221">
        <f t="shared" ca="1" si="0"/>
        <v>13144261.781462643</v>
      </c>
      <c r="G45" s="221">
        <f t="shared" ca="1" si="3"/>
        <v>2415547.4873409313</v>
      </c>
      <c r="H45" s="222">
        <f t="shared" ca="1" si="4"/>
        <v>15269685.249071224</v>
      </c>
      <c r="I45" s="367"/>
      <c r="J45" s="368"/>
      <c r="K45" s="369"/>
      <c r="L45" s="370"/>
    </row>
    <row r="46" spans="1:12" x14ac:dyDescent="0.25">
      <c r="A46" s="98">
        <f>IF(C46&lt;&gt;"",'Cash Flow Analysis'!A93,"")</f>
        <v>2040</v>
      </c>
      <c r="B46" s="318">
        <f t="shared" si="1"/>
        <v>32</v>
      </c>
      <c r="C46" s="318">
        <f t="shared" si="2"/>
        <v>29</v>
      </c>
      <c r="D46" s="487"/>
      <c r="E46" s="221">
        <f ca="1">+'Carbon Sequestration'!$C$100*(C46&lt;=anal_period)</f>
        <v>13144261.781462643</v>
      </c>
      <c r="F46" s="221">
        <f t="shared" ca="1" si="0"/>
        <v>13144261.781462643</v>
      </c>
      <c r="G46" s="221">
        <f t="shared" ca="1" si="3"/>
        <v>2415547.4873409313</v>
      </c>
      <c r="H46" s="222">
        <f t="shared" ca="1" si="4"/>
        <v>15269685.249071224</v>
      </c>
      <c r="I46" s="367"/>
      <c r="J46" s="368"/>
      <c r="K46" s="369"/>
      <c r="L46" s="370"/>
    </row>
    <row r="47" spans="1:12" x14ac:dyDescent="0.25">
      <c r="A47" s="98">
        <f>IF(C47&lt;&gt;"",'Cash Flow Analysis'!A94,"")</f>
        <v>2041</v>
      </c>
      <c r="B47" s="318">
        <f t="shared" si="1"/>
        <v>33</v>
      </c>
      <c r="C47" s="318">
        <f t="shared" si="2"/>
        <v>30</v>
      </c>
      <c r="D47" s="487"/>
      <c r="E47" s="221">
        <f ca="1">+'Carbon Sequestration'!$C$100*(C47&lt;=anal_period)</f>
        <v>13144261.781462643</v>
      </c>
      <c r="F47" s="221">
        <f t="shared" ca="1" si="0"/>
        <v>13144261.781462643</v>
      </c>
      <c r="G47" s="221">
        <f t="shared" ca="1" si="3"/>
        <v>2415547.4873409313</v>
      </c>
      <c r="H47" s="222">
        <f t="shared" ca="1" si="4"/>
        <v>15269685.249071224</v>
      </c>
      <c r="I47" s="367"/>
      <c r="J47" s="368"/>
      <c r="K47" s="369"/>
      <c r="L47" s="370"/>
    </row>
    <row r="48" spans="1:12" x14ac:dyDescent="0.25">
      <c r="A48" s="98">
        <f>IF(C48&lt;&gt;"",'Cash Flow Analysis'!A95,"")</f>
        <v>2042</v>
      </c>
      <c r="B48" s="318">
        <f t="shared" si="1"/>
        <v>34</v>
      </c>
      <c r="C48" s="318">
        <f t="shared" si="2"/>
        <v>31</v>
      </c>
      <c r="D48" s="487"/>
      <c r="E48" s="221">
        <f ca="1">+'Carbon Sequestration'!$C$100*(C48&lt;=anal_period)</f>
        <v>13144261.781462643</v>
      </c>
      <c r="F48" s="221">
        <f t="shared" ca="1" si="0"/>
        <v>13144261.781462643</v>
      </c>
      <c r="G48" s="221">
        <f t="shared" ca="1" si="3"/>
        <v>2415547.4873409313</v>
      </c>
      <c r="H48" s="222">
        <f t="shared" ca="1" si="4"/>
        <v>15269685.249071224</v>
      </c>
      <c r="I48" s="367"/>
      <c r="J48" s="368"/>
      <c r="K48" s="369"/>
      <c r="L48" s="370"/>
    </row>
    <row r="49" spans="1:12" x14ac:dyDescent="0.25">
      <c r="A49" s="98">
        <f>IF(C49&lt;&gt;"",'Cash Flow Analysis'!A96,"")</f>
        <v>2043</v>
      </c>
      <c r="B49" s="318">
        <f t="shared" si="1"/>
        <v>35</v>
      </c>
      <c r="C49" s="318">
        <f t="shared" si="2"/>
        <v>32</v>
      </c>
      <c r="D49" s="487"/>
      <c r="E49" s="221">
        <f ca="1">+'Carbon Sequestration'!$C$100*(C49&lt;=anal_period)</f>
        <v>13144261.781462643</v>
      </c>
      <c r="F49" s="221">
        <f t="shared" ca="1" si="0"/>
        <v>13144261.781462643</v>
      </c>
      <c r="G49" s="221">
        <f t="shared" ca="1" si="3"/>
        <v>2415547.4873409313</v>
      </c>
      <c r="H49" s="222">
        <f t="shared" ca="1" si="4"/>
        <v>15269685.249071224</v>
      </c>
      <c r="I49" s="367"/>
      <c r="J49" s="368"/>
      <c r="K49" s="369"/>
      <c r="L49" s="370"/>
    </row>
    <row r="50" spans="1:12" x14ac:dyDescent="0.25">
      <c r="A50" s="98">
        <f>IF(C50&lt;&gt;"",'Cash Flow Analysis'!A97,"")</f>
        <v>2044</v>
      </c>
      <c r="B50" s="318">
        <f t="shared" si="1"/>
        <v>36</v>
      </c>
      <c r="C50" s="318">
        <f t="shared" si="2"/>
        <v>33</v>
      </c>
      <c r="D50" s="487"/>
      <c r="E50" s="221">
        <f ca="1">+'Carbon Sequestration'!$C$100*(C50&lt;=anal_period)</f>
        <v>13144261.781462643</v>
      </c>
      <c r="F50" s="221">
        <f t="shared" ca="1" si="0"/>
        <v>13144261.781462643</v>
      </c>
      <c r="G50" s="221">
        <f t="shared" ca="1" si="3"/>
        <v>2415547.4873409313</v>
      </c>
      <c r="H50" s="222">
        <f t="shared" ca="1" si="4"/>
        <v>15269685.249071224</v>
      </c>
      <c r="I50" s="367"/>
      <c r="J50" s="368"/>
      <c r="K50" s="369"/>
      <c r="L50" s="370"/>
    </row>
    <row r="51" spans="1:12" x14ac:dyDescent="0.25">
      <c r="A51" s="98">
        <f>IF(C51&lt;&gt;"",'Cash Flow Analysis'!A98,"")</f>
        <v>2045</v>
      </c>
      <c r="B51" s="318">
        <f t="shared" si="1"/>
        <v>37</v>
      </c>
      <c r="C51" s="318">
        <f t="shared" si="2"/>
        <v>34</v>
      </c>
      <c r="D51" s="487"/>
      <c r="E51" s="221">
        <f ca="1">+'Carbon Sequestration'!$C$100*(C51&lt;=anal_period)</f>
        <v>13144261.781462643</v>
      </c>
      <c r="F51" s="221">
        <f t="shared" ca="1" si="0"/>
        <v>13144261.781462643</v>
      </c>
      <c r="G51" s="221">
        <f t="shared" ca="1" si="3"/>
        <v>2415547.4873409313</v>
      </c>
      <c r="H51" s="222">
        <f t="shared" ca="1" si="4"/>
        <v>15269685.249071224</v>
      </c>
      <c r="I51" s="367"/>
      <c r="J51" s="368"/>
      <c r="K51" s="369"/>
      <c r="L51" s="370"/>
    </row>
    <row r="52" spans="1:12" x14ac:dyDescent="0.25">
      <c r="A52" s="98">
        <f>IF(C52&lt;&gt;"",'Cash Flow Analysis'!A99,"")</f>
        <v>2046</v>
      </c>
      <c r="B52" s="318">
        <f t="shared" si="1"/>
        <v>38</v>
      </c>
      <c r="C52" s="318">
        <f t="shared" si="2"/>
        <v>35</v>
      </c>
      <c r="D52" s="487"/>
      <c r="E52" s="221">
        <f ca="1">+'Carbon Sequestration'!$C$100*(C52&lt;=anal_period)</f>
        <v>13144261.781462643</v>
      </c>
      <c r="F52" s="221">
        <f t="shared" ca="1" si="0"/>
        <v>13144261.781462643</v>
      </c>
      <c r="G52" s="221">
        <f t="shared" ca="1" si="3"/>
        <v>2415547.4873409313</v>
      </c>
      <c r="H52" s="222">
        <f t="shared" ca="1" si="4"/>
        <v>15269685.249071224</v>
      </c>
      <c r="I52" s="367"/>
      <c r="J52" s="368"/>
      <c r="K52" s="369"/>
      <c r="L52" s="370"/>
    </row>
    <row r="53" spans="1:12" x14ac:dyDescent="0.25">
      <c r="A53" s="98">
        <f>IF(C53&lt;&gt;"",'Cash Flow Analysis'!A100,"")</f>
        <v>2047</v>
      </c>
      <c r="B53" s="318">
        <f t="shared" si="1"/>
        <v>39</v>
      </c>
      <c r="C53" s="318">
        <f t="shared" si="2"/>
        <v>36</v>
      </c>
      <c r="D53" s="487"/>
      <c r="E53" s="221">
        <f ca="1">+'Carbon Sequestration'!$C$100*(C53&lt;=anal_period)</f>
        <v>13144261.781462643</v>
      </c>
      <c r="F53" s="221">
        <f t="shared" ca="1" si="0"/>
        <v>13144261.781462643</v>
      </c>
      <c r="G53" s="221">
        <f t="shared" ca="1" si="3"/>
        <v>2415547.4873409313</v>
      </c>
      <c r="H53" s="222">
        <f t="shared" ca="1" si="4"/>
        <v>15269685.249071224</v>
      </c>
      <c r="I53" s="367"/>
      <c r="J53" s="368"/>
      <c r="K53" s="369"/>
      <c r="L53" s="370"/>
    </row>
    <row r="54" spans="1:12" x14ac:dyDescent="0.25">
      <c r="A54" s="98">
        <f>IF(C54&lt;&gt;"",'Cash Flow Analysis'!A101,"")</f>
        <v>2048</v>
      </c>
      <c r="B54" s="318">
        <f t="shared" si="1"/>
        <v>40</v>
      </c>
      <c r="C54" s="318">
        <f t="shared" si="2"/>
        <v>37</v>
      </c>
      <c r="D54" s="487"/>
      <c r="E54" s="221">
        <f ca="1">+'Carbon Sequestration'!$C$100*(C54&lt;=anal_period)</f>
        <v>13144261.781462643</v>
      </c>
      <c r="F54" s="221">
        <f t="shared" ca="1" si="0"/>
        <v>13144261.781462643</v>
      </c>
      <c r="G54" s="221">
        <f t="shared" ca="1" si="3"/>
        <v>2415547.4873409313</v>
      </c>
      <c r="H54" s="222">
        <f t="shared" ca="1" si="4"/>
        <v>15269685.249071224</v>
      </c>
      <c r="I54" s="367"/>
      <c r="J54" s="368"/>
      <c r="K54" s="369"/>
      <c r="L54" s="370"/>
    </row>
    <row r="55" spans="1:12" x14ac:dyDescent="0.25">
      <c r="A55" s="98">
        <f>IF(C55&lt;&gt;"",'Cash Flow Analysis'!A102,"")</f>
        <v>2049</v>
      </c>
      <c r="B55" s="318">
        <f t="shared" si="1"/>
        <v>41</v>
      </c>
      <c r="C55" s="318">
        <f t="shared" si="2"/>
        <v>38</v>
      </c>
      <c r="D55" s="487"/>
      <c r="E55" s="221">
        <f ca="1">+'Carbon Sequestration'!$C$100*(C55&lt;=anal_period)</f>
        <v>13144261.781462643</v>
      </c>
      <c r="F55" s="221">
        <f t="shared" ca="1" si="0"/>
        <v>13144261.781462643</v>
      </c>
      <c r="G55" s="221">
        <f t="shared" ca="1" si="3"/>
        <v>2415547.4873409313</v>
      </c>
      <c r="H55" s="222">
        <f t="shared" ca="1" si="4"/>
        <v>15269685.249071224</v>
      </c>
      <c r="I55" s="367"/>
      <c r="J55" s="368"/>
      <c r="K55" s="369"/>
      <c r="L55" s="370"/>
    </row>
    <row r="56" spans="1:12" x14ac:dyDescent="0.25">
      <c r="A56" s="98">
        <f>IF(C56&lt;&gt;"",'Cash Flow Analysis'!A103,"")</f>
        <v>2050</v>
      </c>
      <c r="B56" s="318">
        <f t="shared" si="1"/>
        <v>42</v>
      </c>
      <c r="C56" s="318">
        <f t="shared" si="2"/>
        <v>39</v>
      </c>
      <c r="D56" s="487"/>
      <c r="E56" s="221">
        <f ca="1">+'Carbon Sequestration'!$C$100*(C56&lt;=anal_period)</f>
        <v>13144261.781462643</v>
      </c>
      <c r="F56" s="221">
        <f t="shared" ca="1" si="0"/>
        <v>13144261.781462643</v>
      </c>
      <c r="G56" s="221">
        <f t="shared" ca="1" si="3"/>
        <v>2415547.4873409313</v>
      </c>
      <c r="H56" s="222">
        <f t="shared" ca="1" si="4"/>
        <v>15269685.249071224</v>
      </c>
      <c r="I56" s="367"/>
      <c r="J56" s="368"/>
      <c r="K56" s="369"/>
      <c r="L56" s="370"/>
    </row>
    <row r="57" spans="1:12" ht="13" thickBot="1" x14ac:dyDescent="0.3">
      <c r="A57" s="100">
        <f>IF(C57&lt;&gt;"",'Cash Flow Analysis'!A104,"")</f>
        <v>2051</v>
      </c>
      <c r="B57" s="319">
        <f t="shared" si="1"/>
        <v>43</v>
      </c>
      <c r="C57" s="319">
        <f t="shared" si="2"/>
        <v>40</v>
      </c>
      <c r="D57" s="488"/>
      <c r="E57" s="223">
        <f ca="1">+'Carbon Sequestration'!$C$100*(C57&lt;=anal_period)</f>
        <v>13144261.781462643</v>
      </c>
      <c r="F57" s="223">
        <f t="shared" ca="1" si="0"/>
        <v>13144261.781462643</v>
      </c>
      <c r="G57" s="223">
        <f t="shared" ca="1" si="3"/>
        <v>2415547.4873409313</v>
      </c>
      <c r="H57" s="224">
        <f t="shared" ca="1" si="4"/>
        <v>15269685.249071224</v>
      </c>
      <c r="I57" s="371"/>
      <c r="J57" s="372"/>
      <c r="K57" s="373"/>
      <c r="L57" s="374"/>
    </row>
    <row r="58" spans="1:12" ht="13" thickTop="1" x14ac:dyDescent="0.25"/>
  </sheetData>
  <phoneticPr fontId="0" type="noConversion"/>
  <pageMargins left="0.75" right="0.75" top="1" bottom="1" header="0.5" footer="0.5"/>
  <pageSetup scale="55" orientation="landscape" r:id="rId1"/>
  <headerFooter alignWithMargins="0">
    <oddHeader>&amp;LCentral Biomass Gasification - Current Timeframe&amp;R&amp;D</oddHeader>
    <oddFooter>&amp;CPage 6 of 7</oddFoot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indexed="50"/>
    <pageSetUpPr fitToPage="1"/>
  </sheetPr>
  <dimension ref="B2:H37"/>
  <sheetViews>
    <sheetView workbookViewId="0"/>
  </sheetViews>
  <sheetFormatPr defaultRowHeight="12.5" x14ac:dyDescent="0.25"/>
  <cols>
    <col min="2" max="2" width="35" customWidth="1"/>
    <col min="3" max="3" width="19.7265625" customWidth="1"/>
    <col min="4" max="5" width="18.7265625" customWidth="1"/>
    <col min="6" max="6" width="22.54296875" customWidth="1"/>
    <col min="7" max="7" width="51.1796875" customWidth="1"/>
    <col min="8" max="8" width="27.1796875" customWidth="1"/>
  </cols>
  <sheetData>
    <row r="2" spans="2:8" ht="22.5" customHeight="1" x14ac:dyDescent="0.65">
      <c r="B2" s="822" t="s">
        <v>83</v>
      </c>
      <c r="F2" s="1569"/>
      <c r="G2" s="1569"/>
      <c r="H2" s="1569"/>
    </row>
    <row r="3" spans="2:8" x14ac:dyDescent="0.25">
      <c r="F3" s="1569"/>
      <c r="G3" s="1569"/>
      <c r="H3" s="1569"/>
    </row>
    <row r="4" spans="2:8" ht="15.5" x14ac:dyDescent="0.35">
      <c r="C4" s="821" t="s">
        <v>233</v>
      </c>
      <c r="F4" s="1569"/>
      <c r="G4" s="1569"/>
      <c r="H4" s="1569"/>
    </row>
    <row r="5" spans="2:8" ht="15.5" x14ac:dyDescent="0.35">
      <c r="C5" s="821"/>
    </row>
    <row r="6" spans="2:8" ht="16" thickBot="1" x14ac:dyDescent="0.4">
      <c r="C6" s="821"/>
    </row>
    <row r="7" spans="2:8" ht="26.5" thickBot="1" x14ac:dyDescent="0.35">
      <c r="B7" s="990" t="s">
        <v>827</v>
      </c>
      <c r="C7" s="991">
        <v>379387</v>
      </c>
      <c r="D7" s="1570" t="s">
        <v>828</v>
      </c>
      <c r="E7" s="1571"/>
      <c r="F7" s="1571"/>
      <c r="G7" s="1571"/>
      <c r="H7" s="1572"/>
    </row>
    <row r="8" spans="2:8" ht="13.5" thickBot="1" x14ac:dyDescent="0.35">
      <c r="D8" s="1568" t="s">
        <v>1030</v>
      </c>
      <c r="E8" s="1566"/>
      <c r="F8" s="1566"/>
      <c r="G8" s="1566"/>
      <c r="H8" s="1566"/>
    </row>
    <row r="9" spans="2:8" ht="13" x14ac:dyDescent="0.3">
      <c r="B9" s="1" t="s">
        <v>842</v>
      </c>
      <c r="C9" s="1013">
        <f>BasisYear</f>
        <v>2005</v>
      </c>
      <c r="D9" s="1573"/>
      <c r="E9" s="1574"/>
      <c r="F9" s="1574"/>
      <c r="G9" s="1574"/>
      <c r="H9" s="1575"/>
    </row>
    <row r="10" spans="2:8" ht="13" x14ac:dyDescent="0.3">
      <c r="B10" s="1" t="s">
        <v>773</v>
      </c>
      <c r="C10" s="988">
        <v>2010</v>
      </c>
      <c r="D10" s="1562"/>
      <c r="E10" s="1563"/>
      <c r="F10" s="1563"/>
      <c r="G10" s="1563"/>
      <c r="H10" s="1564"/>
    </row>
    <row r="11" spans="2:8" ht="13" x14ac:dyDescent="0.3">
      <c r="B11" s="1" t="str">
        <f>"CEPCI Inflator ("&amp;BasisYear&amp;" to "&amp;CurrentYear&amp;")"</f>
        <v>CEPCI Inflator (2005 to 2010)</v>
      </c>
      <c r="C11" s="1011">
        <f>VLOOKUP(CurrentYear,Tbl_PlantCostIndexes,2,FALSE)/VLOOKUP(BasisYear,Tbl_PlantCostIndexes,2,FALSE)</f>
        <v>1.176420333190944</v>
      </c>
      <c r="D11" s="1562" t="s">
        <v>820</v>
      </c>
      <c r="E11" s="1563"/>
      <c r="F11" s="1563"/>
      <c r="G11" s="1563"/>
      <c r="H11" s="1564"/>
    </row>
    <row r="12" spans="2:8" ht="13.5" thickBot="1" x14ac:dyDescent="0.35">
      <c r="B12" s="1" t="str">
        <f>"Consumer Price Inflator ("&amp;CurrentYear&amp;" to "&amp;ref_year&amp;")"</f>
        <v>Consumer Price Inflator (2010 to 2016)</v>
      </c>
      <c r="C12" s="1012">
        <f>VLOOKUP(ref_year,DeflatorTable,2,FALSE)/VLOOKUP(CurrentYear,DeflatorTable,2,FALSE)</f>
        <v>1.100724186648488</v>
      </c>
      <c r="D12" s="1565" t="s">
        <v>821</v>
      </c>
      <c r="E12" s="1566"/>
      <c r="F12" s="1566"/>
      <c r="G12" s="1566"/>
      <c r="H12" s="1567"/>
    </row>
    <row r="13" spans="2:8" ht="13" thickBot="1" x14ac:dyDescent="0.3"/>
    <row r="14" spans="2:8" ht="16.5" thickTop="1" thickBot="1" x14ac:dyDescent="0.4">
      <c r="B14" s="974" t="str">
        <f xml:space="preserve"> "CAPITAL INVESTMENT (Inputs REQUIRED in Basis Year, (" &amp; BasisYear &amp; ") $)"</f>
        <v>CAPITAL INVESTMENT (Inputs REQUIRED in Basis Year, (2005) $)</v>
      </c>
      <c r="C14" s="975"/>
      <c r="D14" s="975"/>
      <c r="E14" s="975"/>
      <c r="F14" s="975"/>
      <c r="G14" s="975"/>
      <c r="H14" s="976"/>
    </row>
    <row r="15" spans="2:8" ht="32" thickTop="1" thickBot="1" x14ac:dyDescent="0.4">
      <c r="B15" s="517" t="s">
        <v>667</v>
      </c>
      <c r="C15" s="518" t="str">
        <f>"Baseline Uninstalled Costs $"&amp;BasisYear&amp;" Dollars"</f>
        <v>Baseline Uninstalled Costs $2005 Dollars</v>
      </c>
      <c r="D15" s="518" t="str">
        <f>"Baseline Uninstalled Costs $"&amp;ref_year&amp;" Dollars"</f>
        <v>Baseline Uninstalled Costs $2016 Dollars</v>
      </c>
      <c r="E15" s="518" t="s">
        <v>668</v>
      </c>
      <c r="F15" s="493" t="s">
        <v>1060</v>
      </c>
      <c r="G15" s="518" t="s">
        <v>1030</v>
      </c>
      <c r="H15" s="523" t="s">
        <v>670</v>
      </c>
    </row>
    <row r="16" spans="2:8" x14ac:dyDescent="0.25">
      <c r="B16" s="1274" t="s">
        <v>1421</v>
      </c>
      <c r="C16" s="1496">
        <v>49969788</v>
      </c>
      <c r="D16" s="521">
        <f>C16*CEPCIinflator*CPIinflator</f>
        <v>64706593.769150347</v>
      </c>
      <c r="E16" s="1276">
        <v>1.92</v>
      </c>
      <c r="F16" s="521">
        <f>D16*E16</f>
        <v>124236660.03676866</v>
      </c>
      <c r="G16" s="530"/>
      <c r="H16" s="740"/>
    </row>
    <row r="17" spans="2:8" x14ac:dyDescent="0.25">
      <c r="B17" s="1275" t="s">
        <v>1409</v>
      </c>
      <c r="C17" s="1497">
        <v>19964651</v>
      </c>
      <c r="D17" s="521">
        <f t="shared" ref="D17:D35" si="0">C17*CEPCIinflator*CPIinflator</f>
        <v>25852512.36206688</v>
      </c>
      <c r="E17" s="1277">
        <v>1.92</v>
      </c>
      <c r="F17" s="521">
        <f t="shared" ref="F17:F35" si="1">D17*E17</f>
        <v>49636823.735168405</v>
      </c>
      <c r="G17" s="531"/>
      <c r="H17" s="741"/>
    </row>
    <row r="18" spans="2:8" x14ac:dyDescent="0.25">
      <c r="B18" s="1275" t="s">
        <v>1422</v>
      </c>
      <c r="C18" s="1497">
        <v>6072440</v>
      </c>
      <c r="D18" s="521">
        <f t="shared" si="0"/>
        <v>7863289.4793858109</v>
      </c>
      <c r="E18" s="1277">
        <v>1.92</v>
      </c>
      <c r="F18" s="521">
        <f t="shared" si="1"/>
        <v>15097515.800420756</v>
      </c>
      <c r="G18" s="531"/>
      <c r="H18" s="741"/>
    </row>
    <row r="19" spans="2:8" x14ac:dyDescent="0.25">
      <c r="B19" s="1275" t="s">
        <v>1423</v>
      </c>
      <c r="C19" s="1497">
        <v>5339713</v>
      </c>
      <c r="D19" s="521">
        <f t="shared" si="0"/>
        <v>6914470.7985323276</v>
      </c>
      <c r="E19" s="1277">
        <v>1.92</v>
      </c>
      <c r="F19" s="521">
        <f t="shared" si="1"/>
        <v>13275783.933182068</v>
      </c>
      <c r="G19" s="531"/>
      <c r="H19" s="741"/>
    </row>
    <row r="20" spans="2:8" x14ac:dyDescent="0.25">
      <c r="B20" s="1275"/>
      <c r="C20" s="1497"/>
      <c r="D20" s="521">
        <f t="shared" si="0"/>
        <v>0</v>
      </c>
      <c r="E20" s="1277"/>
      <c r="F20" s="521">
        <f t="shared" si="1"/>
        <v>0</v>
      </c>
      <c r="G20" s="531"/>
      <c r="H20" s="741"/>
    </row>
    <row r="21" spans="2:8" x14ac:dyDescent="0.25">
      <c r="B21" s="1275"/>
      <c r="C21" s="1497"/>
      <c r="D21" s="521">
        <f t="shared" si="0"/>
        <v>0</v>
      </c>
      <c r="E21" s="1277"/>
      <c r="F21" s="521">
        <f t="shared" si="1"/>
        <v>0</v>
      </c>
      <c r="G21" s="531"/>
      <c r="H21" s="741"/>
    </row>
    <row r="22" spans="2:8" ht="13" x14ac:dyDescent="0.3">
      <c r="B22" s="1499"/>
      <c r="C22" s="1497"/>
      <c r="D22" s="521">
        <f t="shared" si="0"/>
        <v>0</v>
      </c>
      <c r="E22" s="1277"/>
      <c r="F22" s="521">
        <f t="shared" si="1"/>
        <v>0</v>
      </c>
      <c r="G22" s="531"/>
      <c r="H22" s="741"/>
    </row>
    <row r="23" spans="2:8" x14ac:dyDescent="0.25">
      <c r="B23" s="1275"/>
      <c r="C23" s="1497"/>
      <c r="D23" s="521">
        <f t="shared" si="0"/>
        <v>0</v>
      </c>
      <c r="E23" s="1277"/>
      <c r="F23" s="521">
        <f t="shared" si="1"/>
        <v>0</v>
      </c>
      <c r="G23" s="531"/>
      <c r="H23" s="741"/>
    </row>
    <row r="24" spans="2:8" x14ac:dyDescent="0.25">
      <c r="B24" s="1275"/>
      <c r="C24" s="1497"/>
      <c r="D24" s="521">
        <f t="shared" si="0"/>
        <v>0</v>
      </c>
      <c r="E24" s="1277"/>
      <c r="F24" s="521">
        <f t="shared" si="1"/>
        <v>0</v>
      </c>
      <c r="G24" s="531"/>
      <c r="H24" s="741"/>
    </row>
    <row r="25" spans="2:8" x14ac:dyDescent="0.25">
      <c r="B25" s="1275"/>
      <c r="C25" s="1497"/>
      <c r="D25" s="521">
        <f t="shared" si="0"/>
        <v>0</v>
      </c>
      <c r="E25" s="1277"/>
      <c r="F25" s="521">
        <f t="shared" si="1"/>
        <v>0</v>
      </c>
      <c r="G25" s="531"/>
      <c r="H25" s="741"/>
    </row>
    <row r="26" spans="2:8" x14ac:dyDescent="0.25">
      <c r="B26" s="1275"/>
      <c r="C26" s="1497"/>
      <c r="D26" s="521">
        <f t="shared" si="0"/>
        <v>0</v>
      </c>
      <c r="E26" s="1277"/>
      <c r="F26" s="521">
        <f t="shared" si="1"/>
        <v>0</v>
      </c>
      <c r="G26" s="531"/>
      <c r="H26" s="741"/>
    </row>
    <row r="27" spans="2:8" x14ac:dyDescent="0.25">
      <c r="B27" s="1275"/>
      <c r="C27" s="1500"/>
      <c r="D27" s="521">
        <f t="shared" si="0"/>
        <v>0</v>
      </c>
      <c r="E27" s="1277"/>
      <c r="F27" s="521">
        <f t="shared" si="1"/>
        <v>0</v>
      </c>
      <c r="G27" s="531"/>
      <c r="H27" s="741"/>
    </row>
    <row r="28" spans="2:8" x14ac:dyDescent="0.25">
      <c r="B28" s="1275"/>
      <c r="C28" s="1500"/>
      <c r="D28" s="521">
        <f t="shared" si="0"/>
        <v>0</v>
      </c>
      <c r="E28" s="983"/>
      <c r="F28" s="521">
        <f t="shared" si="1"/>
        <v>0</v>
      </c>
      <c r="G28" s="531"/>
      <c r="H28" s="741"/>
    </row>
    <row r="29" spans="2:8" x14ac:dyDescent="0.25">
      <c r="B29" s="1275"/>
      <c r="C29" s="1500"/>
      <c r="D29" s="521">
        <f t="shared" si="0"/>
        <v>0</v>
      </c>
      <c r="E29" s="983"/>
      <c r="F29" s="521">
        <f t="shared" si="1"/>
        <v>0</v>
      </c>
      <c r="G29" s="531"/>
      <c r="H29" s="741"/>
    </row>
    <row r="30" spans="2:8" x14ac:dyDescent="0.25">
      <c r="B30" s="901"/>
      <c r="C30" s="985"/>
      <c r="D30" s="521">
        <f t="shared" si="0"/>
        <v>0</v>
      </c>
      <c r="E30" s="982"/>
      <c r="F30" s="521">
        <f t="shared" si="1"/>
        <v>0</v>
      </c>
      <c r="G30" s="531"/>
      <c r="H30" s="741"/>
    </row>
    <row r="31" spans="2:8" x14ac:dyDescent="0.25">
      <c r="B31" s="901"/>
      <c r="C31" s="985"/>
      <c r="D31" s="521">
        <f t="shared" si="0"/>
        <v>0</v>
      </c>
      <c r="E31" s="982"/>
      <c r="F31" s="521">
        <f t="shared" si="1"/>
        <v>0</v>
      </c>
      <c r="G31" s="531"/>
      <c r="H31" s="741"/>
    </row>
    <row r="32" spans="2:8" x14ac:dyDescent="0.25">
      <c r="B32" s="901"/>
      <c r="C32" s="985"/>
      <c r="D32" s="521">
        <f t="shared" si="0"/>
        <v>0</v>
      </c>
      <c r="E32" s="982"/>
      <c r="F32" s="521">
        <f t="shared" si="1"/>
        <v>0</v>
      </c>
      <c r="G32" s="531"/>
      <c r="H32" s="741"/>
    </row>
    <row r="33" spans="2:8" x14ac:dyDescent="0.25">
      <c r="B33" s="901"/>
      <c r="C33" s="985"/>
      <c r="D33" s="521">
        <f t="shared" si="0"/>
        <v>0</v>
      </c>
      <c r="E33" s="982"/>
      <c r="F33" s="521">
        <f t="shared" si="1"/>
        <v>0</v>
      </c>
      <c r="G33" s="531"/>
      <c r="H33" s="741"/>
    </row>
    <row r="34" spans="2:8" x14ac:dyDescent="0.25">
      <c r="B34" s="901"/>
      <c r="C34" s="985"/>
      <c r="D34" s="521">
        <f t="shared" si="0"/>
        <v>0</v>
      </c>
      <c r="E34" s="982"/>
      <c r="F34" s="521">
        <f t="shared" si="1"/>
        <v>0</v>
      </c>
      <c r="G34" s="531"/>
      <c r="H34" s="741"/>
    </row>
    <row r="35" spans="2:8" ht="13" thickBot="1" x14ac:dyDescent="0.3">
      <c r="B35" s="902"/>
      <c r="C35" s="986"/>
      <c r="D35" s="521">
        <f t="shared" si="0"/>
        <v>0</v>
      </c>
      <c r="E35" s="984"/>
      <c r="F35" s="521">
        <f t="shared" si="1"/>
        <v>0</v>
      </c>
      <c r="G35" s="532"/>
      <c r="H35" s="742"/>
    </row>
    <row r="36" spans="2:8" ht="13" thickBot="1" x14ac:dyDescent="0.3">
      <c r="B36" s="519"/>
      <c r="C36" s="899">
        <f>SUM(C16:C35)</f>
        <v>81346592</v>
      </c>
      <c r="D36" s="473">
        <f>SUM(D16:D35)</f>
        <v>105336866.40913536</v>
      </c>
      <c r="E36" s="522"/>
      <c r="F36" s="473">
        <f>SUM(F16:F35)</f>
        <v>202246783.50553989</v>
      </c>
      <c r="G36" s="352"/>
      <c r="H36" s="525"/>
    </row>
    <row r="37" spans="2:8" ht="13" thickTop="1" x14ac:dyDescent="0.25">
      <c r="C37" s="900"/>
    </row>
  </sheetData>
  <mergeCells count="7">
    <mergeCell ref="D11:H11"/>
    <mergeCell ref="D12:H12"/>
    <mergeCell ref="D8:H8"/>
    <mergeCell ref="F2:H4"/>
    <mergeCell ref="D7:H7"/>
    <mergeCell ref="D9:H9"/>
    <mergeCell ref="D10:H10"/>
  </mergeCells>
  <phoneticPr fontId="2" type="noConversion"/>
  <dataValidations count="1">
    <dataValidation type="whole" allowBlank="1" showInputMessage="1" showErrorMessage="1" sqref="C10" xr:uid="{00000000-0002-0000-0500-000000000000}">
      <formula1>1992</formula1>
      <formula2>2016</formula2>
    </dataValidation>
  </dataValidations>
  <pageMargins left="0.75" right="0.75" top="1" bottom="1" header="0.5" footer="0.5"/>
  <pageSetup scale="66" orientation="landscape" r:id="rId1"/>
  <headerFooter alignWithMargins="0">
    <oddHeader>&amp;LCentral Biomass Gasification - Current Timeframe&amp;R&amp;D</oddHeader>
    <oddFooter>&amp;CPage 5 of 7</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tabColor indexed="50"/>
    <pageSetUpPr fitToPage="1"/>
  </sheetPr>
  <dimension ref="B1:K28"/>
  <sheetViews>
    <sheetView workbookViewId="0"/>
  </sheetViews>
  <sheetFormatPr defaultColWidth="9.1796875" defaultRowHeight="12.5" x14ac:dyDescent="0.25"/>
  <cols>
    <col min="1" max="1" width="9.1796875" style="214"/>
    <col min="2" max="2" width="50.7265625" style="214" customWidth="1"/>
    <col min="3" max="3" width="19.7265625" style="214" customWidth="1"/>
    <col min="4" max="4" width="17" style="214" customWidth="1"/>
    <col min="5" max="7" width="18.7265625" style="214" customWidth="1"/>
    <col min="8" max="8" width="16.453125" style="214" customWidth="1"/>
    <col min="9" max="9" width="38" style="214" customWidth="1"/>
    <col min="10" max="10" width="40.1796875" style="214" customWidth="1"/>
    <col min="11" max="11" width="27.1796875" style="214" customWidth="1"/>
    <col min="12" max="16384" width="9.1796875" style="214"/>
  </cols>
  <sheetData>
    <row r="1" spans="2:11" ht="13" thickBot="1" x14ac:dyDescent="0.3">
      <c r="B1" s="214" t="s">
        <v>321</v>
      </c>
    </row>
    <row r="2" spans="2:11" ht="19" thickTop="1" thickBot="1" x14ac:dyDescent="0.45">
      <c r="B2" s="762" t="s">
        <v>849</v>
      </c>
      <c r="C2" s="763"/>
      <c r="D2" s="763"/>
      <c r="E2" s="763"/>
      <c r="F2" s="763"/>
      <c r="G2" s="763"/>
      <c r="H2" s="763"/>
      <c r="I2" s="763"/>
      <c r="J2" s="763"/>
      <c r="K2" s="764"/>
    </row>
    <row r="3" spans="2:11" ht="24" customHeight="1" thickBot="1" x14ac:dyDescent="0.3">
      <c r="B3" s="765" t="s">
        <v>673</v>
      </c>
      <c r="C3" s="766">
        <f>Baseline_Design_Capacity</f>
        <v>379387</v>
      </c>
      <c r="D3" s="1578" t="s">
        <v>829</v>
      </c>
      <c r="E3" s="1578"/>
      <c r="F3" s="1578"/>
      <c r="G3" s="767"/>
      <c r="H3" s="767"/>
      <c r="I3" s="767"/>
      <c r="J3" s="767"/>
      <c r="K3" s="768"/>
    </row>
    <row r="4" spans="2:11" ht="29.25" customHeight="1" thickBot="1" x14ac:dyDescent="0.3">
      <c r="B4" s="765" t="s">
        <v>671</v>
      </c>
      <c r="C4" s="769">
        <f ca="1">design_cap/Baseline_Design_Capacity</f>
        <v>1</v>
      </c>
      <c r="D4" s="1579" t="s">
        <v>677</v>
      </c>
      <c r="E4" s="1579"/>
      <c r="F4" s="1579"/>
      <c r="G4" s="767"/>
      <c r="H4" s="767"/>
      <c r="I4" s="767"/>
      <c r="J4" s="767"/>
      <c r="K4" s="768"/>
    </row>
    <row r="5" spans="2:11" ht="29.25" customHeight="1" thickBot="1" x14ac:dyDescent="0.3">
      <c r="B5" s="765" t="s">
        <v>846</v>
      </c>
      <c r="C5" s="769">
        <f ca="1">$G$27/Det_direct_cap</f>
        <v>1</v>
      </c>
      <c r="D5" s="1579" t="s">
        <v>848</v>
      </c>
      <c r="E5" s="1579"/>
      <c r="F5" s="1579"/>
      <c r="G5" s="767"/>
      <c r="H5" s="767"/>
      <c r="I5" s="767"/>
      <c r="J5" s="767"/>
      <c r="K5" s="768"/>
    </row>
    <row r="6" spans="2:11" ht="29.25" customHeight="1" thickBot="1" x14ac:dyDescent="0.3">
      <c r="B6" s="765" t="s">
        <v>1064</v>
      </c>
      <c r="C6" s="771">
        <v>0.6</v>
      </c>
      <c r="D6" s="1579" t="s">
        <v>845</v>
      </c>
      <c r="E6" s="1579"/>
      <c r="F6" s="1579"/>
      <c r="G6" s="767"/>
      <c r="H6" s="767"/>
      <c r="I6" s="767"/>
      <c r="J6" s="767"/>
      <c r="K6" s="768"/>
    </row>
    <row r="7" spans="2:11" ht="41.25" customHeight="1" thickBot="1" x14ac:dyDescent="0.3">
      <c r="B7" s="765" t="s">
        <v>946</v>
      </c>
      <c r="C7" s="772">
        <v>235000</v>
      </c>
      <c r="D7" s="1580" t="s">
        <v>922</v>
      </c>
      <c r="E7" s="1581"/>
      <c r="F7" s="1581"/>
      <c r="G7" s="767"/>
      <c r="H7" s="767"/>
      <c r="I7" s="767"/>
      <c r="J7" s="767"/>
      <c r="K7" s="768"/>
    </row>
    <row r="8" spans="2:11" ht="42.75" customHeight="1" thickBot="1" x14ac:dyDescent="0.3">
      <c r="B8" s="765" t="s">
        <v>947</v>
      </c>
      <c r="C8" s="772">
        <v>425000</v>
      </c>
      <c r="D8" s="1576" t="s">
        <v>921</v>
      </c>
      <c r="E8" s="1577"/>
      <c r="F8" s="1577"/>
      <c r="G8" s="767"/>
      <c r="H8" s="767"/>
      <c r="I8" s="767"/>
      <c r="J8" s="767"/>
      <c r="K8" s="768"/>
    </row>
    <row r="9" spans="2:11" ht="15" customHeight="1" x14ac:dyDescent="0.25">
      <c r="B9" s="765"/>
      <c r="C9" s="773"/>
      <c r="D9" s="770"/>
      <c r="E9" s="770"/>
      <c r="F9" s="770"/>
      <c r="G9" s="767"/>
      <c r="H9" s="767"/>
      <c r="I9" s="767"/>
      <c r="J9" s="767"/>
      <c r="K9" s="768"/>
    </row>
    <row r="10" spans="2:11" x14ac:dyDescent="0.25">
      <c r="B10" s="774"/>
      <c r="C10" s="767"/>
      <c r="D10" s="767"/>
      <c r="E10" s="767"/>
      <c r="F10" s="767"/>
      <c r="G10" s="767"/>
      <c r="H10" s="767"/>
      <c r="I10" s="767"/>
      <c r="J10" s="767"/>
      <c r="K10" s="768"/>
    </row>
    <row r="11" spans="2:11" ht="16" thickBot="1" x14ac:dyDescent="0.4">
      <c r="B11" s="489" t="str">
        <f xml:space="preserve"> "CAPITAL INVESTMENT (Inputs REQUIRED in Reference Year, (" &amp; ref_year &amp; ") $)"</f>
        <v>CAPITAL INVESTMENT (Inputs REQUIRED in Reference Year, (2016) $)</v>
      </c>
      <c r="C11" s="490"/>
      <c r="D11" s="490"/>
      <c r="E11" s="490"/>
      <c r="F11" s="490"/>
      <c r="G11" s="491"/>
      <c r="H11" s="491"/>
      <c r="I11" s="491"/>
      <c r="J11" s="492"/>
      <c r="K11" s="775"/>
    </row>
    <row r="12" spans="2:11" ht="27.5" thickTop="1" thickBot="1" x14ac:dyDescent="0.4">
      <c r="B12" s="517" t="s">
        <v>667</v>
      </c>
      <c r="C12" s="518" t="s">
        <v>675</v>
      </c>
      <c r="D12" s="518" t="s">
        <v>669</v>
      </c>
      <c r="E12" s="518" t="s">
        <v>676</v>
      </c>
      <c r="F12" s="518" t="s">
        <v>668</v>
      </c>
      <c r="G12" s="518" t="s">
        <v>847</v>
      </c>
      <c r="H12" s="518" t="s">
        <v>1063</v>
      </c>
      <c r="I12" s="518" t="s">
        <v>1030</v>
      </c>
      <c r="J12" s="523" t="s">
        <v>670</v>
      </c>
    </row>
    <row r="13" spans="2:11" x14ac:dyDescent="0.25">
      <c r="B13" s="757" t="str">
        <f>'Capital Costs'!B16</f>
        <v>Process Plant Equipment (Reformer)</v>
      </c>
      <c r="C13" s="745">
        <f>'Capital Costs'!D16</f>
        <v>64706593.769150347</v>
      </c>
      <c r="D13" s="744"/>
      <c r="E13" s="745">
        <f ca="1">IF($D13="",$C13*Scale_Ratio^Scaling_Factor_Exponent,$C13*Scale_Ratio^$D13)</f>
        <v>64706593.769150347</v>
      </c>
      <c r="F13" s="759">
        <f>'Capital Costs'!E16</f>
        <v>1.92</v>
      </c>
      <c r="G13" s="746">
        <f ca="1">$E13*$F13</f>
        <v>124236660.03676866</v>
      </c>
      <c r="H13" s="745">
        <f>C13*F13</f>
        <v>124236660.03676866</v>
      </c>
      <c r="I13" s="747"/>
      <c r="J13" s="526"/>
    </row>
    <row r="14" spans="2:11" x14ac:dyDescent="0.25">
      <c r="B14" s="758" t="str">
        <f>'Capital Costs'!B17</f>
        <v>Balance of Plant and Offsites</v>
      </c>
      <c r="C14" s="749">
        <f>'Capital Costs'!D17</f>
        <v>25852512.36206688</v>
      </c>
      <c r="D14" s="748"/>
      <c r="E14" s="749">
        <f t="shared" ref="E14:E26" ca="1" si="0">IF($D14="",$C14*Scale_Ratio^Scaling_Factor_Exponent,$C14*Scale_Ratio^$D14)</f>
        <v>25852512.36206688</v>
      </c>
      <c r="F14" s="760">
        <f>'Capital Costs'!E17</f>
        <v>1.92</v>
      </c>
      <c r="G14" s="750">
        <f t="shared" ref="G14:G26" ca="1" si="1">$E14*$F14</f>
        <v>49636823.735168405</v>
      </c>
      <c r="H14" s="749">
        <f t="shared" ref="H14:H26" si="2">C14*F14</f>
        <v>49636823.735168405</v>
      </c>
      <c r="I14" s="751"/>
      <c r="J14" s="527"/>
    </row>
    <row r="15" spans="2:11" x14ac:dyDescent="0.25">
      <c r="B15" s="758" t="str">
        <f>'Capital Costs'!B18</f>
        <v>Process CO2 Removal</v>
      </c>
      <c r="C15" s="749">
        <f>'Capital Costs'!D18</f>
        <v>7863289.4793858109</v>
      </c>
      <c r="D15" s="748"/>
      <c r="E15" s="749">
        <f t="shared" ca="1" si="0"/>
        <v>7863289.4793858109</v>
      </c>
      <c r="F15" s="760">
        <f>'Capital Costs'!E18</f>
        <v>1.92</v>
      </c>
      <c r="G15" s="750">
        <f t="shared" ca="1" si="1"/>
        <v>15097515.800420756</v>
      </c>
      <c r="H15" s="749">
        <f t="shared" si="2"/>
        <v>15097515.800420756</v>
      </c>
      <c r="I15" s="751"/>
      <c r="J15" s="527"/>
    </row>
    <row r="16" spans="2:11" x14ac:dyDescent="0.25">
      <c r="B16" s="758" t="str">
        <f>'Capital Costs'!B19</f>
        <v>Stack CO2 Removal</v>
      </c>
      <c r="C16" s="749">
        <f>'Capital Costs'!D19</f>
        <v>6914470.7985323276</v>
      </c>
      <c r="D16" s="748"/>
      <c r="E16" s="749">
        <f t="shared" ca="1" si="0"/>
        <v>6914470.7985323276</v>
      </c>
      <c r="F16" s="760">
        <f>'Capital Costs'!E19</f>
        <v>1.92</v>
      </c>
      <c r="G16" s="750">
        <f t="shared" ca="1" si="1"/>
        <v>13275783.933182068</v>
      </c>
      <c r="H16" s="749">
        <f t="shared" si="2"/>
        <v>13275783.933182068</v>
      </c>
      <c r="I16" s="751"/>
      <c r="J16" s="527"/>
    </row>
    <row r="17" spans="2:10" x14ac:dyDescent="0.25">
      <c r="B17" s="758">
        <f>'Capital Costs'!B20</f>
        <v>0</v>
      </c>
      <c r="C17" s="749">
        <f>'Capital Costs'!D20</f>
        <v>0</v>
      </c>
      <c r="D17" s="748"/>
      <c r="E17" s="749">
        <f t="shared" ca="1" si="0"/>
        <v>0</v>
      </c>
      <c r="F17" s="760">
        <f>'Capital Costs'!E20</f>
        <v>0</v>
      </c>
      <c r="G17" s="750">
        <f t="shared" ca="1" si="1"/>
        <v>0</v>
      </c>
      <c r="H17" s="749">
        <f t="shared" si="2"/>
        <v>0</v>
      </c>
      <c r="I17" s="751"/>
      <c r="J17" s="527"/>
    </row>
    <row r="18" spans="2:10" x14ac:dyDescent="0.25">
      <c r="B18" s="758">
        <f>'Capital Costs'!B21</f>
        <v>0</v>
      </c>
      <c r="C18" s="749">
        <f>'Capital Costs'!D21</f>
        <v>0</v>
      </c>
      <c r="D18" s="748"/>
      <c r="E18" s="749">
        <f t="shared" ca="1" si="0"/>
        <v>0</v>
      </c>
      <c r="F18" s="760">
        <f>'Capital Costs'!E21</f>
        <v>0</v>
      </c>
      <c r="G18" s="750">
        <f t="shared" ca="1" si="1"/>
        <v>0</v>
      </c>
      <c r="H18" s="749">
        <f t="shared" si="2"/>
        <v>0</v>
      </c>
      <c r="I18" s="751"/>
      <c r="J18" s="527"/>
    </row>
    <row r="19" spans="2:10" x14ac:dyDescent="0.25">
      <c r="B19" s="758">
        <f>'Capital Costs'!B22</f>
        <v>0</v>
      </c>
      <c r="C19" s="749">
        <f>'Capital Costs'!D22</f>
        <v>0</v>
      </c>
      <c r="D19" s="748"/>
      <c r="E19" s="749">
        <f t="shared" ca="1" si="0"/>
        <v>0</v>
      </c>
      <c r="F19" s="760">
        <f>'Capital Costs'!E22</f>
        <v>0</v>
      </c>
      <c r="G19" s="750">
        <f t="shared" ca="1" si="1"/>
        <v>0</v>
      </c>
      <c r="H19" s="749">
        <f t="shared" si="2"/>
        <v>0</v>
      </c>
      <c r="I19" s="751"/>
      <c r="J19" s="527"/>
    </row>
    <row r="20" spans="2:10" x14ac:dyDescent="0.25">
      <c r="B20" s="758">
        <f>'Capital Costs'!B23</f>
        <v>0</v>
      </c>
      <c r="C20" s="749">
        <f>'Capital Costs'!D23</f>
        <v>0</v>
      </c>
      <c r="D20" s="748"/>
      <c r="E20" s="749">
        <f t="shared" ca="1" si="0"/>
        <v>0</v>
      </c>
      <c r="F20" s="760">
        <f>'Capital Costs'!E23</f>
        <v>0</v>
      </c>
      <c r="G20" s="750">
        <f t="shared" ca="1" si="1"/>
        <v>0</v>
      </c>
      <c r="H20" s="749">
        <f t="shared" si="2"/>
        <v>0</v>
      </c>
      <c r="I20" s="751"/>
      <c r="J20" s="527"/>
    </row>
    <row r="21" spans="2:10" x14ac:dyDescent="0.25">
      <c r="B21" s="758">
        <f>'Capital Costs'!B24</f>
        <v>0</v>
      </c>
      <c r="C21" s="749">
        <f>'Capital Costs'!D24</f>
        <v>0</v>
      </c>
      <c r="D21" s="748"/>
      <c r="E21" s="749">
        <f t="shared" ca="1" si="0"/>
        <v>0</v>
      </c>
      <c r="F21" s="760">
        <f>'Capital Costs'!E24</f>
        <v>0</v>
      </c>
      <c r="G21" s="750">
        <f t="shared" ca="1" si="1"/>
        <v>0</v>
      </c>
      <c r="H21" s="749">
        <f t="shared" si="2"/>
        <v>0</v>
      </c>
      <c r="I21" s="751"/>
      <c r="J21" s="527"/>
    </row>
    <row r="22" spans="2:10" x14ac:dyDescent="0.25">
      <c r="B22" s="758">
        <f>'Capital Costs'!B25</f>
        <v>0</v>
      </c>
      <c r="C22" s="749">
        <f>'Capital Costs'!D25</f>
        <v>0</v>
      </c>
      <c r="D22" s="748"/>
      <c r="E22" s="749">
        <f t="shared" ca="1" si="0"/>
        <v>0</v>
      </c>
      <c r="F22" s="760">
        <f>'Capital Costs'!E25</f>
        <v>0</v>
      </c>
      <c r="G22" s="750">
        <f t="shared" ca="1" si="1"/>
        <v>0</v>
      </c>
      <c r="H22" s="749">
        <f t="shared" si="2"/>
        <v>0</v>
      </c>
      <c r="I22" s="751"/>
      <c r="J22" s="527"/>
    </row>
    <row r="23" spans="2:10" x14ac:dyDescent="0.25">
      <c r="B23" s="758">
        <f>'Capital Costs'!B26</f>
        <v>0</v>
      </c>
      <c r="C23" s="749">
        <f>'Capital Costs'!D26</f>
        <v>0</v>
      </c>
      <c r="D23" s="748"/>
      <c r="E23" s="749">
        <f t="shared" ca="1" si="0"/>
        <v>0</v>
      </c>
      <c r="F23" s="760">
        <f>'Capital Costs'!E26</f>
        <v>0</v>
      </c>
      <c r="G23" s="750">
        <f t="shared" ca="1" si="1"/>
        <v>0</v>
      </c>
      <c r="H23" s="749">
        <f t="shared" si="2"/>
        <v>0</v>
      </c>
      <c r="I23" s="751"/>
      <c r="J23" s="527"/>
    </row>
    <row r="24" spans="2:10" ht="13" x14ac:dyDescent="0.3">
      <c r="B24" s="758">
        <f>'Capital Costs'!B27</f>
        <v>0</v>
      </c>
      <c r="C24" s="749">
        <f>'Capital Costs'!D27</f>
        <v>0</v>
      </c>
      <c r="D24" s="752"/>
      <c r="E24" s="749">
        <f t="shared" ca="1" si="0"/>
        <v>0</v>
      </c>
      <c r="F24" s="760">
        <f>'Capital Costs'!E27</f>
        <v>0</v>
      </c>
      <c r="G24" s="750">
        <f t="shared" ca="1" si="1"/>
        <v>0</v>
      </c>
      <c r="H24" s="749">
        <f t="shared" si="2"/>
        <v>0</v>
      </c>
      <c r="I24" s="751"/>
      <c r="J24" s="527"/>
    </row>
    <row r="25" spans="2:10" ht="13" x14ac:dyDescent="0.3">
      <c r="B25" s="758">
        <f>'Capital Costs'!B28</f>
        <v>0</v>
      </c>
      <c r="C25" s="749">
        <f>'Capital Costs'!D28</f>
        <v>0</v>
      </c>
      <c r="D25" s="752"/>
      <c r="E25" s="749">
        <f t="shared" ca="1" si="0"/>
        <v>0</v>
      </c>
      <c r="F25" s="760">
        <f>'Capital Costs'!E28</f>
        <v>0</v>
      </c>
      <c r="G25" s="750">
        <f t="shared" ca="1" si="1"/>
        <v>0</v>
      </c>
      <c r="H25" s="749">
        <f t="shared" si="2"/>
        <v>0</v>
      </c>
      <c r="I25" s="751"/>
      <c r="J25" s="527"/>
    </row>
    <row r="26" spans="2:10" ht="13.5" thickBot="1" x14ac:dyDescent="0.35">
      <c r="B26" s="758">
        <f>'Capital Costs'!B29</f>
        <v>0</v>
      </c>
      <c r="C26" s="749">
        <f>'Capital Costs'!D29</f>
        <v>0</v>
      </c>
      <c r="D26" s="753"/>
      <c r="E26" s="754">
        <f t="shared" ca="1" si="0"/>
        <v>0</v>
      </c>
      <c r="F26" s="760">
        <f>'Capital Costs'!E29</f>
        <v>0</v>
      </c>
      <c r="G26" s="755">
        <f t="shared" ca="1" si="1"/>
        <v>0</v>
      </c>
      <c r="H26" s="754">
        <f t="shared" si="2"/>
        <v>0</v>
      </c>
      <c r="I26" s="756"/>
      <c r="J26" s="528"/>
    </row>
    <row r="27" spans="2:10" ht="13.5" thickBot="1" x14ac:dyDescent="0.35">
      <c r="B27" s="519" t="s">
        <v>672</v>
      </c>
      <c r="C27" s="520">
        <f>SUM(C13:C26)</f>
        <v>105336866.40913536</v>
      </c>
      <c r="D27" s="524"/>
      <c r="E27" s="520">
        <f ca="1">SUM(E13:E26)</f>
        <v>105336866.40913536</v>
      </c>
      <c r="F27" s="522"/>
      <c r="G27" s="743">
        <f ca="1">SUM(G13:G26)</f>
        <v>202246783.50553989</v>
      </c>
      <c r="H27" s="761">
        <f>SUM(H13:H26)</f>
        <v>202246783.50553989</v>
      </c>
      <c r="I27" s="352"/>
      <c r="J27" s="525"/>
    </row>
    <row r="28" spans="2:10" ht="13" thickTop="1" x14ac:dyDescent="0.25"/>
  </sheetData>
  <mergeCells count="6">
    <mergeCell ref="D8:F8"/>
    <mergeCell ref="D3:F3"/>
    <mergeCell ref="D5:F5"/>
    <mergeCell ref="D4:F4"/>
    <mergeCell ref="D7:F7"/>
    <mergeCell ref="D6:F6"/>
  </mergeCells>
  <phoneticPr fontId="2" type="noConversion"/>
  <hyperlinks>
    <hyperlink ref="D8" r:id="rId1" xr:uid="{00000000-0004-0000-0600-000000000000}"/>
    <hyperlink ref="D7" r:id="rId2" xr:uid="{00000000-0004-0000-0600-000001000000}"/>
  </hyperlinks>
  <pageMargins left="0.75" right="0.75" top="1" bottom="1" header="0.5" footer="0.5"/>
  <pageSetup scale="68" fitToWidth="2" orientation="landscape" r:id="rId3"/>
  <headerFooter alignWithMargins="0">
    <oddHeader>&amp;L&amp;F</oddHeader>
  </headerFooter>
  <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indexed="50"/>
  </sheetPr>
  <dimension ref="A1:N111"/>
  <sheetViews>
    <sheetView workbookViewId="0"/>
  </sheetViews>
  <sheetFormatPr defaultColWidth="9.1796875" defaultRowHeight="12.5" x14ac:dyDescent="0.25"/>
  <cols>
    <col min="1" max="1" width="7.54296875" style="29" customWidth="1"/>
    <col min="2" max="2" width="72.26953125" style="29" customWidth="1"/>
    <col min="3" max="3" width="15.81640625" style="29" customWidth="1"/>
    <col min="4" max="4" width="19.453125" style="29" customWidth="1"/>
    <col min="5" max="5" width="12.1796875" style="29" customWidth="1"/>
    <col min="6" max="6" width="15.81640625" style="29" customWidth="1"/>
    <col min="7" max="7" width="14.7265625" style="29" customWidth="1"/>
    <col min="8" max="8" width="17" style="29" customWidth="1"/>
    <col min="9" max="9" width="17.26953125" style="29" customWidth="1"/>
    <col min="10" max="10" width="23.453125" style="29" customWidth="1"/>
    <col min="11" max="11" width="16.1796875" style="29" customWidth="1"/>
    <col min="12" max="12" width="11.54296875" style="29" bestFit="1" customWidth="1"/>
    <col min="13" max="13" width="12.7265625" style="29" bestFit="1" customWidth="1"/>
    <col min="14" max="14" width="11.54296875" style="29" bestFit="1" customWidth="1"/>
    <col min="15" max="16384" width="9.1796875" style="29"/>
  </cols>
  <sheetData>
    <row r="1" spans="1:10" x14ac:dyDescent="0.25">
      <c r="A1" s="1296" t="s">
        <v>1288</v>
      </c>
    </row>
    <row r="2" spans="1:10" ht="22" x14ac:dyDescent="0.25">
      <c r="B2" s="823" t="s">
        <v>400</v>
      </c>
    </row>
    <row r="4" spans="1:10" ht="14" x14ac:dyDescent="0.25">
      <c r="B4" s="1600" t="s">
        <v>390</v>
      </c>
      <c r="C4" s="1600"/>
      <c r="D4" s="1600"/>
      <c r="E4" s="1600"/>
      <c r="F4" s="1600"/>
      <c r="G4" s="1600"/>
      <c r="H4" s="1600"/>
      <c r="I4" s="1600"/>
      <c r="J4" s="1600"/>
    </row>
    <row r="5" spans="1:10" ht="67.5" customHeight="1" x14ac:dyDescent="0.25">
      <c r="B5" s="1601" t="s">
        <v>410</v>
      </c>
      <c r="C5" s="1602"/>
      <c r="D5" s="1602"/>
      <c r="E5" s="1602"/>
      <c r="F5" s="1602"/>
      <c r="G5" s="1602"/>
      <c r="H5" s="1602"/>
      <c r="I5" s="1602"/>
      <c r="J5" s="1602"/>
    </row>
    <row r="6" spans="1:10" x14ac:dyDescent="0.25">
      <c r="B6" s="777"/>
      <c r="C6" s="777"/>
      <c r="D6" s="777"/>
      <c r="E6" s="777"/>
      <c r="F6" s="777"/>
      <c r="G6" s="777"/>
      <c r="H6" s="777"/>
      <c r="I6" s="777"/>
      <c r="J6" s="777"/>
    </row>
    <row r="7" spans="1:10" ht="22" x14ac:dyDescent="0.25">
      <c r="B7" s="824" t="s">
        <v>1067</v>
      </c>
      <c r="C7" s="777"/>
      <c r="D7" s="777"/>
      <c r="E7" s="777"/>
      <c r="F7" s="777"/>
      <c r="G7" s="777"/>
      <c r="H7" s="777"/>
      <c r="I7" s="777"/>
      <c r="J7" s="777"/>
    </row>
    <row r="8" spans="1:10" ht="15.5" x14ac:dyDescent="0.25">
      <c r="B8" s="825" t="s">
        <v>233</v>
      </c>
      <c r="C8" s="777"/>
      <c r="D8" s="777"/>
      <c r="E8" s="777"/>
      <c r="F8" s="777"/>
      <c r="G8" s="777"/>
      <c r="H8" s="777"/>
      <c r="I8" s="777"/>
      <c r="J8" s="777"/>
    </row>
    <row r="9" spans="1:10" x14ac:dyDescent="0.25">
      <c r="B9" s="777"/>
      <c r="C9" s="777"/>
      <c r="D9" s="777"/>
      <c r="E9" s="777"/>
      <c r="F9" s="777"/>
      <c r="G9" s="777"/>
      <c r="H9" s="777"/>
      <c r="I9" s="777"/>
      <c r="J9" s="777"/>
    </row>
    <row r="10" spans="1:10" x14ac:dyDescent="0.25">
      <c r="B10" s="777"/>
      <c r="C10" s="777"/>
      <c r="D10" s="777"/>
      <c r="E10" s="777"/>
      <c r="F10" s="777"/>
      <c r="G10" s="777"/>
      <c r="H10" s="777"/>
      <c r="I10" s="777"/>
      <c r="J10" s="777"/>
    </row>
    <row r="11" spans="1:10" ht="15.5" x14ac:dyDescent="0.25">
      <c r="B11" s="825" t="s">
        <v>234</v>
      </c>
      <c r="C11" s="777"/>
      <c r="D11" s="777"/>
      <c r="E11" s="777"/>
      <c r="F11" s="777"/>
      <c r="G11" s="777"/>
      <c r="H11" s="777"/>
      <c r="I11" s="777"/>
      <c r="J11" s="777"/>
    </row>
    <row r="12" spans="1:10" x14ac:dyDescent="0.25">
      <c r="B12" s="777"/>
      <c r="C12" s="777"/>
      <c r="D12" s="777"/>
      <c r="E12" s="777"/>
      <c r="F12" s="777"/>
      <c r="G12" s="777"/>
      <c r="H12" s="777"/>
      <c r="I12" s="777"/>
      <c r="J12" s="777"/>
    </row>
    <row r="13" spans="1:10" x14ac:dyDescent="0.25">
      <c r="B13" s="777"/>
      <c r="C13" s="777"/>
      <c r="D13" s="777"/>
      <c r="E13" s="777"/>
      <c r="F13" s="777"/>
      <c r="G13" s="777"/>
      <c r="H13" s="777"/>
      <c r="I13" s="777"/>
      <c r="J13" s="777"/>
    </row>
    <row r="14" spans="1:10" x14ac:dyDescent="0.25">
      <c r="B14" s="777"/>
      <c r="C14" s="777"/>
      <c r="D14" s="777"/>
      <c r="E14" s="777"/>
      <c r="F14" s="777"/>
      <c r="G14" s="777"/>
      <c r="H14" s="777"/>
      <c r="I14" s="777"/>
      <c r="J14" s="777"/>
    </row>
    <row r="15" spans="1:10" ht="14" x14ac:dyDescent="0.25">
      <c r="B15" s="827" t="s">
        <v>412</v>
      </c>
      <c r="C15" s="777"/>
      <c r="D15" s="777"/>
      <c r="E15" s="777"/>
      <c r="F15" s="777"/>
      <c r="G15" s="777"/>
      <c r="H15" s="777"/>
      <c r="I15" s="777"/>
      <c r="J15" s="777"/>
    </row>
    <row r="16" spans="1:10" ht="14" x14ac:dyDescent="0.25">
      <c r="B16" s="827" t="s">
        <v>425</v>
      </c>
      <c r="C16" s="777"/>
      <c r="D16" s="777"/>
      <c r="E16" s="777"/>
      <c r="F16" s="777"/>
      <c r="G16" s="777"/>
      <c r="H16" s="777"/>
      <c r="I16" s="777"/>
      <c r="J16" s="777"/>
    </row>
    <row r="17" spans="2:14" ht="14" x14ac:dyDescent="0.25">
      <c r="B17" s="827" t="s">
        <v>433</v>
      </c>
      <c r="C17" s="777"/>
      <c r="D17" s="777"/>
      <c r="E17" s="777"/>
      <c r="F17" s="777"/>
      <c r="G17" s="777"/>
      <c r="H17" s="777"/>
      <c r="I17" s="777"/>
      <c r="J17" s="777"/>
    </row>
    <row r="18" spans="2:14" ht="15.5" x14ac:dyDescent="0.25">
      <c r="B18" s="826"/>
    </row>
    <row r="19" spans="2:14" ht="13" thickBot="1" x14ac:dyDescent="0.3"/>
    <row r="20" spans="2:14" ht="44.25" customHeight="1" thickTop="1" x14ac:dyDescent="0.25">
      <c r="B20" s="1348" t="s">
        <v>411</v>
      </c>
      <c r="C20" s="1349"/>
      <c r="D20" s="1350"/>
      <c r="E20" s="1350"/>
      <c r="F20" s="1351"/>
      <c r="H20" s="1607" t="s">
        <v>819</v>
      </c>
      <c r="I20" s="1608"/>
      <c r="J20" s="1608"/>
      <c r="K20" s="1609"/>
    </row>
    <row r="21" spans="2:14" ht="39" customHeight="1" x14ac:dyDescent="0.25">
      <c r="B21" s="559" t="s">
        <v>955</v>
      </c>
      <c r="C21" s="564">
        <f ca="1">Feed_CO2_MTpY</f>
        <v>1153600</v>
      </c>
      <c r="D21" s="1610" t="s">
        <v>413</v>
      </c>
      <c r="E21" s="1610"/>
      <c r="F21" s="1611"/>
      <c r="H21" s="1590" t="s">
        <v>83</v>
      </c>
      <c r="I21" s="1591"/>
      <c r="J21" s="1352"/>
      <c r="K21" s="1353"/>
    </row>
    <row r="22" spans="2:14" ht="14.25" customHeight="1" x14ac:dyDescent="0.25">
      <c r="B22" s="559" t="s">
        <v>954</v>
      </c>
      <c r="C22" s="565">
        <f ca="1">Feed_CO2_kgpkgH2</f>
        <v>9.2564958969142097</v>
      </c>
      <c r="D22" s="561"/>
      <c r="E22" s="561"/>
      <c r="F22" s="562"/>
      <c r="H22" s="1592" t="s">
        <v>428</v>
      </c>
      <c r="I22" s="1593"/>
      <c r="J22" s="1373">
        <f ca="1">SUM(C54:C57)</f>
        <v>50405887.856063202</v>
      </c>
      <c r="K22" s="1353"/>
    </row>
    <row r="23" spans="2:14" ht="14.25" customHeight="1" x14ac:dyDescent="0.25">
      <c r="B23" s="559" t="s">
        <v>429</v>
      </c>
      <c r="C23" s="1313">
        <f ca="1">Feed_CO2_MTpY/365*CO2_Capture_Efficiency</f>
        <v>2844.4931506849316</v>
      </c>
      <c r="D23" s="561"/>
      <c r="E23" s="561"/>
      <c r="F23" s="562"/>
      <c r="H23" s="1592" t="s">
        <v>1233</v>
      </c>
      <c r="I23" s="1593"/>
      <c r="J23" s="1373">
        <f ca="1">C71</f>
        <v>1158867.1013591299</v>
      </c>
      <c r="K23" s="1353"/>
      <c r="N23" s="1296"/>
    </row>
    <row r="24" spans="2:14" ht="14.25" customHeight="1" x14ac:dyDescent="0.25">
      <c r="B24" s="559" t="s">
        <v>1286</v>
      </c>
      <c r="C24" s="1307">
        <f ca="1">CO2_flowrate*365/1000000</f>
        <v>1.0382400000000001</v>
      </c>
      <c r="D24" s="1309"/>
      <c r="E24" s="1309"/>
      <c r="F24" s="1299"/>
      <c r="H24" s="1592" t="s">
        <v>1236</v>
      </c>
      <c r="I24" s="1593"/>
      <c r="J24" s="1373">
        <f ca="1">SUM(C82:C83)</f>
        <v>556590.56771476509</v>
      </c>
      <c r="K24" s="1353"/>
      <c r="N24" s="1296"/>
    </row>
    <row r="25" spans="2:14" ht="14" x14ac:dyDescent="0.25">
      <c r="B25" s="597" t="s">
        <v>431</v>
      </c>
      <c r="C25" s="598">
        <f ca="1">HLOOKUP(startup_year,INDIRECT(TMP_PriceTable),MATCH("Industrial Electricity",INDIRECT(Energy_Feed_List),0),FALSE)*VLOOKUP("kWh",CC_feedconversion,2,FALSE)</f>
        <v>6.9980611257164108E-2</v>
      </c>
      <c r="D25" s="1612" t="s">
        <v>432</v>
      </c>
      <c r="E25" s="1612"/>
      <c r="F25" s="1613"/>
      <c r="H25" s="1616" t="s">
        <v>1238</v>
      </c>
      <c r="I25" s="1617"/>
      <c r="J25" s="1373">
        <f ca="1">SUM(C93:C95)</f>
        <v>85849826.932834446</v>
      </c>
      <c r="K25" s="1355"/>
      <c r="M25" s="1302"/>
    </row>
    <row r="26" spans="2:14" ht="14.5" thickBot="1" x14ac:dyDescent="0.3">
      <c r="B26" s="563" t="s">
        <v>999</v>
      </c>
      <c r="C26" s="566">
        <f ca="1">IF(C21=0,0,(pump_power)*cap_factor*24*365/output_kgyear)</f>
        <v>5.3094322433205741E-2</v>
      </c>
      <c r="D26" s="1603"/>
      <c r="E26" s="1603"/>
      <c r="F26" s="1604"/>
      <c r="H26" s="1614"/>
      <c r="I26" s="1615"/>
      <c r="J26" s="1376">
        <f ca="1">IF(CO2_Capture_Efficiency,SUM(J22:J25),0)</f>
        <v>137971172.45797154</v>
      </c>
      <c r="K26" s="1355" t="str">
        <f>"Total ("&amp;ref_year&amp;"$)"</f>
        <v>Total (2016$)</v>
      </c>
    </row>
    <row r="27" spans="2:14" ht="18.75" customHeight="1" thickTop="1" thickBot="1" x14ac:dyDescent="0.3">
      <c r="H27" s="1592" t="s">
        <v>1096</v>
      </c>
      <c r="I27" s="1593"/>
      <c r="J27" s="1373">
        <f ca="1">IFERROR(IF(CO2_inUse = "To Use Carbon Sequestration Click 'Link to Detail Sheet' in the Input Sheet Capital Cost Section",0,(J23+J24)/1.2+J25/1.5+J22),0)</f>
        <v>109068653.86884774</v>
      </c>
      <c r="K27" s="1353"/>
    </row>
    <row r="28" spans="2:14" ht="31.5" customHeight="1" thickTop="1" thickBot="1" x14ac:dyDescent="0.3">
      <c r="B28" s="1344" t="s">
        <v>412</v>
      </c>
      <c r="C28" s="1345"/>
      <c r="D28" s="1346"/>
      <c r="E28" s="1346"/>
      <c r="F28" s="1347"/>
      <c r="H28" s="1605"/>
      <c r="I28" s="1606"/>
      <c r="J28" s="1354"/>
      <c r="K28" s="1353"/>
    </row>
    <row r="29" spans="2:14" ht="14" x14ac:dyDescent="0.25">
      <c r="B29" s="1327" t="s">
        <v>1245</v>
      </c>
      <c r="C29" s="1325"/>
      <c r="D29" s="1326"/>
      <c r="E29" s="1326"/>
      <c r="F29" s="1328"/>
      <c r="H29" s="1356"/>
      <c r="I29" s="1357"/>
      <c r="J29" s="1354"/>
      <c r="K29" s="1353"/>
    </row>
    <row r="30" spans="2:14" ht="14" x14ac:dyDescent="0.25">
      <c r="B30" s="1329" t="s">
        <v>998</v>
      </c>
      <c r="C30" s="1380">
        <v>0.9</v>
      </c>
      <c r="D30" s="1314"/>
      <c r="E30" s="1582" t="s">
        <v>1287</v>
      </c>
      <c r="F30" s="1618"/>
      <c r="H30" s="1590" t="s">
        <v>817</v>
      </c>
      <c r="I30" s="1591"/>
      <c r="J30" s="1354"/>
      <c r="K30" s="1353"/>
    </row>
    <row r="31" spans="2:14" ht="27.65" customHeight="1" x14ac:dyDescent="0.25">
      <c r="B31" s="1329" t="s">
        <v>549</v>
      </c>
      <c r="C31" s="1342">
        <v>14.7</v>
      </c>
      <c r="D31" s="1314"/>
      <c r="E31" s="1624" t="s">
        <v>1242</v>
      </c>
      <c r="F31" s="1625"/>
      <c r="H31" s="1592" t="s">
        <v>426</v>
      </c>
      <c r="I31" s="1593"/>
      <c r="J31" s="1373">
        <f ca="1">C74</f>
        <v>463066.78801598208</v>
      </c>
      <c r="K31" s="1353"/>
    </row>
    <row r="32" spans="2:14" ht="28" x14ac:dyDescent="0.25">
      <c r="B32" s="1329" t="s">
        <v>1217</v>
      </c>
      <c r="C32" s="1315">
        <v>1</v>
      </c>
      <c r="D32" s="1314"/>
      <c r="E32" s="1582"/>
      <c r="F32" s="1583"/>
      <c r="H32" s="1374" t="s">
        <v>427</v>
      </c>
      <c r="I32" s="1375"/>
      <c r="J32" s="1373">
        <v>0</v>
      </c>
      <c r="K32" s="1353"/>
    </row>
    <row r="33" spans="2:11" ht="14" x14ac:dyDescent="0.25">
      <c r="B33" s="1329" t="s">
        <v>1216</v>
      </c>
      <c r="C33" s="1316">
        <v>0.75</v>
      </c>
      <c r="D33" s="1314"/>
      <c r="E33" s="1582"/>
      <c r="F33" s="1583"/>
      <c r="H33" s="1592" t="s">
        <v>428</v>
      </c>
      <c r="I33" s="1593"/>
      <c r="J33" s="1373">
        <v>0</v>
      </c>
      <c r="K33" s="1353"/>
    </row>
    <row r="34" spans="2:11" ht="14" x14ac:dyDescent="0.25">
      <c r="B34" s="1329" t="s">
        <v>1208</v>
      </c>
      <c r="C34" s="1317" t="s">
        <v>23</v>
      </c>
      <c r="D34" s="1314"/>
      <c r="E34" s="1582"/>
      <c r="F34" s="1583"/>
      <c r="H34" s="1605"/>
      <c r="I34" s="1606"/>
      <c r="J34" s="1376">
        <f ca="1">SUM(J31:J33)</f>
        <v>463066.78801598208</v>
      </c>
      <c r="K34" s="1355" t="str">
        <f>"Total ("&amp;ref_year&amp;"$)"</f>
        <v>Total (2016$)</v>
      </c>
    </row>
    <row r="35" spans="2:11" ht="14" x14ac:dyDescent="0.25">
      <c r="B35" s="1329" t="s">
        <v>1210</v>
      </c>
      <c r="C35" s="1317" t="s">
        <v>23</v>
      </c>
      <c r="D35" s="1314"/>
      <c r="E35" s="1582"/>
      <c r="F35" s="1583"/>
      <c r="H35" s="1590" t="s">
        <v>818</v>
      </c>
      <c r="I35" s="1591"/>
      <c r="J35" s="1354"/>
      <c r="K35" s="1353"/>
    </row>
    <row r="36" spans="2:11" ht="14" x14ac:dyDescent="0.25">
      <c r="B36" s="1329" t="s">
        <v>1243</v>
      </c>
      <c r="C36" s="1315">
        <v>100</v>
      </c>
      <c r="D36" s="1314"/>
      <c r="E36" s="1582"/>
      <c r="F36" s="1583"/>
      <c r="H36" s="1592" t="s">
        <v>963</v>
      </c>
      <c r="I36" s="1593"/>
      <c r="J36" s="1373">
        <f ca="1">-Feed_CO2_MTpY*CO2_Capture_Efficiency*CO2_credit</f>
        <v>0</v>
      </c>
      <c r="K36" s="1353"/>
    </row>
    <row r="37" spans="2:11" ht="14" x14ac:dyDescent="0.25">
      <c r="B37" s="1329" t="s">
        <v>1244</v>
      </c>
      <c r="C37" s="1315">
        <v>0</v>
      </c>
      <c r="D37" s="1314"/>
      <c r="E37" s="1582"/>
      <c r="F37" s="1583"/>
      <c r="H37" s="1592" t="s">
        <v>428</v>
      </c>
      <c r="I37" s="1593"/>
      <c r="J37" s="1373">
        <f>+C61</f>
        <v>693420.37890424987</v>
      </c>
      <c r="K37" s="1353"/>
    </row>
    <row r="38" spans="2:11" ht="14.5" thickBot="1" x14ac:dyDescent="0.3">
      <c r="B38" s="1330" t="s">
        <v>1251</v>
      </c>
      <c r="C38" s="1321">
        <f ca="1">Pipe_Diameter(CO2_PipeLength,
        C67, C66,
        C37,
        0.5,
        CO2_flowrate,
        CO2_Pipeline_Temp,
        n_CO2_pumps)</f>
        <v>8</v>
      </c>
      <c r="D38" s="1322"/>
      <c r="E38" s="1622"/>
      <c r="F38" s="1623"/>
      <c r="H38" s="1592" t="s">
        <v>1233</v>
      </c>
      <c r="I38" s="1593"/>
      <c r="J38" s="1373">
        <f ca="1">C78</f>
        <v>46354.6840543652</v>
      </c>
      <c r="K38" s="1353"/>
    </row>
    <row r="39" spans="2:11" ht="14" x14ac:dyDescent="0.25">
      <c r="B39" s="1619" t="s">
        <v>1246</v>
      </c>
      <c r="C39" s="1620"/>
      <c r="D39" s="1620"/>
      <c r="E39" s="1620"/>
      <c r="F39" s="1621"/>
      <c r="H39" s="1592" t="s">
        <v>1236</v>
      </c>
      <c r="I39" s="1593"/>
      <c r="J39" s="1373">
        <f ca="1">C86</f>
        <v>22263.622708590603</v>
      </c>
      <c r="K39" s="1353"/>
    </row>
    <row r="40" spans="2:11" ht="14" x14ac:dyDescent="0.25">
      <c r="B40" s="1329" t="s">
        <v>1222</v>
      </c>
      <c r="C40" s="1315">
        <v>53</v>
      </c>
      <c r="D40" s="1314"/>
      <c r="E40" s="1582" t="s">
        <v>1250</v>
      </c>
      <c r="F40" s="1583"/>
      <c r="H40" s="1616" t="s">
        <v>1237</v>
      </c>
      <c r="I40" s="1617"/>
      <c r="J40" s="1377">
        <f ca="1">SUM(C103:C107)</f>
        <v>8760146.5999621525</v>
      </c>
      <c r="K40" s="1353"/>
    </row>
    <row r="41" spans="2:11" ht="35.5" customHeight="1" thickBot="1" x14ac:dyDescent="0.3">
      <c r="B41" s="1330" t="s">
        <v>1223</v>
      </c>
      <c r="C41" s="1323">
        <f>denPRCO2(0.00005,AVERAGE(C66:C67)/MPa_to_psi,CO2_Pipeline_Temp)</f>
        <v>865.79471045444359</v>
      </c>
      <c r="D41" s="1322"/>
      <c r="E41" s="1596" t="s">
        <v>1224</v>
      </c>
      <c r="F41" s="1597"/>
      <c r="H41" s="1590"/>
      <c r="I41" s="1591"/>
      <c r="J41" s="1376">
        <f ca="1">IF(CO2_Capture_Efficiency&gt;0,SUM(J36:J40),0)</f>
        <v>9522185.2856293581</v>
      </c>
      <c r="K41" s="1355" t="str">
        <f>"Total  ("&amp;ref_year&amp;"$)"</f>
        <v>Total  (2016$)</v>
      </c>
    </row>
    <row r="42" spans="2:11" ht="14" x14ac:dyDescent="0.25">
      <c r="B42" s="1619" t="s">
        <v>1247</v>
      </c>
      <c r="C42" s="1620"/>
      <c r="D42" s="1620"/>
      <c r="E42" s="1620"/>
      <c r="F42" s="1621"/>
      <c r="H42" s="1356"/>
      <c r="I42" s="1357"/>
      <c r="J42" s="1354"/>
      <c r="K42" s="1353"/>
    </row>
    <row r="43" spans="2:11" ht="14.5" customHeight="1" x14ac:dyDescent="0.25">
      <c r="B43" s="1329" t="s">
        <v>961</v>
      </c>
      <c r="C43" s="1318">
        <v>0</v>
      </c>
      <c r="D43" s="1314"/>
      <c r="E43" s="1320"/>
      <c r="F43" s="1331"/>
      <c r="H43" s="1592" t="s">
        <v>826</v>
      </c>
      <c r="I43" s="1593"/>
      <c r="J43" s="1376">
        <f ca="1">Det_CO2_seq*tax_ins_rate</f>
        <v>2759423.4491594308</v>
      </c>
      <c r="K43" s="1355" t="str">
        <f>+K41</f>
        <v>Total  (2016$)</v>
      </c>
    </row>
    <row r="44" spans="2:11" ht="15" customHeight="1" thickBot="1" x14ac:dyDescent="0.3">
      <c r="B44" s="1330" t="s">
        <v>1211</v>
      </c>
      <c r="C44" s="1324">
        <v>0.04</v>
      </c>
      <c r="D44" s="1322"/>
      <c r="E44" s="1598"/>
      <c r="F44" s="1599"/>
      <c r="H44" s="1358"/>
      <c r="I44" s="1359"/>
      <c r="J44" s="1360"/>
      <c r="K44" s="1361"/>
    </row>
    <row r="45" spans="2:11" ht="15" customHeight="1" x14ac:dyDescent="0.25">
      <c r="B45" s="1619" t="s">
        <v>1248</v>
      </c>
      <c r="C45" s="1620"/>
      <c r="D45" s="1620"/>
      <c r="E45" s="1620"/>
      <c r="F45" s="1621"/>
      <c r="H45" s="1586" t="s">
        <v>1239</v>
      </c>
      <c r="I45" s="1587"/>
      <c r="J45" s="1587"/>
      <c r="K45" s="1378">
        <f ca="1">ROUND(CO2_eCostpY/(Feed_CO2_MTpY*CO2_Capture_Efficiency),1)</f>
        <v>0.4</v>
      </c>
    </row>
    <row r="46" spans="2:11" ht="15" customHeight="1" x14ac:dyDescent="0.25">
      <c r="B46" s="1329" t="s">
        <v>66</v>
      </c>
      <c r="C46" s="1319">
        <f ca="1">(real_irr*(1+real_irr)^anal_period)/(((real_irr+1)^anal_period)-1)</f>
        <v>8.3860161500585326E-2</v>
      </c>
      <c r="D46" s="1314"/>
      <c r="E46" s="1582"/>
      <c r="F46" s="1583"/>
      <c r="H46" s="1592" t="s">
        <v>1240</v>
      </c>
      <c r="I46" s="1593"/>
      <c r="J46" s="1593"/>
      <c r="K46" s="1379">
        <f ca="1">ROUND((Det_CO2_OandMcost+ CCS_tax_insurance)/(Feed_CO2_MTpY*CO2_Capture_Efficiency),1)</f>
        <v>11.8</v>
      </c>
    </row>
    <row r="47" spans="2:11" ht="15" customHeight="1" thickBot="1" x14ac:dyDescent="0.3">
      <c r="B47" s="1329" t="s">
        <v>0</v>
      </c>
      <c r="C47" s="1319">
        <f ca="1">INDEX(MACRS_Table,MATCH("NPV - Real IRR",recovery_year,0),MATCH(depr_length,recovery_period,0))*(1+real_irr)</f>
        <v>0.54674112188719604</v>
      </c>
      <c r="D47" s="1314"/>
      <c r="E47" s="1582"/>
      <c r="F47" s="1583"/>
      <c r="H47" s="1594" t="s">
        <v>1241</v>
      </c>
      <c r="I47" s="1595"/>
      <c r="J47" s="1595"/>
      <c r="K47" s="1382">
        <f ca="1">ROUND((Det_CO2_seq+(-PV(nominal_irr,plant_life,C100)*(1+nominal_irr)))*CO2_cap_charge_rate/(Feed_CO2_MTpY*CO2_Capture_Efficiency),1)</f>
        <v>26.1</v>
      </c>
    </row>
    <row r="48" spans="2:11" ht="15" customHeight="1" thickTop="1" thickBot="1" x14ac:dyDescent="0.3">
      <c r="B48" s="1332" t="s">
        <v>1</v>
      </c>
      <c r="C48" s="1343">
        <f ca="1">(CO2_cap_rec*(1-total_tax_rate*CO2_depr_factor))/(1-total_tax_rate)</f>
        <v>9.7035312812405017E-2</v>
      </c>
      <c r="D48" s="1333"/>
      <c r="E48" s="1588"/>
      <c r="F48" s="1589"/>
      <c r="H48" s="1584" t="s">
        <v>1289</v>
      </c>
      <c r="I48" s="1585"/>
      <c r="J48" s="1585"/>
      <c r="K48" s="1381">
        <f ca="1">SUM(K45:K47)</f>
        <v>38.300000000000004</v>
      </c>
    </row>
    <row r="49" spans="2:11" ht="13.5" thickTop="1" thickBot="1" x14ac:dyDescent="0.3"/>
    <row r="50" spans="2:11" ht="18.5" thickTop="1" x14ac:dyDescent="0.25">
      <c r="B50" s="558" t="s">
        <v>1221</v>
      </c>
      <c r="C50" s="567"/>
      <c r="D50" s="567"/>
      <c r="E50" s="567"/>
      <c r="F50" s="567"/>
      <c r="G50" s="567"/>
      <c r="H50" s="567"/>
      <c r="I50" s="567"/>
      <c r="J50" s="567"/>
      <c r="K50" s="568"/>
    </row>
    <row r="51" spans="2:11" ht="13.9" customHeight="1" x14ac:dyDescent="0.25">
      <c r="B51" s="32" t="str">
        <f>"CO2 Pipeline Costs ("&amp;ref_year&amp;" USD)"</f>
        <v>CO2 Pipeline Costs (2016 USD)</v>
      </c>
      <c r="C51" s="1288"/>
      <c r="D51" s="1338" t="s">
        <v>1049</v>
      </c>
      <c r="E51" s="1334" t="s">
        <v>1249</v>
      </c>
      <c r="F51" s="1288"/>
      <c r="G51" s="1288"/>
      <c r="H51" s="1288"/>
      <c r="I51" s="1288"/>
      <c r="J51" s="1288"/>
      <c r="K51" s="569"/>
    </row>
    <row r="52" spans="2:11" ht="12.65" customHeight="1" x14ac:dyDescent="0.25">
      <c r="B52" s="1292" t="s">
        <v>1235</v>
      </c>
      <c r="C52" s="1288"/>
      <c r="D52" s="1288"/>
      <c r="E52" s="1288"/>
      <c r="F52" s="1288"/>
      <c r="G52" s="1288"/>
      <c r="H52" s="1288"/>
      <c r="I52" s="1288"/>
      <c r="J52" s="1288"/>
      <c r="K52" s="569"/>
    </row>
    <row r="53" spans="2:11" ht="12.65" customHeight="1" x14ac:dyDescent="0.4">
      <c r="B53" s="1362" t="s">
        <v>1207</v>
      </c>
      <c r="C53" s="1363">
        <f ca="1">IF(CO2_PipeDia&gt;20,1.25, IF(CO2_PipeDia&gt;16,1.18,IF(CO2_PipeDia&gt;12,1.12,1)))</f>
        <v>1</v>
      </c>
      <c r="D53" s="1364"/>
      <c r="E53" s="1340" t="s">
        <v>1272</v>
      </c>
      <c r="F53" s="1288"/>
      <c r="G53" s="1288"/>
      <c r="H53" s="1288"/>
      <c r="I53" s="1288"/>
      <c r="J53" s="1288"/>
      <c r="K53" s="569"/>
    </row>
    <row r="54" spans="2:11" ht="12.65" customHeight="1" x14ac:dyDescent="0.4">
      <c r="B54" s="1362" t="s">
        <v>1258</v>
      </c>
      <c r="C54" s="1365">
        <f ca="1">(35000+CO2_PipeLength*(330.5*CO2_PipeDia^2+687*CO2_PipeDia+26960))*NG_to_CO2Pipeline*VLOOKUP(ref_year,Tbl_PlantCostIndexes,2)/VLOOKUP(2000,Tbl_PlantCostIndexes,2)</f>
        <v>7416657.853336717</v>
      </c>
      <c r="D54" s="1366" t="str">
        <f>ref_year&amp;"$"</f>
        <v>2016$</v>
      </c>
      <c r="E54" s="1340" t="s">
        <v>1278</v>
      </c>
      <c r="F54" s="1288"/>
      <c r="G54" s="1288"/>
      <c r="H54" s="1288"/>
      <c r="I54" s="1288"/>
      <c r="J54" s="1288"/>
      <c r="K54" s="569"/>
    </row>
    <row r="55" spans="2:11" ht="12.65" customHeight="1" x14ac:dyDescent="0.4">
      <c r="B55" s="1362" t="s">
        <v>1268</v>
      </c>
      <c r="C55" s="1365">
        <f ca="1">(185000+CO2_PipeLength*(343*CO2_PipeDia^2+2074*CO2_PipeDia+170013))*NG_to_CO2Pipeline*VLOOKUP(ref_year,Tbl_labor_indexes,2)/VLOOKUP(2000,Tbl_labor_indexes,2)</f>
        <v>27966032.796957273</v>
      </c>
      <c r="D55" s="1366" t="str">
        <f>ref_year&amp;"$"</f>
        <v>2016$</v>
      </c>
      <c r="E55" s="1340" t="s">
        <v>1279</v>
      </c>
      <c r="F55" s="1288"/>
      <c r="G55" s="1288"/>
      <c r="H55" s="1288"/>
      <c r="I55" s="1288"/>
      <c r="J55" s="1288"/>
      <c r="K55" s="569"/>
    </row>
    <row r="56" spans="2:11" ht="12.65" customHeight="1" x14ac:dyDescent="0.4">
      <c r="B56" s="1362" t="s">
        <v>1267</v>
      </c>
      <c r="C56" s="1365">
        <f ca="1">(40000+CO2_PipeLength*(0*CO2_PipeDia^2+577*CO2_PipeDia+29788))*NG_to_CO2Pipeline*(VLOOKUP(ref_year,DeflatorTable,2)/VLOOKUP(2000,DeflatorTable,2))</f>
        <v>4735516.8325537667</v>
      </c>
      <c r="D56" s="1366" t="str">
        <f>ref_year&amp;"$"</f>
        <v>2016$</v>
      </c>
      <c r="E56" s="1340" t="s">
        <v>1280</v>
      </c>
      <c r="F56" s="1288"/>
      <c r="G56" s="1288"/>
      <c r="H56" s="1288"/>
      <c r="I56" s="1288"/>
      <c r="J56" s="1288"/>
      <c r="K56" s="569"/>
    </row>
    <row r="57" spans="2:11" ht="12.65" customHeight="1" x14ac:dyDescent="0.4">
      <c r="B57" s="1362" t="s">
        <v>1266</v>
      </c>
      <c r="C57" s="1365">
        <f ca="1">(95000+CO2_PipeLength*(0*CO2_PipeDia^2+8417*CO2_PipeDia+7324))*NG_to_CO2Pipeline*VLOOKUP(ref_year,DeflatorTable,2)/VLOOKUP(2000,DeflatorTable,2)</f>
        <v>10287680.373215443</v>
      </c>
      <c r="D57" s="1366" t="str">
        <f>ref_year&amp;"$"</f>
        <v>2016$</v>
      </c>
      <c r="E57" s="1340" t="s">
        <v>1281</v>
      </c>
      <c r="F57" s="1288"/>
      <c r="G57" s="1288"/>
      <c r="H57" s="1288"/>
      <c r="I57" s="1288"/>
      <c r="J57" s="1288"/>
      <c r="K57" s="569"/>
    </row>
    <row r="58" spans="2:11" ht="12.65" customHeight="1" x14ac:dyDescent="0.25">
      <c r="B58" s="1362" t="s">
        <v>1269</v>
      </c>
      <c r="C58" s="1365">
        <f ca="1">SUM(C54:C57)/CO2_PipeLength</f>
        <v>504058.878560632</v>
      </c>
      <c r="D58" s="1366" t="str">
        <f>ref_year&amp;"$/mile"</f>
        <v>2016$/mile</v>
      </c>
      <c r="E58" s="1294"/>
      <c r="F58" s="1312"/>
      <c r="G58" s="1312"/>
      <c r="H58" s="1312"/>
      <c r="I58" s="1312"/>
      <c r="J58" s="1312"/>
      <c r="K58" s="569"/>
    </row>
    <row r="59" spans="2:11" ht="12.65" customHeight="1" x14ac:dyDescent="0.25">
      <c r="B59" s="1290"/>
      <c r="C59" s="1304"/>
      <c r="D59" s="1288"/>
      <c r="E59" s="1294"/>
      <c r="F59" s="1288"/>
      <c r="G59" s="1288"/>
      <c r="H59" s="1288"/>
      <c r="I59" s="1288"/>
      <c r="J59" s="1288"/>
      <c r="K59" s="569"/>
    </row>
    <row r="60" spans="2:11" ht="12.65" customHeight="1" x14ac:dyDescent="0.25">
      <c r="B60" s="1292" t="s">
        <v>416</v>
      </c>
      <c r="C60" s="1304"/>
      <c r="D60" s="1288"/>
      <c r="E60" s="1294"/>
      <c r="F60" s="1288"/>
      <c r="G60" s="1288"/>
      <c r="H60" s="1288"/>
      <c r="I60" s="1288"/>
      <c r="J60" s="1288"/>
      <c r="K60" s="569"/>
    </row>
    <row r="61" spans="2:11" ht="12.65" customHeight="1" x14ac:dyDescent="0.25">
      <c r="B61" s="1362" t="s">
        <v>1265</v>
      </c>
      <c r="C61" s="1365">
        <f>5000*CO2_PipeLength*(VLOOKUP(ref_year,Tbl_PlantCostIndexes,2)/VLOOKUP(1999,Tbl_PlantCostIndexes,2))</f>
        <v>693420.37890424987</v>
      </c>
      <c r="D61" s="1366" t="str">
        <f>ref_year&amp;"$/year"</f>
        <v>2016$/year</v>
      </c>
      <c r="E61" s="1295" t="s">
        <v>1282</v>
      </c>
      <c r="F61" s="1288"/>
      <c r="G61" s="1288"/>
      <c r="H61" s="1288"/>
      <c r="I61" s="1288"/>
      <c r="J61" s="1288"/>
      <c r="K61" s="569"/>
    </row>
    <row r="62" spans="2:11" ht="12.65" customHeight="1" x14ac:dyDescent="0.25">
      <c r="B62" s="1290"/>
      <c r="C62" s="1288"/>
      <c r="D62" s="1288"/>
      <c r="E62" s="1294"/>
      <c r="F62" s="1288"/>
      <c r="G62" s="1288"/>
      <c r="H62" s="1288"/>
      <c r="I62" s="1288"/>
      <c r="J62" s="1288"/>
      <c r="K62" s="569"/>
    </row>
    <row r="63" spans="2:11" ht="12.65" customHeight="1" x14ac:dyDescent="0.25">
      <c r="B63" s="1290"/>
      <c r="C63" s="1288"/>
      <c r="D63" s="1288"/>
      <c r="E63" s="1294"/>
      <c r="F63" s="1288"/>
      <c r="G63" s="1288"/>
      <c r="H63" s="1288"/>
      <c r="I63" s="1288"/>
      <c r="J63" s="1288"/>
      <c r="K63" s="569"/>
    </row>
    <row r="64" spans="2:11" ht="13.9" customHeight="1" x14ac:dyDescent="0.25">
      <c r="B64" s="32" t="s">
        <v>1206</v>
      </c>
      <c r="C64" s="1288"/>
      <c r="D64" s="1288"/>
      <c r="E64" s="1294"/>
      <c r="F64" s="1288"/>
      <c r="G64" s="1288"/>
      <c r="H64" s="1288"/>
      <c r="I64" s="1288"/>
      <c r="J64" s="1288"/>
      <c r="K64" s="569"/>
    </row>
    <row r="65" spans="2:11" ht="12.65" customHeight="1" x14ac:dyDescent="0.25">
      <c r="B65" s="1292" t="s">
        <v>83</v>
      </c>
      <c r="C65" s="1288"/>
      <c r="D65" s="1288"/>
      <c r="E65" s="1294"/>
      <c r="F65" s="1288"/>
      <c r="G65" s="1288"/>
      <c r="H65" s="1288"/>
      <c r="I65" s="1288"/>
      <c r="J65" s="1288"/>
      <c r="K65" s="569"/>
    </row>
    <row r="66" spans="2:11" ht="12.65" customHeight="1" x14ac:dyDescent="0.25">
      <c r="B66" s="1362" t="s">
        <v>1212</v>
      </c>
      <c r="C66" s="1367">
        <f>CO2_Pin_psia</f>
        <v>14.7</v>
      </c>
      <c r="D66" s="1366" t="s">
        <v>1214</v>
      </c>
      <c r="E66" s="1294"/>
      <c r="F66" s="1288"/>
      <c r="G66" s="1288"/>
      <c r="H66" s="1288"/>
      <c r="I66" s="1288"/>
      <c r="J66" s="1288"/>
      <c r="K66" s="569"/>
    </row>
    <row r="67" spans="2:11" ht="12.65" customHeight="1" x14ac:dyDescent="0.25">
      <c r="B67" s="1362" t="s">
        <v>1213</v>
      </c>
      <c r="C67" s="1367">
        <f>15*MPa_to_psi</f>
        <v>2175.5700000000002</v>
      </c>
      <c r="D67" s="1366" t="s">
        <v>1214</v>
      </c>
      <c r="E67" s="1294"/>
      <c r="F67" s="1288"/>
      <c r="G67" s="1288"/>
      <c r="H67" s="1288"/>
      <c r="I67" s="1288"/>
      <c r="J67" s="1288"/>
      <c r="K67" s="569"/>
    </row>
    <row r="68" spans="2:11" ht="15.5" x14ac:dyDescent="0.25">
      <c r="B68" s="1362" t="s">
        <v>1215</v>
      </c>
      <c r="C68" s="1367">
        <f ca="1">(1000*1000000*0.001/ (24*3600))*(CO2_flowrate/cap_factor*(C67-C66)/MPa_to_psi)/(C41*Pump_Eff)</f>
        <v>839.30398770694285</v>
      </c>
      <c r="D68" s="1368" t="s">
        <v>414</v>
      </c>
      <c r="E68" s="1295" t="s">
        <v>1275</v>
      </c>
      <c r="F68" s="1288"/>
      <c r="G68" s="1288"/>
      <c r="H68" s="1288"/>
      <c r="I68" s="1288"/>
      <c r="J68" s="1288"/>
      <c r="K68" s="569"/>
    </row>
    <row r="69" spans="2:11" ht="12.65" customHeight="1" x14ac:dyDescent="0.25">
      <c r="B69" s="1362" t="s">
        <v>1261</v>
      </c>
      <c r="C69" s="1365">
        <f>70000*VLOOKUP(ref_year,Tbl_PlantCostIndexes,2)/VLOOKUP(2005,Tbl_PlantCostIndexes,2)</f>
        <v>80988.893635198634</v>
      </c>
      <c r="D69" s="1366" t="str">
        <f>ref_year&amp;"$"</f>
        <v>2016$</v>
      </c>
      <c r="E69" s="1295" t="s">
        <v>1276</v>
      </c>
      <c r="F69" s="1288"/>
      <c r="G69" s="1288"/>
      <c r="H69" s="1288"/>
      <c r="I69" s="1288"/>
      <c r="J69" s="1288"/>
      <c r="K69" s="569"/>
    </row>
    <row r="70" spans="2:11" ht="12.65" customHeight="1" x14ac:dyDescent="0.25">
      <c r="B70" s="1362" t="s">
        <v>1262</v>
      </c>
      <c r="C70" s="1365">
        <f ca="1">1110*C68*VLOOKUP(ref_year,Tbl_PlantCostIndexes,2)/VLOOKUP(2005,Tbl_PlantCostIndexes,2)</f>
        <v>1077878.2077239312</v>
      </c>
      <c r="D70" s="1366" t="str">
        <f>ref_year&amp;"$"</f>
        <v>2016$</v>
      </c>
      <c r="E70" s="1295" t="s">
        <v>1274</v>
      </c>
      <c r="F70" s="1288"/>
      <c r="G70" s="1288"/>
      <c r="H70" s="1288"/>
      <c r="I70" s="1288"/>
      <c r="J70" s="1288"/>
      <c r="K70" s="569"/>
    </row>
    <row r="71" spans="2:11" ht="12.65" customHeight="1" x14ac:dyDescent="0.4">
      <c r="B71" s="1362" t="s">
        <v>1271</v>
      </c>
      <c r="C71" s="1365">
        <f ca="1">SUM(C69:C70)</f>
        <v>1158867.1013591299</v>
      </c>
      <c r="D71" s="1366" t="str">
        <f>ref_year&amp;"$"</f>
        <v>2016$</v>
      </c>
      <c r="E71" s="1341" t="s">
        <v>1273</v>
      </c>
      <c r="F71" s="1312"/>
      <c r="G71" s="1312"/>
      <c r="H71" s="1312"/>
      <c r="I71" s="1312"/>
      <c r="J71" s="1312"/>
      <c r="K71" s="569"/>
    </row>
    <row r="72" spans="2:11" ht="12.65" customHeight="1" x14ac:dyDescent="0.25">
      <c r="B72" s="1291"/>
      <c r="C72" s="1297"/>
      <c r="D72" s="1296"/>
      <c r="E72" s="1294"/>
      <c r="F72" s="1288"/>
      <c r="G72" s="1288"/>
      <c r="H72" s="1288"/>
      <c r="I72" s="1288"/>
      <c r="J72" s="1288"/>
      <c r="K72" s="569"/>
    </row>
    <row r="73" spans="2:11" ht="12.65" customHeight="1" x14ac:dyDescent="0.25">
      <c r="B73" s="1292" t="s">
        <v>1218</v>
      </c>
      <c r="C73" s="1288"/>
      <c r="D73" s="1296"/>
      <c r="E73" s="1294"/>
      <c r="F73" s="1288"/>
      <c r="G73" s="1288"/>
      <c r="H73" s="1288"/>
      <c r="I73" s="1288"/>
      <c r="J73" s="1288"/>
      <c r="K73" s="569"/>
    </row>
    <row r="74" spans="2:11" ht="12.65" customHeight="1" x14ac:dyDescent="0.25">
      <c r="B74" s="1362" t="s">
        <v>1220</v>
      </c>
      <c r="C74" s="1365">
        <f ca="1">CO2_eCost*pump_power*cap_factor*24*365*n_CO2_pumps</f>
        <v>463066.78801598208</v>
      </c>
      <c r="D74" s="1369" t="str">
        <f>startup_year&amp;"$/year"</f>
        <v>2015$/year</v>
      </c>
      <c r="E74" s="1300" t="s">
        <v>1219</v>
      </c>
      <c r="F74" s="1288"/>
      <c r="G74" s="1288"/>
      <c r="H74" s="1288"/>
      <c r="I74" s="1288"/>
      <c r="J74" s="1288"/>
      <c r="K74" s="569"/>
    </row>
    <row r="75" spans="2:11" ht="12.65" customHeight="1" x14ac:dyDescent="0.25">
      <c r="B75" s="1362" t="s">
        <v>1259</v>
      </c>
      <c r="C75" s="1370">
        <f ca="1">pump_power*cap_factor*24*365*n_CO2_pumps/output_kgyear</f>
        <v>5.3094322433205741E-2</v>
      </c>
      <c r="D75" s="1371" t="s">
        <v>1260</v>
      </c>
      <c r="E75" s="1312"/>
      <c r="F75" s="1312"/>
      <c r="G75" s="1312"/>
      <c r="H75" s="1312"/>
      <c r="I75" s="1312"/>
      <c r="J75" s="1312"/>
      <c r="K75" s="569"/>
    </row>
    <row r="76" spans="2:11" ht="12.65" customHeight="1" x14ac:dyDescent="0.25">
      <c r="B76" s="1290"/>
      <c r="C76" s="1288"/>
      <c r="D76" s="1288"/>
      <c r="E76" s="1288"/>
      <c r="F76" s="1288"/>
      <c r="G76" s="1288"/>
      <c r="H76" s="1288"/>
      <c r="I76" s="1288"/>
      <c r="J76" s="1288"/>
      <c r="K76" s="569"/>
    </row>
    <row r="77" spans="2:11" ht="12.65" customHeight="1" x14ac:dyDescent="0.25">
      <c r="B77" s="1292" t="s">
        <v>416</v>
      </c>
      <c r="C77" s="1289"/>
      <c r="D77" s="1289"/>
      <c r="E77" s="1289"/>
      <c r="F77" s="1289"/>
      <c r="G77" s="1289"/>
      <c r="H77" s="1289"/>
      <c r="I77" s="1289"/>
      <c r="J77" s="1289"/>
      <c r="K77" s="569"/>
    </row>
    <row r="78" spans="2:11" ht="12.65" customHeight="1" x14ac:dyDescent="0.25">
      <c r="B78" s="1362" t="s">
        <v>1263</v>
      </c>
      <c r="C78" s="1372">
        <f ca="1">C71*CO2_MaintFactor</f>
        <v>46354.6840543652</v>
      </c>
      <c r="D78" s="1366" t="str">
        <f>ref_year&amp;"$/year"</f>
        <v>2016$/year</v>
      </c>
      <c r="E78" s="1289"/>
      <c r="F78" s="1289"/>
      <c r="G78" s="1289"/>
      <c r="H78" s="1289"/>
      <c r="I78" s="1289"/>
      <c r="J78" s="1289"/>
      <c r="K78" s="569"/>
    </row>
    <row r="79" spans="2:11" ht="12.65" customHeight="1" x14ac:dyDescent="0.25">
      <c r="B79" s="1290"/>
      <c r="C79" s="1289"/>
      <c r="D79" s="1289"/>
      <c r="E79" s="1289"/>
      <c r="F79" s="1289"/>
      <c r="G79" s="1289"/>
      <c r="H79" s="1289"/>
      <c r="I79" s="1289"/>
      <c r="J79" s="1289"/>
      <c r="K79" s="569"/>
    </row>
    <row r="80" spans="2:11" ht="15" customHeight="1" x14ac:dyDescent="0.25">
      <c r="B80" s="32" t="s">
        <v>1209</v>
      </c>
      <c r="C80" s="1288"/>
      <c r="D80" s="1288"/>
      <c r="E80" s="1288"/>
      <c r="F80" s="1288"/>
      <c r="G80" s="1288"/>
      <c r="H80" s="1288"/>
      <c r="I80" s="1288"/>
      <c r="J80" s="1288"/>
      <c r="K80" s="569"/>
    </row>
    <row r="81" spans="2:13" ht="12.65" customHeight="1" x14ac:dyDescent="0.25">
      <c r="B81" s="1292" t="s">
        <v>83</v>
      </c>
      <c r="C81" s="1288"/>
      <c r="D81" s="1288"/>
      <c r="E81" s="1288"/>
      <c r="F81" s="1288"/>
      <c r="G81" s="1288"/>
      <c r="H81" s="1288"/>
      <c r="I81" s="1288"/>
      <c r="J81" s="1288"/>
      <c r="K81" s="569"/>
    </row>
    <row r="82" spans="2:13" ht="12.65" customHeight="1" x14ac:dyDescent="0.25">
      <c r="B82" s="1362" t="s">
        <v>1210</v>
      </c>
      <c r="C82" s="1365">
        <f ca="1">IF(C35="yes",701600*(CO2_flowrate_GTpY/3.2)^Scaling_Factor_Exponent*(VLOOKUP(ref_year,Tbl_PlantCostIndexes,2)/VLOOKUP(2000,Tbl_PlantCostIndexes,2)),0)</f>
        <v>490829.49008129613</v>
      </c>
      <c r="D82" s="1366" t="str">
        <f>ref_year&amp;"$"</f>
        <v>2016$</v>
      </c>
      <c r="E82" s="1295" t="s">
        <v>1277</v>
      </c>
      <c r="F82" s="1288"/>
      <c r="G82" s="1288"/>
      <c r="H82" s="1288"/>
      <c r="I82" s="1288"/>
      <c r="J82" s="1288"/>
      <c r="K82" s="569"/>
    </row>
    <row r="83" spans="2:13" ht="12.65" customHeight="1" x14ac:dyDescent="0.25">
      <c r="B83" s="1362" t="s">
        <v>1264</v>
      </c>
      <c r="C83" s="1365">
        <f ca="1">IF(C34="yes",94000*(CO2_flowrate_GTpY/3.2)^Scaling_Factor_Exponent*(VLOOKUP(ref_year,Tbl_PlantCostIndexes,2)/VLOOKUP(2000,Tbl_PlantCostIndexes,2)),0)</f>
        <v>65761.077633468987</v>
      </c>
      <c r="D83" s="1366" t="str">
        <f>ref_year&amp;"$"</f>
        <v>2016$</v>
      </c>
      <c r="E83" s="1295" t="s">
        <v>1277</v>
      </c>
      <c r="F83" s="1288"/>
      <c r="G83" s="1288"/>
      <c r="H83" s="1288"/>
      <c r="I83" s="1288"/>
      <c r="J83" s="1288"/>
      <c r="K83" s="569"/>
    </row>
    <row r="84" spans="2:13" ht="12.65" customHeight="1" x14ac:dyDescent="0.25">
      <c r="B84" s="1291"/>
      <c r="C84" s="1288"/>
      <c r="D84" s="1288"/>
      <c r="E84" s="1288"/>
      <c r="F84" s="1288"/>
      <c r="G84" s="1288"/>
      <c r="H84" s="1288"/>
      <c r="I84" s="1288"/>
      <c r="J84" s="1288"/>
      <c r="K84" s="569"/>
    </row>
    <row r="85" spans="2:13" ht="12.65" customHeight="1" x14ac:dyDescent="0.25">
      <c r="B85" s="1292" t="s">
        <v>416</v>
      </c>
      <c r="C85" s="1289"/>
      <c r="D85" s="1289"/>
      <c r="E85" s="1289"/>
      <c r="F85" s="1289"/>
      <c r="G85" s="1289"/>
      <c r="H85" s="1289"/>
      <c r="I85" s="1289"/>
      <c r="J85" s="1289"/>
      <c r="K85" s="569"/>
    </row>
    <row r="86" spans="2:13" ht="12.65" customHeight="1" x14ac:dyDescent="0.25">
      <c r="B86" s="1362" t="s">
        <v>1263</v>
      </c>
      <c r="C86" s="1365">
        <f ca="1">SUM(C82:C83)*CO2_MaintFactor</f>
        <v>22263.622708590603</v>
      </c>
      <c r="D86" s="1366" t="str">
        <f>ref_year&amp;"$/year"</f>
        <v>2016$/year</v>
      </c>
      <c r="E86" s="1312"/>
      <c r="F86" s="1312"/>
      <c r="G86" s="1312"/>
      <c r="H86" s="1312"/>
      <c r="I86" s="1312"/>
      <c r="J86" s="1312"/>
      <c r="K86" s="569"/>
    </row>
    <row r="87" spans="2:13" s="1288" customFormat="1" ht="12.65" customHeight="1" thickBot="1" x14ac:dyDescent="0.3">
      <c r="B87" s="1301"/>
      <c r="C87" s="570"/>
      <c r="D87" s="570"/>
      <c r="E87" s="570"/>
      <c r="F87" s="570"/>
      <c r="G87" s="570"/>
      <c r="H87" s="570"/>
      <c r="I87" s="570"/>
      <c r="J87" s="570"/>
      <c r="K87" s="571"/>
    </row>
    <row r="88" spans="2:13" s="1289" customFormat="1" ht="12.65" customHeight="1" thickTop="1" thickBot="1" x14ac:dyDescent="0.3">
      <c r="B88" s="1293"/>
    </row>
    <row r="89" spans="2:13" s="1289" customFormat="1" ht="21" customHeight="1" thickTop="1" x14ac:dyDescent="0.25">
      <c r="B89" s="558" t="s">
        <v>1229</v>
      </c>
      <c r="C89" s="567"/>
      <c r="D89" s="567"/>
      <c r="E89" s="567"/>
      <c r="F89" s="567"/>
      <c r="G89" s="567"/>
      <c r="H89" s="567"/>
      <c r="I89" s="567"/>
      <c r="J89" s="567"/>
      <c r="K89" s="568"/>
    </row>
    <row r="90" spans="2:13" s="1289" customFormat="1" ht="12.65" customHeight="1" x14ac:dyDescent="0.25">
      <c r="B90" s="32" t="s">
        <v>1234</v>
      </c>
      <c r="C90" s="1312"/>
      <c r="D90" s="1338" t="s">
        <v>1049</v>
      </c>
      <c r="E90" s="1334" t="s">
        <v>1249</v>
      </c>
      <c r="F90" s="1312"/>
      <c r="G90" s="1312"/>
      <c r="H90" s="1312"/>
      <c r="I90" s="1312"/>
      <c r="J90" s="1312"/>
      <c r="K90" s="569"/>
      <c r="L90" s="1312"/>
      <c r="M90" s="1312"/>
    </row>
    <row r="91" spans="2:13" s="1298" customFormat="1" hidden="1" x14ac:dyDescent="0.25">
      <c r="B91" s="1291" t="s">
        <v>1232</v>
      </c>
      <c r="C91" s="572">
        <f>VLOOKUP(2005,DeflatorTable,2)/VLOOKUP(2008,DeflatorTable,2)</f>
        <v>0.92676070528967247</v>
      </c>
      <c r="D91" s="1312"/>
      <c r="E91" s="1312"/>
      <c r="F91" s="1312"/>
      <c r="G91" s="1312"/>
      <c r="H91" s="1312"/>
      <c r="I91" s="1312"/>
      <c r="J91" s="1312"/>
      <c r="K91" s="569"/>
      <c r="L91" s="1312"/>
      <c r="M91" s="1312"/>
    </row>
    <row r="92" spans="2:13" s="1289" customFormat="1" ht="12.65" customHeight="1" x14ac:dyDescent="0.25">
      <c r="B92" s="1292" t="str">
        <f>"Capital Costs by Stage (Annual Cost of "&amp;plant_life&amp;" year project in "&amp;ref_year&amp;"$)"</f>
        <v>Capital Costs by Stage (Annual Cost of 40 year project in 2016$)</v>
      </c>
      <c r="C92" s="1312"/>
      <c r="D92" s="1312"/>
      <c r="E92" s="1295" t="s">
        <v>1285</v>
      </c>
      <c r="F92" s="1312"/>
      <c r="G92" s="1312"/>
      <c r="H92" s="1312"/>
      <c r="I92" s="1312"/>
      <c r="J92" s="1312"/>
      <c r="K92" s="569"/>
      <c r="L92" s="1312"/>
      <c r="M92" s="1312"/>
    </row>
    <row r="93" spans="2:13" s="1289" customFormat="1" ht="12.65" customHeight="1" x14ac:dyDescent="0.25">
      <c r="B93" s="1362" t="s">
        <v>1225</v>
      </c>
      <c r="C93" s="1365">
        <f>94000*VLOOKUP(ref_year,Tbl_labor_indexes,2)/VLOOKUP(2008,Tbl_labor_indexes,2)</f>
        <v>109497.94871794869</v>
      </c>
      <c r="D93" s="1366" t="str">
        <f>ref_year&amp;"$"</f>
        <v>2016$</v>
      </c>
      <c r="F93" s="1312"/>
      <c r="G93" s="1312"/>
      <c r="H93" s="1312"/>
      <c r="I93" s="1312"/>
      <c r="J93" s="1312"/>
      <c r="K93" s="569"/>
      <c r="L93" s="1312"/>
      <c r="M93" s="1312"/>
    </row>
    <row r="94" spans="2:13" s="1289" customFormat="1" ht="12.65" customHeight="1" x14ac:dyDescent="0.25">
      <c r="B94" s="1362" t="s">
        <v>1226</v>
      </c>
      <c r="C94" s="1365">
        <f ca="1">(-16600*CO2_flowrate_GTpY^2+53500*CO2_flowrate_GTpY+20300)*1000*VLOOKUP(ref_year,Tbl_labor_indexes,2)/VLOOKUP(2008,Tbl_labor_indexes,2)</f>
        <v>67506647.763398215</v>
      </c>
      <c r="D94" s="1366" t="str">
        <f>ref_year&amp;"$"</f>
        <v>2016$</v>
      </c>
      <c r="E94" s="1312"/>
      <c r="F94" s="1312"/>
      <c r="G94" s="1312"/>
      <c r="H94" s="1312"/>
      <c r="I94" s="1312"/>
      <c r="J94" s="1312"/>
      <c r="K94" s="569"/>
      <c r="L94" s="1312"/>
      <c r="M94" s="1312"/>
    </row>
    <row r="95" spans="2:13" s="1289" customFormat="1" ht="12.65" customHeight="1" x14ac:dyDescent="0.25">
      <c r="B95" s="1362" t="s">
        <v>169</v>
      </c>
      <c r="C95" s="1365">
        <f ca="1" xml:space="preserve"> (-400*CO2_flowrate_GTpY^2 + 2200*CO2_flowrate_GTpY + 13800)*1000*VLOOKUP(ref_year,Tbl_labor_indexes,2)/VLOOKUP(2008,Tbl_labor_indexes,2)</f>
        <v>18233681.220718272</v>
      </c>
      <c r="D95" s="1366" t="str">
        <f>ref_year&amp;"$"</f>
        <v>2016$</v>
      </c>
      <c r="E95" s="1312"/>
      <c r="F95" s="1312"/>
      <c r="G95" s="1312"/>
      <c r="H95" s="1312"/>
      <c r="I95" s="1312"/>
      <c r="J95" s="1312"/>
      <c r="K95" s="569"/>
      <c r="L95" s="1312"/>
      <c r="M95" s="1312"/>
    </row>
    <row r="96" spans="2:13" s="1312" customFormat="1" ht="12.65" customHeight="1" x14ac:dyDescent="0.25">
      <c r="B96" s="1291"/>
      <c r="C96" s="1310"/>
      <c r="K96" s="569"/>
    </row>
    <row r="97" spans="2:13" s="1312" customFormat="1" ht="12.65" customHeight="1" x14ac:dyDescent="0.25">
      <c r="B97" s="1292" t="s">
        <v>1257</v>
      </c>
      <c r="C97" s="1310"/>
      <c r="E97" s="1295"/>
      <c r="K97" s="569"/>
    </row>
    <row r="98" spans="2:13" s="1289" customFormat="1" ht="12.65" customHeight="1" x14ac:dyDescent="0.25">
      <c r="B98" s="1362" t="s">
        <v>1283</v>
      </c>
      <c r="C98" s="1365">
        <f ca="1">(-36000*CO2_flowrate_GTpY^2+224000*CO2_flowrate_GTpY+47000)*1000*(VLOOKUP(ref_year,Tbl_labor_indexes,2)/VLOOKUP(2008,Tbl_labor_indexes,2))/plant_life</f>
        <v>7011358.5948212491</v>
      </c>
      <c r="D98" s="1366" t="str">
        <f>ref_year&amp;"$/year"</f>
        <v>2016$/year</v>
      </c>
      <c r="E98" s="1312"/>
      <c r="F98" s="1312"/>
      <c r="G98" s="1312"/>
      <c r="H98" s="1312"/>
      <c r="I98" s="1312"/>
      <c r="J98" s="1312"/>
      <c r="K98" s="569"/>
      <c r="L98" s="1312"/>
      <c r="M98" s="1312"/>
    </row>
    <row r="99" spans="2:13" s="1289" customFormat="1" ht="12.65" customHeight="1" x14ac:dyDescent="0.25">
      <c r="B99" s="1362" t="s">
        <v>1228</v>
      </c>
      <c r="C99" s="1365">
        <f ca="1">(-18000*CO2_flowrate_GTpY^2 + 183000*CO2_flowrate_GTpY+ 40000)*1000*(VLOOKUP(ref_year,Tbl_labor_indexes,2)/VLOOKUP(2008,Tbl_labor_indexes,2))/plant_life</f>
        <v>6132903.1866413932</v>
      </c>
      <c r="D99" s="1366" t="str">
        <f>ref_year&amp;"$/year"</f>
        <v>2016$/year</v>
      </c>
      <c r="E99" s="1312"/>
      <c r="F99" s="1312"/>
      <c r="G99" s="1312"/>
      <c r="H99" s="1312"/>
      <c r="I99" s="1312"/>
      <c r="J99" s="1312"/>
      <c r="K99" s="569"/>
      <c r="L99" s="1312"/>
      <c r="M99" s="1312"/>
    </row>
    <row r="100" spans="2:13" s="1312" customFormat="1" ht="12.65" customHeight="1" x14ac:dyDescent="0.25">
      <c r="B100" s="1362" t="s">
        <v>1284</v>
      </c>
      <c r="C100" s="1383">
        <f ca="1">+IF(CO2_Capture_Efficiency,SUM(C98:C99),0)</f>
        <v>13144261.781462643</v>
      </c>
      <c r="D100" s="1366" t="str">
        <f>ref_year&amp;"$/year"</f>
        <v>2016$/year</v>
      </c>
      <c r="K100" s="569"/>
    </row>
    <row r="101" spans="2:13" s="1289" customFormat="1" ht="12.65" customHeight="1" x14ac:dyDescent="0.25">
      <c r="B101" s="1292"/>
      <c r="C101" s="1310"/>
      <c r="D101" s="1312"/>
      <c r="E101" s="1312"/>
      <c r="F101" s="1312"/>
      <c r="G101" s="1312"/>
      <c r="H101" s="1312"/>
      <c r="I101" s="1312"/>
      <c r="J101" s="1312"/>
      <c r="K101" s="569"/>
      <c r="L101" s="1312"/>
      <c r="M101" s="1312"/>
    </row>
    <row r="102" spans="2:13" s="1289" customFormat="1" ht="12.65" customHeight="1" x14ac:dyDescent="0.25">
      <c r="B102" s="1292" t="s">
        <v>1230</v>
      </c>
      <c r="C102" s="1310"/>
      <c r="D102" s="1312"/>
      <c r="E102" s="1295"/>
      <c r="F102" s="1312"/>
      <c r="G102" s="1312"/>
      <c r="H102" s="1312"/>
      <c r="I102" s="1312"/>
      <c r="J102" s="1312"/>
      <c r="K102" s="569"/>
      <c r="L102" s="1312"/>
      <c r="M102" s="1312"/>
    </row>
    <row r="103" spans="2:13" s="1288" customFormat="1" ht="12.65" customHeight="1" x14ac:dyDescent="0.25">
      <c r="B103" s="1362" t="s">
        <v>1225</v>
      </c>
      <c r="C103" s="1365">
        <f>0*(VLOOKUP(ref_year,Tbl_labor_indexes,2)/VLOOKUP(2008,Tbl_labor_indexes,2))</f>
        <v>0</v>
      </c>
      <c r="D103" s="1366" t="str">
        <f>ref_year&amp;"$/year"</f>
        <v>2016$/year</v>
      </c>
      <c r="E103" s="1312"/>
      <c r="F103" s="1312"/>
      <c r="G103" s="1312"/>
      <c r="H103" s="1312"/>
      <c r="I103" s="1312"/>
      <c r="J103" s="1312"/>
      <c r="K103" s="569"/>
      <c r="L103" s="1312"/>
      <c r="M103" s="1312"/>
    </row>
    <row r="104" spans="2:13" s="1289" customFormat="1" ht="12.65" customHeight="1" x14ac:dyDescent="0.25">
      <c r="B104" s="1362" t="s">
        <v>1226</v>
      </c>
      <c r="C104" s="1365">
        <f>395000*(VLOOKUP(ref_year,Tbl_labor_indexes,2)/VLOOKUP(2008,Tbl_labor_indexes,2))/plant_life</f>
        <v>11503.108974358973</v>
      </c>
      <c r="D104" s="1366" t="str">
        <f>ref_year&amp;"$/year"</f>
        <v>2016$/year</v>
      </c>
      <c r="E104" s="1312"/>
      <c r="F104" s="1312"/>
      <c r="G104" s="1312"/>
      <c r="H104" s="1312"/>
      <c r="I104" s="1312"/>
      <c r="J104" s="1312"/>
      <c r="K104" s="569"/>
      <c r="L104" s="1312"/>
      <c r="M104" s="1312"/>
    </row>
    <row r="105" spans="2:13" s="1289" customFormat="1" ht="12.65" customHeight="1" x14ac:dyDescent="0.25">
      <c r="B105" s="1362" t="s">
        <v>169</v>
      </c>
      <c r="C105" s="1365">
        <f>100000*(VLOOKUP(ref_year,Tbl_labor_indexes,2)/VLOOKUP(2008,Tbl_labor_indexes,2))/plant_life</f>
        <v>2912.1794871794864</v>
      </c>
      <c r="D105" s="1366" t="str">
        <f>ref_year&amp;"$/year"</f>
        <v>2016$/year</v>
      </c>
      <c r="E105" s="1312"/>
      <c r="F105" s="1312"/>
      <c r="G105" s="1312"/>
      <c r="H105" s="1312"/>
      <c r="I105" s="1312"/>
      <c r="J105" s="1312"/>
      <c r="K105" s="569"/>
      <c r="L105" s="1312"/>
      <c r="M105" s="1312"/>
    </row>
    <row r="106" spans="2:13" s="1289" customFormat="1" ht="12.65" customHeight="1" x14ac:dyDescent="0.25">
      <c r="B106" s="1362" t="s">
        <v>1227</v>
      </c>
      <c r="C106" s="1365">
        <f ca="1" xml:space="preserve"> (-30000*CO2_flowrate_GTpY^2 + 143000*CO2_flowrate_GTpY + 41000)*1000*(VLOOKUP(ref_year,Tbl_labor_indexes,2)/VLOOKUP(2008,Tbl_labor_indexes,2))/plant_life</f>
        <v>4575909.1155134346</v>
      </c>
      <c r="D106" s="1366" t="str">
        <f>ref_year&amp;"$/year"</f>
        <v>2016$/year</v>
      </c>
      <c r="E106" s="1312"/>
      <c r="F106" s="1312"/>
      <c r="G106" s="1312"/>
      <c r="H106" s="1312"/>
      <c r="I106" s="1312"/>
      <c r="J106" s="1312"/>
      <c r="K106" s="569"/>
      <c r="L106" s="1312"/>
      <c r="M106" s="1312"/>
    </row>
    <row r="107" spans="2:13" s="1289" customFormat="1" ht="12.65" customHeight="1" x14ac:dyDescent="0.25">
      <c r="B107" s="1362" t="s">
        <v>1228</v>
      </c>
      <c r="C107" s="1365">
        <f ca="1">(111200*CO2_flowrate_GTpY+27733.33)*1000*(VLOOKUP(ref_year,Tbl_labor_indexes,2)/VLOOKUP(2008,Tbl_labor_indexes,2))/plant_life</f>
        <v>4169822.1959871789</v>
      </c>
      <c r="D107" s="1366" t="str">
        <f>ref_year&amp;"$/year"</f>
        <v>2016$/year</v>
      </c>
      <c r="E107" s="1312"/>
      <c r="F107" s="1312"/>
      <c r="G107" s="1312"/>
      <c r="H107" s="1312"/>
      <c r="I107" s="1312"/>
      <c r="J107" s="1312"/>
      <c r="K107" s="569"/>
      <c r="L107" s="1312"/>
      <c r="M107" s="1312"/>
    </row>
    <row r="108" spans="2:13" s="1289" customFormat="1" ht="12.65" customHeight="1" thickBot="1" x14ac:dyDescent="0.3">
      <c r="B108" s="1301"/>
      <c r="C108" s="570"/>
      <c r="D108" s="570"/>
      <c r="E108" s="570"/>
      <c r="F108" s="570"/>
      <c r="G108" s="570"/>
      <c r="H108" s="570"/>
      <c r="I108" s="570"/>
      <c r="J108" s="570"/>
      <c r="K108" s="571"/>
      <c r="L108" s="1312"/>
      <c r="M108" s="1312"/>
    </row>
    <row r="109" spans="2:13" s="1289" customFormat="1" ht="12.65" customHeight="1" thickTop="1" x14ac:dyDescent="0.25">
      <c r="B109" s="1293"/>
      <c r="C109" s="1311"/>
      <c r="D109" s="1294"/>
      <c r="L109" s="1312"/>
      <c r="M109" s="1312"/>
    </row>
    <row r="110" spans="2:13" x14ac:dyDescent="0.25">
      <c r="L110" s="1312"/>
      <c r="M110" s="1312"/>
    </row>
    <row r="111" spans="2:13" x14ac:dyDescent="0.25">
      <c r="L111" s="1312"/>
      <c r="M111" s="1312"/>
    </row>
  </sheetData>
  <mergeCells count="48">
    <mergeCell ref="H31:I31"/>
    <mergeCell ref="H37:I37"/>
    <mergeCell ref="E30:F30"/>
    <mergeCell ref="E34:F34"/>
    <mergeCell ref="B45:F45"/>
    <mergeCell ref="B42:F42"/>
    <mergeCell ref="B39:F39"/>
    <mergeCell ref="E32:F32"/>
    <mergeCell ref="E40:F40"/>
    <mergeCell ref="E38:F38"/>
    <mergeCell ref="E37:F37"/>
    <mergeCell ref="E36:F36"/>
    <mergeCell ref="E35:F35"/>
    <mergeCell ref="E31:F31"/>
    <mergeCell ref="H36:I36"/>
    <mergeCell ref="H33:I33"/>
    <mergeCell ref="E33:F33"/>
    <mergeCell ref="H46:J46"/>
    <mergeCell ref="H38:I38"/>
    <mergeCell ref="H40:I40"/>
    <mergeCell ref="H35:I35"/>
    <mergeCell ref="H39:I39"/>
    <mergeCell ref="H34:I34"/>
    <mergeCell ref="B4:J4"/>
    <mergeCell ref="B5:J5"/>
    <mergeCell ref="H30:I30"/>
    <mergeCell ref="H21:I21"/>
    <mergeCell ref="H22:I22"/>
    <mergeCell ref="D26:F26"/>
    <mergeCell ref="H28:I28"/>
    <mergeCell ref="H20:K20"/>
    <mergeCell ref="H23:I23"/>
    <mergeCell ref="D21:F21"/>
    <mergeCell ref="D25:F25"/>
    <mergeCell ref="H24:I24"/>
    <mergeCell ref="H26:I26"/>
    <mergeCell ref="H25:I25"/>
    <mergeCell ref="H27:I27"/>
    <mergeCell ref="E47:F47"/>
    <mergeCell ref="H48:J48"/>
    <mergeCell ref="H45:J45"/>
    <mergeCell ref="E48:F48"/>
    <mergeCell ref="H41:I41"/>
    <mergeCell ref="H43:I43"/>
    <mergeCell ref="H47:J47"/>
    <mergeCell ref="E41:F41"/>
    <mergeCell ref="E46:F46"/>
    <mergeCell ref="E44:F44"/>
  </mergeCells>
  <phoneticPr fontId="2" type="noConversion"/>
  <dataValidations disablePrompts="1" count="1">
    <dataValidation type="list" allowBlank="1" showInputMessage="1" showErrorMessage="1" sqref="C34:C35" xr:uid="{00000000-0002-0000-0700-000000000000}">
      <formula1>Yes_No</formula1>
    </dataValidation>
  </dataValidations>
  <hyperlinks>
    <hyperlink ref="B15" location="'Carbon Sequestration'!B28" display="Carbon Sequestration Input Values" xr:uid="{00000000-0004-0000-0700-000000000000}"/>
    <hyperlink ref="B16" location="'Carbon Sequestration'!H21" display="Summary of Output Values" xr:uid="{00000000-0004-0000-0700-000001000000}"/>
    <hyperlink ref="B17" location="'Carbon Sequestration'!B41" display="Carbon Sequestration Calculations" xr:uid="{00000000-0004-0000-0700-000002000000}"/>
  </hyperlink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7568" r:id="rId4" name="chk_CO2_Pipeline_Temp">
          <controlPr defaultSize="0" autoLine="0" r:id="rId5">
            <anchor moveWithCells="1">
              <from>
                <xdr:col>3</xdr:col>
                <xdr:colOff>247650</xdr:colOff>
                <xdr:row>38</xdr:row>
                <xdr:rowOff>165100</xdr:rowOff>
              </from>
              <to>
                <xdr:col>3</xdr:col>
                <xdr:colOff>1327150</xdr:colOff>
                <xdr:row>40</xdr:row>
                <xdr:rowOff>31750</xdr:rowOff>
              </to>
            </anchor>
          </controlPr>
        </control>
      </mc:Choice>
      <mc:Fallback>
        <control shapeId="17568" r:id="rId4" name="chk_CO2_Pipeline_Temp"/>
      </mc:Fallback>
    </mc:AlternateContent>
    <mc:AlternateContent xmlns:mc="http://schemas.openxmlformats.org/markup-compatibility/2006">
      <mc:Choice Requires="x14">
        <control shapeId="17567" r:id="rId6" name="chk_CO2_PipeElevation">
          <controlPr defaultSize="0" autoLine="0" r:id="rId7">
            <anchor moveWithCells="1">
              <from>
                <xdr:col>3</xdr:col>
                <xdr:colOff>241300</xdr:colOff>
                <xdr:row>35</xdr:row>
                <xdr:rowOff>165100</xdr:rowOff>
              </from>
              <to>
                <xdr:col>3</xdr:col>
                <xdr:colOff>1314450</xdr:colOff>
                <xdr:row>37</xdr:row>
                <xdr:rowOff>19050</xdr:rowOff>
              </to>
            </anchor>
          </controlPr>
        </control>
      </mc:Choice>
      <mc:Fallback>
        <control shapeId="17567" r:id="rId6" name="chk_CO2_PipeElevation"/>
      </mc:Fallback>
    </mc:AlternateContent>
    <mc:AlternateContent xmlns:mc="http://schemas.openxmlformats.org/markup-compatibility/2006">
      <mc:Choice Requires="x14">
        <control shapeId="17566" r:id="rId8" name="chk_CO2_PipeLength">
          <controlPr defaultSize="0" autoLine="0" r:id="rId9">
            <anchor moveWithCells="1">
              <from>
                <xdr:col>3</xdr:col>
                <xdr:colOff>241300</xdr:colOff>
                <xdr:row>34</xdr:row>
                <xdr:rowOff>152400</xdr:rowOff>
              </from>
              <to>
                <xdr:col>3</xdr:col>
                <xdr:colOff>1314450</xdr:colOff>
                <xdr:row>36</xdr:row>
                <xdr:rowOff>12700</xdr:rowOff>
              </to>
            </anchor>
          </controlPr>
        </control>
      </mc:Choice>
      <mc:Fallback>
        <control shapeId="17566" r:id="rId8" name="chk_CO2_PipeLength"/>
      </mc:Fallback>
    </mc:AlternateContent>
    <mc:AlternateContent xmlns:mc="http://schemas.openxmlformats.org/markup-compatibility/2006">
      <mc:Choice Requires="x14">
        <control shapeId="17565" r:id="rId10" name="chk_CO2_SurgeTank">
          <controlPr defaultSize="0" autoLine="0" r:id="rId11">
            <anchor moveWithCells="1">
              <from>
                <xdr:col>3</xdr:col>
                <xdr:colOff>241300</xdr:colOff>
                <xdr:row>33</xdr:row>
                <xdr:rowOff>152400</xdr:rowOff>
              </from>
              <to>
                <xdr:col>3</xdr:col>
                <xdr:colOff>1314450</xdr:colOff>
                <xdr:row>35</xdr:row>
                <xdr:rowOff>12700</xdr:rowOff>
              </to>
            </anchor>
          </controlPr>
        </control>
      </mc:Choice>
      <mc:Fallback>
        <control shapeId="17565" r:id="rId10" name="chk_CO2_SurgeTank"/>
      </mc:Fallback>
    </mc:AlternateContent>
    <mc:AlternateContent xmlns:mc="http://schemas.openxmlformats.org/markup-compatibility/2006">
      <mc:Choice Requires="x14">
        <control shapeId="17563" r:id="rId12" name="chk_CO2_ControlSystem">
          <controlPr defaultSize="0" autoLine="0" r:id="rId13">
            <anchor moveWithCells="1">
              <from>
                <xdr:col>3</xdr:col>
                <xdr:colOff>241300</xdr:colOff>
                <xdr:row>32</xdr:row>
                <xdr:rowOff>165100</xdr:rowOff>
              </from>
              <to>
                <xdr:col>3</xdr:col>
                <xdr:colOff>1314450</xdr:colOff>
                <xdr:row>34</xdr:row>
                <xdr:rowOff>19050</xdr:rowOff>
              </to>
            </anchor>
          </controlPr>
        </control>
      </mc:Choice>
      <mc:Fallback>
        <control shapeId="17563" r:id="rId12" name="chk_CO2_ControlSystem"/>
      </mc:Fallback>
    </mc:AlternateContent>
    <mc:AlternateContent xmlns:mc="http://schemas.openxmlformats.org/markup-compatibility/2006">
      <mc:Choice Requires="x14">
        <control shapeId="17562" r:id="rId14" name="chk_CO2_Pump_Eff">
          <controlPr defaultSize="0" autoLine="0" r:id="rId15">
            <anchor moveWithCells="1">
              <from>
                <xdr:col>3</xdr:col>
                <xdr:colOff>241300</xdr:colOff>
                <xdr:row>31</xdr:row>
                <xdr:rowOff>336550</xdr:rowOff>
              </from>
              <to>
                <xdr:col>3</xdr:col>
                <xdr:colOff>1314450</xdr:colOff>
                <xdr:row>33</xdr:row>
                <xdr:rowOff>19050</xdr:rowOff>
              </to>
            </anchor>
          </controlPr>
        </control>
      </mc:Choice>
      <mc:Fallback>
        <control shapeId="17562" r:id="rId14" name="chk_CO2_Pump_Eff"/>
      </mc:Fallback>
    </mc:AlternateContent>
    <mc:AlternateContent xmlns:mc="http://schemas.openxmlformats.org/markup-compatibility/2006">
      <mc:Choice Requires="x14">
        <control shapeId="17561" r:id="rId16" name="chk_n_CO2_pumps">
          <controlPr defaultSize="0" autoLine="0" r:id="rId17">
            <anchor moveWithCells="1">
              <from>
                <xdr:col>3</xdr:col>
                <xdr:colOff>241300</xdr:colOff>
                <xdr:row>31</xdr:row>
                <xdr:rowOff>69850</xdr:rowOff>
              </from>
              <to>
                <xdr:col>3</xdr:col>
                <xdr:colOff>1314450</xdr:colOff>
                <xdr:row>31</xdr:row>
                <xdr:rowOff>285750</xdr:rowOff>
              </to>
            </anchor>
          </controlPr>
        </control>
      </mc:Choice>
      <mc:Fallback>
        <control shapeId="17561" r:id="rId16" name="chk_n_CO2_pumps"/>
      </mc:Fallback>
    </mc:AlternateContent>
    <mc:AlternateContent xmlns:mc="http://schemas.openxmlformats.org/markup-compatibility/2006">
      <mc:Choice Requires="x14">
        <control shapeId="17452" r:id="rId18" name="chk_CO2_Capture_Efficiency">
          <controlPr defaultSize="0" autoLine="0" r:id="rId19">
            <anchor moveWithCells="1">
              <from>
                <xdr:col>3</xdr:col>
                <xdr:colOff>247650</xdr:colOff>
                <xdr:row>28</xdr:row>
                <xdr:rowOff>171450</xdr:rowOff>
              </from>
              <to>
                <xdr:col>3</xdr:col>
                <xdr:colOff>1327150</xdr:colOff>
                <xdr:row>30</xdr:row>
                <xdr:rowOff>31750</xdr:rowOff>
              </to>
            </anchor>
          </controlPr>
        </control>
      </mc:Choice>
      <mc:Fallback>
        <control shapeId="17452" r:id="rId18" name="chk_CO2_Capture_Efficiency"/>
      </mc:Fallback>
    </mc:AlternateContent>
    <mc:AlternateContent xmlns:mc="http://schemas.openxmlformats.org/markup-compatibility/2006">
      <mc:Choice Requires="x14">
        <control shapeId="17453" r:id="rId20" name="chk_CO2_MaintFactor">
          <controlPr defaultSize="0" autoLine="0" r:id="rId21">
            <anchor moveWithCells="1">
              <from>
                <xdr:col>3</xdr:col>
                <xdr:colOff>247650</xdr:colOff>
                <xdr:row>43</xdr:row>
                <xdr:rowOff>0</xdr:rowOff>
              </from>
              <to>
                <xdr:col>3</xdr:col>
                <xdr:colOff>1327150</xdr:colOff>
                <xdr:row>44</xdr:row>
                <xdr:rowOff>31750</xdr:rowOff>
              </to>
            </anchor>
          </controlPr>
        </control>
      </mc:Choice>
      <mc:Fallback>
        <control shapeId="17453" r:id="rId20" name="chk_CO2_MaintFactor"/>
      </mc:Fallback>
    </mc:AlternateContent>
    <mc:AlternateContent xmlns:mc="http://schemas.openxmlformats.org/markup-compatibility/2006">
      <mc:Choice Requires="x14">
        <control shapeId="17497" r:id="rId22" name="chk_CO2_Pin_psia">
          <controlPr defaultSize="0" autoLine="0" r:id="rId23">
            <anchor moveWithCells="1">
              <from>
                <xdr:col>3</xdr:col>
                <xdr:colOff>247650</xdr:colOff>
                <xdr:row>30</xdr:row>
                <xdr:rowOff>69850</xdr:rowOff>
              </from>
              <to>
                <xdr:col>3</xdr:col>
                <xdr:colOff>1327150</xdr:colOff>
                <xdr:row>30</xdr:row>
                <xdr:rowOff>285750</xdr:rowOff>
              </to>
            </anchor>
          </controlPr>
        </control>
      </mc:Choice>
      <mc:Fallback>
        <control shapeId="17497" r:id="rId22" name="chk_CO2_Pin_psia"/>
      </mc:Fallback>
    </mc:AlternateContent>
    <mc:AlternateContent xmlns:mc="http://schemas.openxmlformats.org/markup-compatibility/2006">
      <mc:Choice Requires="x14">
        <control shapeId="17509" r:id="rId24" name="chk_CO2_credit">
          <controlPr defaultSize="0" autoLine="0" r:id="rId25">
            <anchor moveWithCells="1">
              <from>
                <xdr:col>3</xdr:col>
                <xdr:colOff>247650</xdr:colOff>
                <xdr:row>41</xdr:row>
                <xdr:rowOff>171450</xdr:rowOff>
              </from>
              <to>
                <xdr:col>4</xdr:col>
                <xdr:colOff>76200</xdr:colOff>
                <xdr:row>43</xdr:row>
                <xdr:rowOff>31750</xdr:rowOff>
              </to>
            </anchor>
          </controlPr>
        </control>
      </mc:Choice>
      <mc:Fallback>
        <control shapeId="17509" r:id="rId24" name="chk_CO2_credit"/>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tabColor indexed="44"/>
    <pageSetUpPr fitToPage="1"/>
  </sheetPr>
  <dimension ref="B1:I122"/>
  <sheetViews>
    <sheetView workbookViewId="0"/>
  </sheetViews>
  <sheetFormatPr defaultRowHeight="12.5" x14ac:dyDescent="0.25"/>
  <cols>
    <col min="2" max="2" width="28.7265625" customWidth="1"/>
    <col min="3" max="3" width="25.26953125" customWidth="1"/>
    <col min="4" max="4" width="22.7265625" customWidth="1"/>
    <col min="5" max="5" width="22.1796875" customWidth="1"/>
    <col min="6" max="6" width="20.26953125" customWidth="1"/>
    <col min="7" max="7" width="18.54296875" customWidth="1"/>
    <col min="8" max="8" width="15.7265625" customWidth="1"/>
    <col min="9" max="9" width="16.26953125" customWidth="1"/>
  </cols>
  <sheetData>
    <row r="1" spans="2:9" ht="13" thickBot="1" x14ac:dyDescent="0.3"/>
    <row r="2" spans="2:9" ht="16" thickTop="1" x14ac:dyDescent="0.35">
      <c r="B2" s="735" t="s">
        <v>1067</v>
      </c>
      <c r="C2" s="736"/>
    </row>
    <row r="3" spans="2:9" x14ac:dyDescent="0.25">
      <c r="B3" s="737" t="s">
        <v>79</v>
      </c>
      <c r="C3" s="695"/>
    </row>
    <row r="4" spans="2:9" x14ac:dyDescent="0.25">
      <c r="B4" s="737" t="s">
        <v>919</v>
      </c>
      <c r="C4" s="695"/>
    </row>
    <row r="5" spans="2:9" x14ac:dyDescent="0.25">
      <c r="B5" s="737" t="s">
        <v>394</v>
      </c>
      <c r="C5" s="695"/>
    </row>
    <row r="6" spans="2:9" x14ac:dyDescent="0.25">
      <c r="B6" s="737" t="s">
        <v>1068</v>
      </c>
      <c r="C6" s="695"/>
    </row>
    <row r="7" spans="2:9" x14ac:dyDescent="0.25">
      <c r="B7" s="737" t="s">
        <v>402</v>
      </c>
      <c r="C7" s="695"/>
    </row>
    <row r="8" spans="2:9" x14ac:dyDescent="0.25">
      <c r="B8" s="737" t="s">
        <v>535</v>
      </c>
      <c r="C8" s="695"/>
    </row>
    <row r="9" spans="2:9" x14ac:dyDescent="0.25">
      <c r="B9" s="737" t="s">
        <v>1069</v>
      </c>
      <c r="C9" s="695"/>
    </row>
    <row r="10" spans="2:9" ht="13" thickBot="1" x14ac:dyDescent="0.3">
      <c r="B10" s="738" t="s">
        <v>1070</v>
      </c>
      <c r="C10" s="739"/>
    </row>
    <row r="11" spans="2:9" ht="13" thickTop="1" x14ac:dyDescent="0.25"/>
    <row r="12" spans="2:9" ht="25" x14ac:dyDescent="0.5">
      <c r="B12" s="435" t="s">
        <v>391</v>
      </c>
      <c r="C12" s="139"/>
      <c r="D12" s="139"/>
      <c r="E12" s="53"/>
      <c r="F12" s="53"/>
      <c r="G12" s="40"/>
      <c r="H12" s="41"/>
      <c r="I12" s="138"/>
    </row>
    <row r="13" spans="2:9" ht="13" x14ac:dyDescent="0.3">
      <c r="D13" s="139"/>
      <c r="E13" s="140"/>
      <c r="F13" s="53"/>
      <c r="G13" s="40"/>
      <c r="H13" s="41"/>
      <c r="I13" s="138"/>
    </row>
    <row r="14" spans="2:9" ht="22.5" thickBot="1" x14ac:dyDescent="0.7">
      <c r="B14" s="320" t="s">
        <v>392</v>
      </c>
      <c r="D14" s="139"/>
      <c r="E14" s="53"/>
      <c r="F14" s="53"/>
      <c r="G14" s="40"/>
      <c r="H14" s="41"/>
      <c r="I14" s="138"/>
    </row>
    <row r="15" spans="2:9" ht="16" thickBot="1" x14ac:dyDescent="0.4">
      <c r="B15" s="1043" t="s">
        <v>1095</v>
      </c>
      <c r="C15" s="1044">
        <f ca="1">total_cap/(ProcEqpCap+CCSEqpCap)</f>
        <v>2.2583850501005847</v>
      </c>
      <c r="D15" s="139"/>
      <c r="E15" s="53"/>
      <c r="F15" s="53"/>
      <c r="G15" s="40"/>
      <c r="H15" s="41"/>
      <c r="I15" s="138"/>
    </row>
    <row r="16" spans="2:9" ht="13.5" thickBot="1" x14ac:dyDescent="0.3">
      <c r="B16" s="53"/>
      <c r="C16" s="53"/>
      <c r="D16" s="53"/>
      <c r="E16" s="53"/>
      <c r="F16" s="53"/>
      <c r="G16" s="40"/>
      <c r="H16" s="41"/>
      <c r="I16" s="138"/>
    </row>
    <row r="17" spans="2:9" ht="16.5" thickTop="1" thickBot="1" x14ac:dyDescent="0.4">
      <c r="B17" s="49" t="s">
        <v>79</v>
      </c>
      <c r="C17" s="153"/>
      <c r="D17" s="154"/>
      <c r="E17" s="53"/>
      <c r="F17" s="1634" t="str">
        <f>IF(CO2_inUse = "Carbon Sequestration","Approximate Carbon Sequestration Costs*","Carbon Sequestration is not included in this case")</f>
        <v>Approximate Carbon Sequestration Costs*</v>
      </c>
      <c r="G17" s="1635"/>
      <c r="H17" s="1636"/>
      <c r="I17" s="138"/>
    </row>
    <row r="18" spans="2:9" ht="56.5" thickTop="1" x14ac:dyDescent="0.3">
      <c r="B18" s="156" t="s">
        <v>80</v>
      </c>
      <c r="C18" s="57" t="s">
        <v>81</v>
      </c>
      <c r="D18" s="434" t="s">
        <v>82</v>
      </c>
      <c r="E18" s="53"/>
      <c r="F18" s="1279" t="s">
        <v>80</v>
      </c>
      <c r="G18" s="1280" t="s">
        <v>2</v>
      </c>
      <c r="H18" s="1281" t="s">
        <v>3</v>
      </c>
      <c r="I18" s="138"/>
    </row>
    <row r="19" spans="2:9" ht="14" x14ac:dyDescent="0.3">
      <c r="B19" s="633" t="s">
        <v>83</v>
      </c>
      <c r="C19" s="842">
        <f ca="1">'Cash Flow Analysis'!D119</f>
        <v>0.4062737219117748</v>
      </c>
      <c r="D19" s="157">
        <f ca="1">'Cash Flow Analysis'!C119</f>
        <v>0.26072940763810004</v>
      </c>
      <c r="E19" s="53"/>
      <c r="F19" s="1282" t="s">
        <v>83</v>
      </c>
      <c r="G19" s="1283">
        <f ca="1">IF(CO2_inUse = "Carbon Sequestration",ROUND((Det_CO2_seq+CO2_aprx_indCap)*CO2_cap_charge_rate/output_kgyear,2),"")</f>
        <v>0.11</v>
      </c>
      <c r="H19" s="1284">
        <f ca="1">IF(CO2_inUse = "Carbon Sequestration",CO2_capptonneCO2,"")</f>
        <v>26.1</v>
      </c>
      <c r="I19" s="138"/>
    </row>
    <row r="20" spans="2:9" ht="14" x14ac:dyDescent="0.3">
      <c r="B20" s="633" t="s">
        <v>84</v>
      </c>
      <c r="C20" s="238">
        <f ca="1">'Cash Flow Analysis'!D120</f>
        <v>1.5567912435341155E-3</v>
      </c>
      <c r="D20" s="158">
        <f ca="1">'Cash Flow Analysis'!C120</f>
        <v>9.9908322111705609E-4</v>
      </c>
      <c r="E20" s="53"/>
      <c r="F20" s="1282" t="s">
        <v>4</v>
      </c>
      <c r="G20" s="1283">
        <f ca="1">IF(CO2_inUse = "Carbon Sequestration",ROUND(Det_CO2_OandMcost/output_kgyear,2),"")</f>
        <v>0.08</v>
      </c>
      <c r="H20" s="1284">
        <f ca="1">IF(CO2_inUse = "Carbon Sequestration",CO2_OandMptonneCO2,"")</f>
        <v>11.8</v>
      </c>
      <c r="I20" s="138"/>
    </row>
    <row r="21" spans="2:9" ht="14" x14ac:dyDescent="0.3">
      <c r="B21" s="633" t="s">
        <v>85</v>
      </c>
      <c r="C21" s="238">
        <f ca="1">'Cash Flow Analysis'!D121</f>
        <v>0.11952400105681886</v>
      </c>
      <c r="D21" s="158">
        <f ca="1">'Cash Flow Analysis'!C121</f>
        <v>7.6705482814483833E-2</v>
      </c>
      <c r="E21" s="53"/>
      <c r="F21" s="1282" t="s">
        <v>5</v>
      </c>
      <c r="G21" s="1283">
        <f ca="1">IF(CO2_inUse = "Carbon Sequestration",ROUND(CO2_eCostpY/output_kgyear,2),"")</f>
        <v>0</v>
      </c>
      <c r="H21" s="1284">
        <f ca="1">IF(CO2_inUse = "Carbon Sequestration",CO2_energyptonneCO2,"")</f>
        <v>0.4</v>
      </c>
      <c r="I21" s="138"/>
    </row>
    <row r="22" spans="2:9" ht="14.5" thickBot="1" x14ac:dyDescent="0.35">
      <c r="B22" s="633" t="s">
        <v>1004</v>
      </c>
      <c r="C22" s="238">
        <f ca="1">'Cash Flow Analysis'!D122</f>
        <v>0.82524955783637099</v>
      </c>
      <c r="D22" s="158">
        <f ca="1">'Cash Flow Analysis'!C122</f>
        <v>0.52961049844864438</v>
      </c>
      <c r="E22" s="53"/>
      <c r="F22" s="1285" t="s">
        <v>58</v>
      </c>
      <c r="G22" s="1286">
        <f ca="1">SUM(G19:G21)</f>
        <v>0.19</v>
      </c>
      <c r="H22" s="1287">
        <f ca="1">SUM(H19:H21)</f>
        <v>38.300000000000004</v>
      </c>
      <c r="I22" s="138"/>
    </row>
    <row r="23" spans="2:9" ht="27" customHeight="1" thickTop="1" x14ac:dyDescent="0.25">
      <c r="B23" s="633" t="s">
        <v>86</v>
      </c>
      <c r="C23" s="238">
        <f ca="1">'Cash Flow Analysis'!D123</f>
        <v>0</v>
      </c>
      <c r="D23" s="158">
        <f ca="1">'Cash Flow Analysis'!C123</f>
        <v>0</v>
      </c>
      <c r="E23" s="53"/>
      <c r="F23" s="1637" t="s">
        <v>6</v>
      </c>
      <c r="G23" s="1637"/>
      <c r="H23" s="1637"/>
      <c r="I23" s="138"/>
    </row>
    <row r="24" spans="2:9" x14ac:dyDescent="0.25">
      <c r="B24" s="633" t="s">
        <v>87</v>
      </c>
      <c r="C24" s="238">
        <f ca="1">'Cash Flow Analysis'!D124</f>
        <v>0</v>
      </c>
      <c r="D24" s="158">
        <f ca="1">'Cash Flow Analysis'!C124</f>
        <v>0</v>
      </c>
      <c r="E24" s="53"/>
      <c r="F24" s="53"/>
      <c r="I24" s="138"/>
    </row>
    <row r="25" spans="2:9" ht="25" x14ac:dyDescent="0.25">
      <c r="B25" s="634" t="s">
        <v>88</v>
      </c>
      <c r="C25" s="238">
        <f ca="1">'Cash Flow Analysis'!D125</f>
        <v>0.20561571448089222</v>
      </c>
      <c r="D25" s="158">
        <f ca="1">'Cash Flow Analysis'!C125</f>
        <v>0.13195552787765472</v>
      </c>
      <c r="E25" s="53"/>
      <c r="F25" s="53"/>
      <c r="I25" s="138"/>
    </row>
    <row r="26" spans="2:9" ht="13.5" thickBot="1" x14ac:dyDescent="0.35">
      <c r="B26" s="635" t="s">
        <v>58</v>
      </c>
      <c r="C26" s="843">
        <f ca="1">SUM(C19:C25)</f>
        <v>1.5582197865293907</v>
      </c>
      <c r="D26" s="574"/>
      <c r="E26" s="53"/>
      <c r="F26" s="53"/>
      <c r="I26" s="138"/>
    </row>
    <row r="27" spans="2:9" ht="13.5" thickTop="1" x14ac:dyDescent="0.25">
      <c r="B27" s="53"/>
      <c r="C27" s="53"/>
      <c r="D27" s="147"/>
      <c r="E27" s="53"/>
      <c r="F27" s="53"/>
      <c r="I27" s="138"/>
    </row>
    <row r="28" spans="2:9" ht="22" x14ac:dyDescent="0.65">
      <c r="B28" s="320" t="s">
        <v>393</v>
      </c>
      <c r="C28" s="53"/>
      <c r="D28" s="41"/>
      <c r="E28" s="53"/>
      <c r="F28" s="53"/>
      <c r="G28" s="53"/>
      <c r="H28" s="53"/>
      <c r="I28" s="138"/>
    </row>
    <row r="29" spans="2:9" ht="13" thickBot="1" x14ac:dyDescent="0.3">
      <c r="I29" s="138"/>
    </row>
    <row r="30" spans="2:9" ht="16.5" thickTop="1" thickBot="1" x14ac:dyDescent="0.4">
      <c r="B30" s="1626" t="s">
        <v>919</v>
      </c>
      <c r="C30" s="1627"/>
      <c r="D30" s="617"/>
      <c r="E30" s="617"/>
      <c r="F30" s="617"/>
      <c r="G30" s="618"/>
      <c r="H30" s="618"/>
      <c r="I30" s="622"/>
    </row>
    <row r="31" spans="2:9" ht="42.5" thickBot="1" x14ac:dyDescent="0.3">
      <c r="B31" s="623" t="s">
        <v>248</v>
      </c>
      <c r="C31" s="624" t="s">
        <v>923</v>
      </c>
      <c r="D31" s="624" t="s">
        <v>918</v>
      </c>
      <c r="E31" s="625" t="s">
        <v>708</v>
      </c>
      <c r="F31" s="625" t="s">
        <v>264</v>
      </c>
      <c r="G31" s="625" t="s">
        <v>917</v>
      </c>
      <c r="H31" s="625" t="s">
        <v>934</v>
      </c>
      <c r="I31" s="626" t="s">
        <v>1193</v>
      </c>
    </row>
    <row r="32" spans="2:9" x14ac:dyDescent="0.25">
      <c r="B32" s="712" t="str">
        <f>IF('Cash Flow Analysis'!$B$131=0,"",'Cash Flow Analysis'!$B$131)</f>
        <v>Industrial Natural Gas</v>
      </c>
      <c r="C32" s="713">
        <f ca="1">IF($B$32="","",$E$32*$F$32*$H$32)</f>
        <v>0.16436899999999999</v>
      </c>
      <c r="D32" s="713">
        <f ca="1">IF($B32="","",$C32*1000*MJ_to_kWh)</f>
        <v>45.658055555555556</v>
      </c>
      <c r="E32" s="714">
        <f ca="1">IF($B$32&lt;&gt;"",VLOOKUP($B$32,MASTER_PROPERTY_TABLE,MATCH("H2A LHV (GJ/ H2A usage input unit)",key_MPTable,0),FALSE),"")</f>
        <v>1.0549999999999999</v>
      </c>
      <c r="F32" s="714">
        <f ca="1">IF('Cash Flow Analysis'!$B$133="","",'Cash Flow Analysis'!$B$133)</f>
        <v>0.15579999999999999</v>
      </c>
      <c r="G32" s="715" t="str">
        <f ca="1">IF($B$32&lt;&gt;"",VLOOKUP($B$32,MASTER_PROPERTY_TABLE,MATCH("H2A Usage Input Unit/ kg H2",key_MPTable,0),FALSE),"")</f>
        <v>mmBtu</v>
      </c>
      <c r="H32" s="715">
        <f ca="1">IF($B32="","",IF(VLOOKUP($B32,MASTER_PROPERTY_TABLE,MATCH("Unit System",key_MPTable,0),FALSE)="English",mmBTU_to_GJ,1))</f>
        <v>1</v>
      </c>
      <c r="I32" s="1228">
        <f ca="1">+'Cash Flow Analysis'!$B$233</f>
        <v>5.6045454960904868</v>
      </c>
    </row>
    <row r="33" spans="2:9" x14ac:dyDescent="0.25">
      <c r="B33" s="666" t="str">
        <f>IF('Cash Flow Analysis'!$C$131=0,"",'Cash Flow Analysis'!$C$131)</f>
        <v/>
      </c>
      <c r="C33" s="716" t="str">
        <f>IF($B$33="","",$E$33*$F$33*$H$33)</f>
        <v/>
      </c>
      <c r="D33" s="716" t="str">
        <f>IF($B33="","",$C33*1000*MJ_to_kWh)</f>
        <v/>
      </c>
      <c r="E33" s="670" t="str">
        <f>IF($B$33&lt;&gt;"",VLOOKUP($B$33,MASTER_PROPERTY_TABLE,MATCH("H2A LHV (GJ/ H2A usage input unit)",key_MPTable,0),FALSE),"")</f>
        <v/>
      </c>
      <c r="F33" s="670" t="str">
        <f>IF('Cash Flow Analysis'!$C$133="","",'Cash Flow Analysis'!$C$133)</f>
        <v/>
      </c>
      <c r="G33" s="717" t="str">
        <f>IF($B$33&lt;&gt;"",VLOOKUP($B$33,MASTER_PROPERTY_TABLE,MATCH("H2A Usage Input Unit/ kg H2",key_MPTable,0),FALSE),"")</f>
        <v/>
      </c>
      <c r="H33" s="717" t="str">
        <f>IF($B$33="","",IF(VLOOKUP($B$33,MASTER_PROPERTY_TABLE,MATCH("Unit System",key_MPTable,0),FALSE)="English",mmBTU_to_GJ,1))</f>
        <v/>
      </c>
      <c r="I33" s="1229" t="str">
        <f>+'Cash Flow Analysis'!$C$233</f>
        <v/>
      </c>
    </row>
    <row r="34" spans="2:9" x14ac:dyDescent="0.25">
      <c r="B34" s="666" t="str">
        <f>IF('Cash Flow Analysis'!$D$131=0,"",'Cash Flow Analysis'!$D$131)</f>
        <v/>
      </c>
      <c r="C34" s="716" t="str">
        <f>IF($B$34="","",$E$34*$F$34*$H$34)</f>
        <v/>
      </c>
      <c r="D34" s="716" t="str">
        <f>IF($B34="","",$C34*1000*MJ_to_kWh)</f>
        <v/>
      </c>
      <c r="E34" s="670" t="str">
        <f>IF($B$34&lt;&gt;"",VLOOKUP($B$34,MASTER_PROPERTY_TABLE,MATCH("H2A LHV (GJ/ H2A usage input unit)",key_MPTable,0),FALSE),"")</f>
        <v/>
      </c>
      <c r="F34" s="670" t="str">
        <f>IF('Cash Flow Analysis'!$D$133="","",'Cash Flow Analysis'!$D$133)</f>
        <v/>
      </c>
      <c r="G34" s="717" t="str">
        <f>IF($B$34&lt;&gt;"",VLOOKUP($B$34,MASTER_PROPERTY_TABLE,MATCH("H2A Usage Input Unit/ kg H2",key_MPTable,0),FALSE),"")</f>
        <v/>
      </c>
      <c r="H34" s="717" t="str">
        <f>IF($B$34="","",IF(VLOOKUP($B$34,MASTER_PROPERTY_TABLE,MATCH("Unit System",key_MPTable,0),FALSE)="English",mmBTU_to_GJ,1))</f>
        <v/>
      </c>
      <c r="I34" s="1229" t="str">
        <f>+'Cash Flow Analysis'!$D$233</f>
        <v/>
      </c>
    </row>
    <row r="35" spans="2:9" ht="13" thickBot="1" x14ac:dyDescent="0.3">
      <c r="B35" s="719" t="str">
        <f>IF('Cash Flow Analysis'!$E$131=0,"",'Cash Flow Analysis'!$E$131)</f>
        <v/>
      </c>
      <c r="C35" s="720" t="str">
        <f>IF($B$35="","",$E$35*$F$35*$H$35)</f>
        <v/>
      </c>
      <c r="D35" s="720" t="str">
        <f>IF($B35="","",$C35*1000*MJ_to_kWh)</f>
        <v/>
      </c>
      <c r="E35" s="721" t="str">
        <f>IF($B$35&lt;&gt;"",VLOOKUP($B$35,MASTER_PROPERTY_TABLE,MATCH("H2A LHV (GJ/ H2A usage input unit)",key_MPTable,0),FALSE),"")</f>
        <v/>
      </c>
      <c r="F35" s="721" t="str">
        <f>IF('Cash Flow Analysis'!$E$133="","",'Cash Flow Analysis'!$E$133)</f>
        <v/>
      </c>
      <c r="G35" s="722" t="str">
        <f>IF($B$35&lt;&gt;"",VLOOKUP($B$35,MASTER_PROPERTY_TABLE,MATCH("H2A Usage Input Unit/ kg H2",key_MPTable,0),FALSE),"")</f>
        <v/>
      </c>
      <c r="H35" s="722" t="str">
        <f>IF($B$35="","",IF(VLOOKUP($B$35,MASTER_PROPERTY_TABLE,MATCH("Unit System",key_MPTable,0),FALSE)="English",mmBTU_to_GJ,1))</f>
        <v/>
      </c>
      <c r="I35" s="1230" t="str">
        <f>+'Cash Flow Analysis'!$E$233</f>
        <v/>
      </c>
    </row>
    <row r="36" spans="2:9" ht="14" x14ac:dyDescent="0.3">
      <c r="B36" s="723" t="s">
        <v>271</v>
      </c>
      <c r="C36" s="724"/>
      <c r="D36" s="724"/>
      <c r="E36" s="630"/>
      <c r="F36" s="630"/>
      <c r="G36" s="631"/>
      <c r="H36" s="631"/>
      <c r="I36" s="1231"/>
    </row>
    <row r="37" spans="2:9" x14ac:dyDescent="0.25">
      <c r="B37" s="666" t="str">
        <f>IF('Cash Flow Analysis'!$F$131=0,"",'Cash Flow Analysis'!$F$131)</f>
        <v>Industrial Electricity</v>
      </c>
      <c r="C37" s="716">
        <f ca="1">IF($B$37="","",$E$37*$F$37*$H$37)</f>
        <v>2.1599999999999996E-3</v>
      </c>
      <c r="D37" s="716">
        <f ca="1">IF($B37="","",$C37*1000*MJ_to_kWh)</f>
        <v>0.6</v>
      </c>
      <c r="E37" s="670">
        <f ca="1">IF($B37&lt;&gt;"",VLOOKUP($B37,MASTER_PROPERTY_TABLE,MATCH("H2A LHV (GJ/ H2A usage input unit)",key_MPTable,0),FALSE),"")</f>
        <v>3.5999999999999995E-3</v>
      </c>
      <c r="F37" s="670">
        <f ca="1">IF('Cash Flow Analysis'!$F$133="","",'Cash Flow Analysis'!$F$133)</f>
        <v>0.6</v>
      </c>
      <c r="G37" s="717" t="str">
        <f ca="1">IF($B$37&lt;&gt;"",VLOOKUP($B$37,MASTER_PROPERTY_TABLE,MATCH("H2A Usage Input Unit/ kg H2",key_MPTable,0),FALSE),"")</f>
        <v>kWh</v>
      </c>
      <c r="H37" s="717">
        <f ca="1">IF($B$37="","",IF(VLOOKUP($B$37,MASTER_PROPERTY_TABLE,MATCH("Unit System",key_MPTable,0),FALSE)="English",mmBTU_to_GJ,1))</f>
        <v>1</v>
      </c>
      <c r="I37" s="1229">
        <f ca="1">+'Cash Flow Analysis'!$F$233</f>
        <v>7.9502245341356123E-2</v>
      </c>
    </row>
    <row r="38" spans="2:9" x14ac:dyDescent="0.25">
      <c r="B38" s="666" t="str">
        <f>IF('Cash Flow Analysis'!$G$131=0,"",'Cash Flow Analysis'!$G$131)</f>
        <v/>
      </c>
      <c r="C38" s="716" t="str">
        <f>IF($B$38="","",$E$38*$F$38*$H$38)</f>
        <v/>
      </c>
      <c r="D38" s="716" t="str">
        <f>IF($B38="","",$C38*1000*MJ_to_kWh)</f>
        <v/>
      </c>
      <c r="E38" s="670" t="str">
        <f>IF($B38&lt;&gt;"",VLOOKUP($B38,MASTER_PROPERTY_TABLE,MATCH("H2A LHV (GJ/ H2A usage input unit)",key_MPTable,0),FALSE),"")</f>
        <v/>
      </c>
      <c r="F38" s="670" t="str">
        <f>IF('Cash Flow Analysis'!$G$133="","",'Cash Flow Analysis'!$G$133)</f>
        <v/>
      </c>
      <c r="G38" s="717" t="str">
        <f>IF($B$38&lt;&gt;"",VLOOKUP($B$38,MASTER_PROPERTY_TABLE,MATCH("H2A Usage Input Unit/ kg H2",key_MPTable,0),FALSE),"")</f>
        <v/>
      </c>
      <c r="H38" s="717" t="str">
        <f>IF($B$38="","",IF(VLOOKUP($B$38,MASTER_PROPERTY_TABLE,MATCH("Unit System",key_MPTable,0),FALSE)="English",mmBTU_to_GJ,1))</f>
        <v/>
      </c>
      <c r="I38" s="1229" t="str">
        <f>+'Cash Flow Analysis'!$G$233</f>
        <v/>
      </c>
    </row>
    <row r="39" spans="2:9" x14ac:dyDescent="0.25">
      <c r="B39" s="666" t="str">
        <f>IF('Cash Flow Analysis'!$H$131=0,"",'Cash Flow Analysis'!$H$131)</f>
        <v/>
      </c>
      <c r="C39" s="716" t="str">
        <f>IF($B$39="","",$E$39*$F$39*$H$39)</f>
        <v/>
      </c>
      <c r="D39" s="716" t="str">
        <f>IF($B39="","",$C39*1000*MJ_to_kWh)</f>
        <v/>
      </c>
      <c r="E39" s="670" t="str">
        <f>IF($B39&lt;&gt;"",VLOOKUP($B39,MASTER_PROPERTY_TABLE,MATCH("H2A LHV (GJ/ H2A usage input unit)",key_MPTable,0),FALSE),"")</f>
        <v/>
      </c>
      <c r="F39" s="670" t="str">
        <f>IF('Cash Flow Analysis'!$H$133="","",'Cash Flow Analysis'!$H$133)</f>
        <v/>
      </c>
      <c r="G39" s="717" t="str">
        <f>IF($B$39&lt;&gt;"",VLOOKUP($B$39,MASTER_PROPERTY_TABLE,MATCH("H2A Usage Input Unit/ kg H2",key_MPTable,0),FALSE),"")</f>
        <v/>
      </c>
      <c r="H39" s="717" t="str">
        <f>IF($B$39="","",IF(VLOOKUP($B$39,MASTER_PROPERTY_TABLE,MATCH("Unit System",key_MPTable,0),FALSE)="English",mmBTU_to_GJ,1))</f>
        <v/>
      </c>
      <c r="I39" s="1229" t="str">
        <f>+'Cash Flow Analysis'!$H$233</f>
        <v/>
      </c>
    </row>
    <row r="40" spans="2:9" ht="13" thickBot="1" x14ac:dyDescent="0.3">
      <c r="B40" s="719" t="str">
        <f>IF('Cash Flow Analysis'!$I$131=0,"",'Cash Flow Analysis'!$I$131)</f>
        <v/>
      </c>
      <c r="C40" s="720" t="str">
        <f>IF($B$40="","",$E$40*$F$40*$H$40)</f>
        <v/>
      </c>
      <c r="D40" s="720" t="str">
        <f>IF($B40="","",$C40*1000*MJ_to_kWh)</f>
        <v/>
      </c>
      <c r="E40" s="721" t="str">
        <f>IF($B40&lt;&gt;"",VLOOKUP($B40,MASTER_PROPERTY_TABLE,MATCH("H2A LHV (GJ/ H2A usage input unit)",key_MPTable,0),FALSE),"")</f>
        <v/>
      </c>
      <c r="F40" s="721" t="str">
        <f>IF('Cash Flow Analysis'!$I$133="","",'Cash Flow Analysis'!$I$133)</f>
        <v/>
      </c>
      <c r="G40" s="722" t="str">
        <f>IF($B$40&lt;&gt;"",VLOOKUP($B$40,MASTER_PROPERTY_TABLE,MATCH("H2A Usage Input Unit/ kg H2",key_MPTable,0),FALSE),"")</f>
        <v/>
      </c>
      <c r="H40" s="722" t="str">
        <f>IF($B$40="","",IF(VLOOKUP($B$40,MASTER_PROPERTY_TABLE,MATCH("Unit System",key_MPTable,0),FALSE)="English",mmBTU_to_GJ,1))</f>
        <v/>
      </c>
      <c r="I40" s="1230" t="str">
        <f>+'Cash Flow Analysis'!$I$233</f>
        <v/>
      </c>
    </row>
    <row r="41" spans="2:9" ht="14" x14ac:dyDescent="0.3">
      <c r="B41" s="723" t="s">
        <v>400</v>
      </c>
      <c r="C41" s="724"/>
      <c r="D41" s="724"/>
      <c r="E41" s="630"/>
      <c r="F41" s="630"/>
      <c r="G41" s="631"/>
      <c r="H41" s="631"/>
      <c r="I41" s="632"/>
    </row>
    <row r="42" spans="2:9" ht="13" thickBot="1" x14ac:dyDescent="0.3">
      <c r="B42" s="619" t="str">
        <f ca="1">IF('Cash Flow Analysis'!$J$131=0,"",'Cash Flow Analysis'!$J$131)</f>
        <v>Industrial Electricity</v>
      </c>
      <c r="C42" s="688">
        <f ca="1">IF($B$42="","",$E$42*$F$42*$H$42)</f>
        <v>1.9113956075954064E-4</v>
      </c>
      <c r="D42" s="688">
        <f ca="1">IF($B42="","",$C42*1000*MJ_to_kWh)</f>
        <v>5.3094322433205735E-2</v>
      </c>
      <c r="E42" s="629">
        <f ca="1">IF($B42&lt;&gt;"",VLOOKUP($B42,MASTER_PROPERTY_TABLE,MATCH("H2A LHV (GJ/ H2A usage input unit)",key_MPTable,0),FALSE),"")</f>
        <v>3.5999999999999995E-3</v>
      </c>
      <c r="F42" s="629">
        <f ca="1">CO2_CashFlow_eUse</f>
        <v>5.3094322433205741E-2</v>
      </c>
      <c r="G42" s="627" t="str">
        <f ca="1">IF($B$42&lt;&gt;"",VLOOKUP($B$42,MASTER_PROPERTY_TABLE,MATCH("H2A Usage Input Unit/ kg H2",key_MPTable,0),FALSE),"")</f>
        <v>kWh</v>
      </c>
      <c r="H42" s="627">
        <f ca="1">IF($B42="","",IF(VLOOKUP($B42,MASTER_PROPERTY_TABLE,MATCH("Unit System",key_MPTable,0),FALSE)="English",mmBTU_to_GJ,1))</f>
        <v>1</v>
      </c>
      <c r="I42" s="628"/>
    </row>
    <row r="43" spans="2:9" ht="43" thickTop="1" thickBot="1" x14ac:dyDescent="0.35">
      <c r="B43" s="707"/>
      <c r="C43" s="708" t="s">
        <v>924</v>
      </c>
      <c r="D43" s="709" t="s">
        <v>1001</v>
      </c>
      <c r="E43" s="710" t="s">
        <v>708</v>
      </c>
      <c r="F43" s="708" t="s">
        <v>916</v>
      </c>
      <c r="G43" s="710" t="s">
        <v>917</v>
      </c>
      <c r="H43" s="710" t="s">
        <v>934</v>
      </c>
      <c r="I43" s="711"/>
    </row>
    <row r="44" spans="2:9" ht="13" x14ac:dyDescent="0.3">
      <c r="B44" s="620" t="s">
        <v>925</v>
      </c>
      <c r="C44" s="688">
        <f>kgH2_to_GJ</f>
        <v>0.12021163829516093</v>
      </c>
      <c r="D44" s="688">
        <f>IF($B44="","",$C44*1000*MJ_to_kWh)</f>
        <v>33.392121748655818</v>
      </c>
      <c r="E44" s="629">
        <f>kgH2_to_GJ</f>
        <v>0.12021163829516093</v>
      </c>
      <c r="F44" s="629">
        <v>1</v>
      </c>
      <c r="G44" s="627" t="s">
        <v>268</v>
      </c>
      <c r="H44" s="627">
        <v>1</v>
      </c>
      <c r="I44" s="628"/>
    </row>
    <row r="45" spans="2:9" ht="13.5" thickBot="1" x14ac:dyDescent="0.35">
      <c r="B45" s="620"/>
      <c r="C45" s="689"/>
      <c r="D45" s="689"/>
      <c r="E45" s="629"/>
      <c r="F45" s="629"/>
      <c r="G45" s="627"/>
      <c r="H45" s="627"/>
      <c r="I45" s="628"/>
    </row>
    <row r="46" spans="2:9" ht="14" x14ac:dyDescent="0.3">
      <c r="B46" s="723" t="s">
        <v>920</v>
      </c>
      <c r="C46" s="724"/>
      <c r="D46" s="724"/>
      <c r="E46" s="630"/>
      <c r="F46" s="630"/>
      <c r="G46" s="631"/>
      <c r="H46" s="631"/>
      <c r="I46" s="632"/>
    </row>
    <row r="47" spans="2:9" x14ac:dyDescent="0.25">
      <c r="B47" s="666" t="str">
        <f>IF('Cash Flow Analysis'!$K$131=0,"",'Cash Flow Analysis'!$K$131)</f>
        <v/>
      </c>
      <c r="C47" s="716" t="str">
        <f>IF($B$47="","",$E$47*$F$47*$H$47)</f>
        <v/>
      </c>
      <c r="D47" s="716" t="str">
        <f>IF($B47="","",$C47*1000*MJ_to_kWh)</f>
        <v/>
      </c>
      <c r="E47" s="670" t="str">
        <f>IF($B47&lt;&gt;"",VLOOKUP($B47,MASTER_PROPERTY_TABLE,MATCH("H2A LHV (GJ/ H2A usage input unit)",key_MPTable,0),FALSE),"")</f>
        <v/>
      </c>
      <c r="F47" s="670" t="str">
        <f>IF('Cash Flow Analysis'!$K$133="","",'Cash Flow Analysis'!$K$133)</f>
        <v/>
      </c>
      <c r="G47" s="717" t="str">
        <f>IF($B$47&lt;&gt;"",VLOOKUP($B$47,MASTER_PROPERTY_TABLE,MATCH("H2A Usage Input Unit/ kg H2",key_MPTable,0),FALSE),"")</f>
        <v/>
      </c>
      <c r="H47" s="717" t="str">
        <f>IF($B$47="","",IF(VLOOKUP($B$47,MASTER_PROPERTY_TABLE,MATCH("Unit System",key_MPTable,0),FALSE)="English",mmBTU_to_GJ,1))</f>
        <v/>
      </c>
      <c r="I47" s="718" t="str">
        <f>+'Cash Flow Analysis'!$K$233</f>
        <v/>
      </c>
    </row>
    <row r="48" spans="2:9" x14ac:dyDescent="0.25">
      <c r="B48" s="666" t="str">
        <f>IF('Cash Flow Analysis'!$L$131=0,"",'Cash Flow Analysis'!$L$131)</f>
        <v/>
      </c>
      <c r="C48" s="716" t="str">
        <f>IF($B$48="","",$E$48*$F$48*$H$48)</f>
        <v/>
      </c>
      <c r="D48" s="716" t="str">
        <f>IF($B48="","",$C48*1000*MJ_to_kWh)</f>
        <v/>
      </c>
      <c r="E48" s="670" t="str">
        <f>IF($B48&lt;&gt;"",VLOOKUP($B48,MASTER_PROPERTY_TABLE,MATCH("H2A LHV (GJ/ H2A usage input unit)",key_MPTable,0),FALSE),"")</f>
        <v/>
      </c>
      <c r="F48" s="670" t="str">
        <f>IF('Cash Flow Analysis'!$L$133="","",'Cash Flow Analysis'!$L$133)</f>
        <v/>
      </c>
      <c r="G48" s="717" t="str">
        <f>IF($B$48&lt;&gt;"",VLOOKUP($B$48,MASTER_PROPERTY_TABLE,MATCH("H2A Usage Input Unit/ kg H2",key_MPTable,0),FALSE),"")</f>
        <v/>
      </c>
      <c r="H48" s="717" t="str">
        <f>IF($B$48="","",IF(VLOOKUP($B$48,MASTER_PROPERTY_TABLE,MATCH("Unit System",key_MPTable,0),FALSE)="English",mmBTU_to_GJ,1))</f>
        <v/>
      </c>
      <c r="I48" s="718" t="str">
        <f>+'Cash Flow Analysis'!$L$233</f>
        <v/>
      </c>
    </row>
    <row r="49" spans="2:9" x14ac:dyDescent="0.25">
      <c r="B49" s="666" t="str">
        <f>IF('Cash Flow Analysis'!$M$131=0,"",'Cash Flow Analysis'!$M$131)</f>
        <v/>
      </c>
      <c r="C49" s="716" t="str">
        <f>IF($B$49="","",$E$49*$F$49*$H$49)</f>
        <v/>
      </c>
      <c r="D49" s="716" t="str">
        <f>IF($B49="","",$C49*1000*MJ_to_kWh)</f>
        <v/>
      </c>
      <c r="E49" s="670" t="str">
        <f>IF($B49&lt;&gt;"",VLOOKUP($B49,MASTER_PROPERTY_TABLE,MATCH("H2A LHV (GJ/ H2A usage input unit)",key_MPTable,0),FALSE),"")</f>
        <v/>
      </c>
      <c r="F49" s="670" t="str">
        <f>IF('Cash Flow Analysis'!$M$133="","",'Cash Flow Analysis'!$M$133)</f>
        <v/>
      </c>
      <c r="G49" s="717" t="str">
        <f>IF($B$49&lt;&gt;"",VLOOKUP($B$49,MASTER_PROPERTY_TABLE,MATCH("H2A Usage Input Unit/ kg H2",key_MPTable,0),FALSE),"")</f>
        <v/>
      </c>
      <c r="H49" s="717" t="str">
        <f>IF($B$49="","",IF(VLOOKUP($B$49,MASTER_PROPERTY_TABLE,MATCH("Unit System",key_MPTable,0),FALSE)="English",mmBTU_to_GJ,1))</f>
        <v/>
      </c>
      <c r="I49" s="718" t="str">
        <f>+'Cash Flow Analysis'!$M$233</f>
        <v/>
      </c>
    </row>
    <row r="50" spans="2:9" ht="13" thickBot="1" x14ac:dyDescent="0.3">
      <c r="B50" s="667" t="str">
        <f>IF('Cash Flow Analysis'!$N$131=0,"",'Cash Flow Analysis'!$N$131)</f>
        <v/>
      </c>
      <c r="C50" s="725" t="str">
        <f>IF($B$50="","",$E$50*$F$50*$H$50)</f>
        <v/>
      </c>
      <c r="D50" s="725" t="str">
        <f>IF($B50="","",$C50*1000*MJ_to_kWh)</f>
        <v/>
      </c>
      <c r="E50" s="681" t="str">
        <f>IF($B50&lt;&gt;"",VLOOKUP($B50,MASTER_PROPERTY_TABLE,MATCH("H2A LHV (GJ/ H2A usage input unit)",key_MPTable,0),FALSE),"")</f>
        <v/>
      </c>
      <c r="F50" s="681" t="str">
        <f>IF('Cash Flow Analysis'!$N$133="","",'Cash Flow Analysis'!$N$133)</f>
        <v/>
      </c>
      <c r="G50" s="726" t="str">
        <f>IF($B$50&lt;&gt;"",VLOOKUP($B$50,MASTER_PROPERTY_TABLE,MATCH("H2A Usage Input Unit/ kg H2",key_MPTable,0),FALSE),"")</f>
        <v/>
      </c>
      <c r="H50" s="726" t="str">
        <f>IF($B$50="","",IF(VLOOKUP($B$50,MASTER_PROPERTY_TABLE,MATCH("Unit System",key_MPTable,0),FALSE)="English",mmBTU_to_GJ,1))</f>
        <v/>
      </c>
      <c r="I50" s="727" t="str">
        <f>+'Cash Flow Analysis'!$N$233</f>
        <v/>
      </c>
    </row>
    <row r="51" spans="2:9" ht="13.5" thickTop="1" thickBot="1" x14ac:dyDescent="0.3"/>
    <row r="52" spans="2:9" ht="16" thickBot="1" x14ac:dyDescent="0.4">
      <c r="B52" s="1638" t="s">
        <v>394</v>
      </c>
      <c r="C52" s="1639"/>
      <c r="D52" s="316">
        <f ca="1">(C56+C57)/(C53+C54+C55)</f>
        <v>0.72103849368090878</v>
      </c>
      <c r="F52" s="28"/>
    </row>
    <row r="53" spans="2:9" ht="25" x14ac:dyDescent="0.25">
      <c r="B53" s="575" t="s">
        <v>597</v>
      </c>
      <c r="C53" s="576">
        <f ca="1">SUM(C32:C35)</f>
        <v>0.16436899999999999</v>
      </c>
      <c r="D53" s="577"/>
    </row>
    <row r="54" spans="2:9" x14ac:dyDescent="0.25">
      <c r="B54" s="578" t="s">
        <v>598</v>
      </c>
      <c r="C54" s="579">
        <f ca="1">SUM(C37:C40)</f>
        <v>2.1599999999999996E-3</v>
      </c>
      <c r="D54" s="580"/>
    </row>
    <row r="55" spans="2:9" ht="25" x14ac:dyDescent="0.25">
      <c r="B55" s="578" t="s">
        <v>395</v>
      </c>
      <c r="C55" s="579">
        <f ca="1">IF(C42="",0,C42)</f>
        <v>1.9113956075954064E-4</v>
      </c>
      <c r="D55" s="580"/>
    </row>
    <row r="56" spans="2:9" x14ac:dyDescent="0.25">
      <c r="B56" s="578" t="s">
        <v>599</v>
      </c>
      <c r="C56" s="579">
        <f>C44</f>
        <v>0.12021163829516093</v>
      </c>
      <c r="D56" s="580"/>
    </row>
    <row r="57" spans="2:9" ht="25.5" thickBot="1" x14ac:dyDescent="0.3">
      <c r="B57" s="581" t="s">
        <v>600</v>
      </c>
      <c r="C57" s="582">
        <f>SUM(C47:C50)</f>
        <v>0</v>
      </c>
      <c r="D57" s="583"/>
    </row>
    <row r="58" spans="2:9" ht="13" thickBot="1" x14ac:dyDescent="0.3"/>
    <row r="59" spans="2:9" ht="16.5" thickTop="1" thickBot="1" x14ac:dyDescent="0.4">
      <c r="B59" s="1626" t="s">
        <v>396</v>
      </c>
      <c r="C59" s="1627"/>
      <c r="D59" s="617"/>
      <c r="E59" s="636"/>
    </row>
    <row r="60" spans="2:9" ht="13" x14ac:dyDescent="0.3">
      <c r="B60" s="620" t="s">
        <v>248</v>
      </c>
      <c r="C60" s="584" t="s">
        <v>397</v>
      </c>
      <c r="D60" s="584" t="s">
        <v>398</v>
      </c>
      <c r="E60" s="637" t="s">
        <v>399</v>
      </c>
    </row>
    <row r="61" spans="2:9" x14ac:dyDescent="0.25">
      <c r="B61" s="619" t="str">
        <f>B32</f>
        <v>Industrial Natural Gas</v>
      </c>
      <c r="C61" s="684">
        <f ca="1">IF($B61="","",$C32/1000000*VLOOKUP($B61,Tbl_Emissions,3,FALSE))</f>
        <v>0.17954573766666662</v>
      </c>
      <c r="D61" s="684">
        <f ca="1">IF($B61="","",$C32/1000000*VLOOKUP($B61,Tbl_Emissions,4,FALSE))</f>
        <v>0.17949094799999998</v>
      </c>
      <c r="E61" s="685">
        <f ca="1">IF($B61="","",$C32/1000000*VLOOKUP($B61,Tbl_Emissions,5,FALSE))</f>
        <v>6.5469999022222216E-4</v>
      </c>
    </row>
    <row r="62" spans="2:9" x14ac:dyDescent="0.25">
      <c r="B62" s="619" t="str">
        <f>B33</f>
        <v/>
      </c>
      <c r="C62" s="684" t="str">
        <f>IF($B62="","",$C33/1000000*VLOOKUP($B62,Tbl_Emissions,3,FALSE))</f>
        <v/>
      </c>
      <c r="D62" s="684" t="str">
        <f>IF($B62="","",$C33/1000000*VLOOKUP($B62,Tbl_Emissions,4,FALSE))</f>
        <v/>
      </c>
      <c r="E62" s="685" t="str">
        <f>IF($B62="","",$C33/1000000*VLOOKUP($B62,Tbl_Emissions,5,FALSE))</f>
        <v/>
      </c>
    </row>
    <row r="63" spans="2:9" x14ac:dyDescent="0.25">
      <c r="B63" s="619" t="str">
        <f>B34</f>
        <v/>
      </c>
      <c r="C63" s="684" t="str">
        <f>IF($B63="","",$C34/1000000*VLOOKUP($B63,Tbl_Emissions,3,FALSE))</f>
        <v/>
      </c>
      <c r="D63" s="684" t="str">
        <f>IF($B63="","",$C34/1000000*VLOOKUP($B63,Tbl_Emissions,4,FALSE))</f>
        <v/>
      </c>
      <c r="E63" s="685" t="str">
        <f>IF($B63="","",$C34/1000000*VLOOKUP($B63,Tbl_Emissions,5,FALSE))</f>
        <v/>
      </c>
    </row>
    <row r="64" spans="2:9" x14ac:dyDescent="0.25">
      <c r="B64" s="619" t="str">
        <f>B35</f>
        <v/>
      </c>
      <c r="C64" s="684" t="str">
        <f>IF($B64="","",$C35/1000000*VLOOKUP($B64,Tbl_Emissions,3,FALSE))</f>
        <v/>
      </c>
      <c r="D64" s="684" t="str">
        <f>IF($B64="","",$C35/1000000*VLOOKUP($B64,Tbl_Emissions,4,FALSE))</f>
        <v/>
      </c>
      <c r="E64" s="685" t="str">
        <f>IF($B64="","",$C35/1000000*VLOOKUP($B64,Tbl_Emissions,5,FALSE))</f>
        <v/>
      </c>
    </row>
    <row r="65" spans="2:7" ht="13" x14ac:dyDescent="0.3">
      <c r="B65" s="620" t="s">
        <v>271</v>
      </c>
      <c r="C65" s="728"/>
      <c r="D65" s="728"/>
      <c r="E65" s="729"/>
    </row>
    <row r="66" spans="2:7" x14ac:dyDescent="0.25">
      <c r="B66" s="619" t="str">
        <f>B37</f>
        <v>Industrial Electricity</v>
      </c>
      <c r="C66" s="684">
        <f ca="1">IF($B66="","",$C37/1000000*VLOOKUP($B66,Tbl_Emissions,3,FALSE))</f>
        <v>3.8599199999999993E-3</v>
      </c>
      <c r="D66" s="684">
        <f ca="1">IF($B66="","",$C37/1000000*VLOOKUP($B66,Tbl_Emissions,4,FALSE))</f>
        <v>2.9594399999999994E-3</v>
      </c>
      <c r="E66" s="685">
        <f ca="1">IF($B66="","",$C37/1000000*VLOOKUP($B66,Tbl_Emissions,5,FALSE))</f>
        <v>4.5611999999999996E-5</v>
      </c>
    </row>
    <row r="67" spans="2:7" x14ac:dyDescent="0.25">
      <c r="B67" s="619" t="str">
        <f>B38</f>
        <v/>
      </c>
      <c r="C67" s="684" t="str">
        <f>IF($B67="","",$C38/1000000*VLOOKUP($B67,Tbl_Emissions,3,FALSE))</f>
        <v/>
      </c>
      <c r="D67" s="684" t="str">
        <f>IF($B67="","",$C38/1000000*VLOOKUP($B67,Tbl_Emissions,4,FALSE))</f>
        <v/>
      </c>
      <c r="E67" s="685" t="str">
        <f>IF($B67="","",$C38/1000000*VLOOKUP($B67,Tbl_Emissions,5,FALSE))</f>
        <v/>
      </c>
    </row>
    <row r="68" spans="2:7" x14ac:dyDescent="0.25">
      <c r="B68" s="619" t="str">
        <f>B39</f>
        <v/>
      </c>
      <c r="C68" s="684" t="str">
        <f>IF($B68="","",$C39/1000000*VLOOKUP($B68,Tbl_Emissions,3,FALSE))</f>
        <v/>
      </c>
      <c r="D68" s="684" t="str">
        <f>IF($B68="","",$C39/1000000*VLOOKUP($B68,Tbl_Emissions,4,FALSE))</f>
        <v/>
      </c>
      <c r="E68" s="685" t="str">
        <f>IF($B68="","",$C39/1000000*VLOOKUP($B68,Tbl_Emissions,5,FALSE))</f>
        <v/>
      </c>
    </row>
    <row r="69" spans="2:7" x14ac:dyDescent="0.25">
      <c r="B69" s="619" t="str">
        <f>B40</f>
        <v/>
      </c>
      <c r="C69" s="684" t="str">
        <f>IF($B69="","",$C40/1000000*VLOOKUP($B69,Tbl_Emissions,3,FALSE))</f>
        <v/>
      </c>
      <c r="D69" s="684" t="str">
        <f>IF($B69="","",$C40/1000000*VLOOKUP($B69,Tbl_Emissions,4,FALSE))</f>
        <v/>
      </c>
      <c r="E69" s="685" t="str">
        <f>IF($B69="","",$C40/1000000*VLOOKUP($B69,Tbl_Emissions,5,FALSE))</f>
        <v/>
      </c>
    </row>
    <row r="70" spans="2:7" ht="13" x14ac:dyDescent="0.3">
      <c r="B70" s="730" t="s">
        <v>400</v>
      </c>
      <c r="C70" s="728"/>
      <c r="D70" s="728"/>
      <c r="E70" s="729"/>
    </row>
    <row r="71" spans="2:7" ht="13" thickBot="1" x14ac:dyDescent="0.3">
      <c r="B71" s="621" t="str">
        <f ca="1">B42</f>
        <v>Industrial Electricity</v>
      </c>
      <c r="C71" s="686">
        <f ca="1">IF($B71="","",$C42/1000000*VLOOKUP($B71,Tbl_Emissions,3,FALSE))</f>
        <v>3.4156639507729913E-4</v>
      </c>
      <c r="D71" s="686">
        <f ca="1">IF($B71="","",$C42/1000000*VLOOKUP($B71,Tbl_Emissions,4,FALSE))</f>
        <v>2.6188243596954395E-4</v>
      </c>
      <c r="E71" s="687">
        <f ca="1">IF($B71="","",$C42/1000000*VLOOKUP($B71,Tbl_Emissions,5,FALSE))</f>
        <v>4.0362303913723E-6</v>
      </c>
    </row>
    <row r="72" spans="2:7" ht="13" thickTop="1" x14ac:dyDescent="0.25"/>
    <row r="74" spans="2:7" ht="22" x14ac:dyDescent="0.65">
      <c r="B74" s="320" t="s">
        <v>401</v>
      </c>
    </row>
    <row r="75" spans="2:7" ht="13" thickBot="1" x14ac:dyDescent="0.3"/>
    <row r="76" spans="2:7" ht="16.5" thickTop="1" thickBot="1" x14ac:dyDescent="0.4">
      <c r="B76" s="690" t="s">
        <v>402</v>
      </c>
      <c r="C76" s="691"/>
      <c r="D76" s="692" t="s">
        <v>403</v>
      </c>
      <c r="E76" s="693" t="s">
        <v>404</v>
      </c>
      <c r="F76" s="693" t="s">
        <v>405</v>
      </c>
      <c r="G76" s="694" t="s">
        <v>406</v>
      </c>
    </row>
    <row r="77" spans="2:7" x14ac:dyDescent="0.25">
      <c r="B77" s="1630" t="s">
        <v>539</v>
      </c>
      <c r="C77" s="1631"/>
      <c r="D77" s="696">
        <f ca="1">C121</f>
        <v>1.2768178929309164</v>
      </c>
      <c r="E77" s="700">
        <f ca="1">D121</f>
        <v>3.0847643468360816E-2</v>
      </c>
      <c r="F77" s="700">
        <f ca="1">E121</f>
        <v>1.4641418000807958E-4</v>
      </c>
      <c r="G77" s="701">
        <f ca="1">F121</f>
        <v>2.0916404052823445</v>
      </c>
    </row>
    <row r="78" spans="2:7" x14ac:dyDescent="0.25">
      <c r="B78" s="1628" t="s">
        <v>538</v>
      </c>
      <c r="C78" s="1629"/>
      <c r="D78" s="697">
        <f ca="1">D89</f>
        <v>0.92564958969142097</v>
      </c>
      <c r="E78" s="702">
        <f ca="1">E89</f>
        <v>0</v>
      </c>
      <c r="F78" s="702">
        <f ca="1">F89</f>
        <v>0</v>
      </c>
      <c r="G78" s="703">
        <f ca="1">G89</f>
        <v>0.92564958969142097</v>
      </c>
    </row>
    <row r="79" spans="2:7" x14ac:dyDescent="0.25">
      <c r="B79" s="1628"/>
      <c r="C79" s="1629"/>
      <c r="D79" s="698"/>
      <c r="E79" s="529"/>
      <c r="F79" s="529"/>
      <c r="G79" s="704"/>
    </row>
    <row r="80" spans="2:7" ht="13" thickBot="1" x14ac:dyDescent="0.3">
      <c r="B80" s="1632" t="s">
        <v>540</v>
      </c>
      <c r="C80" s="1633"/>
      <c r="D80" s="699">
        <f ca="1">SUM(D77:D79)</f>
        <v>2.2024674826223372</v>
      </c>
      <c r="E80" s="705">
        <f ca="1">SUM(E77:E79)</f>
        <v>3.0847643468360816E-2</v>
      </c>
      <c r="F80" s="705">
        <f ca="1">SUM(F77:F79)</f>
        <v>1.4641418000807958E-4</v>
      </c>
      <c r="G80" s="706">
        <f ca="1">SUM(G77:G79)</f>
        <v>3.0172899949737655</v>
      </c>
    </row>
    <row r="81" spans="2:7" ht="13.5" thickTop="1" thickBot="1" x14ac:dyDescent="0.3"/>
    <row r="82" spans="2:7" ht="16.5" thickTop="1" thickBot="1" x14ac:dyDescent="0.4">
      <c r="B82" s="432" t="s">
        <v>535</v>
      </c>
      <c r="C82" s="433"/>
      <c r="D82" s="654" t="s">
        <v>403</v>
      </c>
      <c r="E82" s="655" t="s">
        <v>404</v>
      </c>
      <c r="F82" s="655" t="s">
        <v>405</v>
      </c>
      <c r="G82" s="656" t="s">
        <v>406</v>
      </c>
    </row>
    <row r="83" spans="2:7" x14ac:dyDescent="0.25">
      <c r="B83" s="1630" t="s">
        <v>235</v>
      </c>
      <c r="C83" s="1631"/>
      <c r="D83" s="657">
        <f ca="1">SUM(C95:C105)</f>
        <v>9.2564958969142097</v>
      </c>
      <c r="E83" s="657">
        <f ca="1">SUM(D95:D105)</f>
        <v>0</v>
      </c>
      <c r="F83" s="657">
        <f ca="1">SUM(E95:E105)</f>
        <v>0</v>
      </c>
      <c r="G83" s="658">
        <f ca="1">SUM(F95:F105)</f>
        <v>9.2564958969142097</v>
      </c>
    </row>
    <row r="84" spans="2:7" x14ac:dyDescent="0.25">
      <c r="B84" s="1628" t="s">
        <v>236</v>
      </c>
      <c r="C84" s="1629"/>
      <c r="D84" s="659">
        <f ca="1">ROUND(D83*output_kgyear/1000,-2)</f>
        <v>1153600</v>
      </c>
      <c r="E84" s="659">
        <f ca="1">ROUND(E83*output_kgyear/1000,-2)</f>
        <v>0</v>
      </c>
      <c r="F84" s="659">
        <f ca="1">ROUND(F83*output_kgyear/1000,-2)</f>
        <v>0</v>
      </c>
      <c r="G84" s="660">
        <f ca="1">ROUND(G83*output_kgyear/1000,-2)</f>
        <v>1153600</v>
      </c>
    </row>
    <row r="85" spans="2:7" x14ac:dyDescent="0.25">
      <c r="B85" s="1628" t="s">
        <v>237</v>
      </c>
      <c r="C85" s="1629"/>
      <c r="D85" s="661">
        <f ca="1">SUM(C95:C98)</f>
        <v>9.2564958969142097</v>
      </c>
      <c r="E85" s="661">
        <f ca="1">SUM(D95:D98)</f>
        <v>0</v>
      </c>
      <c r="F85" s="661">
        <f ca="1">SUM(E95:E98)</f>
        <v>0</v>
      </c>
      <c r="G85" s="662">
        <f ca="1">SUM(F95:F98)</f>
        <v>9.2564958969142097</v>
      </c>
    </row>
    <row r="86" spans="2:7" x14ac:dyDescent="0.25">
      <c r="B86" s="1628" t="s">
        <v>238</v>
      </c>
      <c r="C86" s="1629"/>
      <c r="D86" s="659">
        <f ca="1">ROUND(D85*output_kgyear/1000,-2)</f>
        <v>1153600</v>
      </c>
      <c r="E86" s="659">
        <f ca="1">ROUND(E85*output_kgyear/1000,-2)</f>
        <v>0</v>
      </c>
      <c r="F86" s="659">
        <f ca="1">ROUND(F85*output_kgyear/1000,-2)</f>
        <v>0</v>
      </c>
      <c r="G86" s="660">
        <f ca="1">ROUND(G85*output_kgyear/1000,-2)</f>
        <v>1153600</v>
      </c>
    </row>
    <row r="87" spans="2:7" x14ac:dyDescent="0.25">
      <c r="B87" s="778" t="s">
        <v>240</v>
      </c>
      <c r="C87" s="779"/>
      <c r="D87" s="828">
        <f ca="1">IF(CO2_CashFlow_eUse&gt;0,D85*CO2_Capture_Efficiency,0)</f>
        <v>8.3308463072227887</v>
      </c>
      <c r="E87" s="659"/>
      <c r="F87" s="659"/>
      <c r="G87" s="829"/>
    </row>
    <row r="88" spans="2:7" x14ac:dyDescent="0.25">
      <c r="B88" s="1628" t="s">
        <v>241</v>
      </c>
      <c r="C88" s="1629"/>
      <c r="D88" s="659">
        <f ca="1">ROUND(D87*output_kgyear/1000,-2)</f>
        <v>1038300</v>
      </c>
      <c r="E88" s="659"/>
      <c r="F88" s="659"/>
      <c r="G88" s="660"/>
    </row>
    <row r="89" spans="2:7" x14ac:dyDescent="0.25">
      <c r="B89" s="1628" t="s">
        <v>239</v>
      </c>
      <c r="C89" s="1629"/>
      <c r="D89" s="828">
        <f ca="1">D83-D87</f>
        <v>0.92564958969142097</v>
      </c>
      <c r="E89" s="659">
        <f ca="1">E83-E87</f>
        <v>0</v>
      </c>
      <c r="F89" s="659">
        <f ca="1">F83-F87</f>
        <v>0</v>
      </c>
      <c r="G89" s="829">
        <f ca="1">D89*GHG_CO2_factor + E89*GHG_CH4_factor + F89*GHG_N2O_factor</f>
        <v>0.92564958969142097</v>
      </c>
    </row>
    <row r="90" spans="2:7" ht="13" thickBot="1" x14ac:dyDescent="0.3">
      <c r="B90" s="1632" t="s">
        <v>1059</v>
      </c>
      <c r="C90" s="1633"/>
      <c r="D90" s="663">
        <f ca="1">ROUND(D89*output_kgyear/1000,-2)</f>
        <v>115400</v>
      </c>
      <c r="E90" s="663">
        <f ca="1">ROUND(E89*output_kgyear/1000,-2)</f>
        <v>0</v>
      </c>
      <c r="F90" s="663">
        <f ca="1">ROUND(F89*output_kgyear/1000,-2)</f>
        <v>0</v>
      </c>
      <c r="G90" s="664">
        <f ca="1">ROUND(G89*output_kgyear/1000,-2)</f>
        <v>115400</v>
      </c>
    </row>
    <row r="91" spans="2:7" ht="13" thickTop="1" x14ac:dyDescent="0.25">
      <c r="B91" t="s">
        <v>242</v>
      </c>
    </row>
    <row r="92" spans="2:7" ht="13" thickBot="1" x14ac:dyDescent="0.3"/>
    <row r="93" spans="2:7" ht="16.5" thickTop="1" thickBot="1" x14ac:dyDescent="0.4">
      <c r="B93" s="1626" t="s">
        <v>536</v>
      </c>
      <c r="C93" s="1627"/>
      <c r="D93" s="617"/>
      <c r="E93" s="617"/>
      <c r="F93" s="636"/>
    </row>
    <row r="94" spans="2:7" ht="13" x14ac:dyDescent="0.3">
      <c r="B94" s="665" t="s">
        <v>248</v>
      </c>
      <c r="C94" s="668" t="s">
        <v>403</v>
      </c>
      <c r="D94" s="668" t="s">
        <v>404</v>
      </c>
      <c r="E94" s="668" t="s">
        <v>405</v>
      </c>
      <c r="F94" s="669" t="s">
        <v>406</v>
      </c>
    </row>
    <row r="95" spans="2:7" x14ac:dyDescent="0.25">
      <c r="B95" s="666" t="str">
        <f>B32</f>
        <v>Industrial Natural Gas</v>
      </c>
      <c r="C95" s="670">
        <f ca="1">IF($B95="","",VLOOKUP($B95,MASTER_PROPERTY_TABLE,MATCH("CO2 Emissions Factor (kg CO2 produced/GJ feed)",key_MPTable,0),FALSE)*$E32*$F32)</f>
        <v>9.2564958969142097</v>
      </c>
      <c r="D95" s="675">
        <f ca="1">IF($B95="","",VLOOKUP($B95,MASTER_PROPERTY_TABLE,MATCH("CH4 Emissions Factor (kg CH4 produced/GJ or mmBtu feed)",key_MPTable,0),FALSE)*$E32*$F32)</f>
        <v>0</v>
      </c>
      <c r="E95" s="675">
        <f ca="1">IF($B95="","",VLOOKUP($B95,MASTER_PROPERTY_TABLE,MATCH("N2O Emissions Factor (kg N2O produced/GJ or mmBtu feed)",key_MPTable,0),FALSE)*$E32*$F32)</f>
        <v>0</v>
      </c>
      <c r="F95" s="678">
        <f ca="1">IF($B95="","",$C95*GHG_CO2_factor+$D95*GHG_CH4_factor+$E95*GHG_N2O_factor)</f>
        <v>9.2564958969142097</v>
      </c>
    </row>
    <row r="96" spans="2:7" x14ac:dyDescent="0.25">
      <c r="B96" s="666" t="str">
        <f>B33</f>
        <v/>
      </c>
      <c r="C96" s="670" t="str">
        <f>IF($B96="","",VLOOKUP($B96,MASTER_PROPERTY_TABLE,MATCH("CO2 Emissions Factor (kg CO2 produced/GJ feed)",key_MPTable,0),FALSE)*$E33*$F33)</f>
        <v/>
      </c>
      <c r="D96" s="675" t="str">
        <f>IF($B96="","",VLOOKUP($B96,MASTER_PROPERTY_TABLE,MATCH("CH4 Emissions Factor (kg CH4 produced/GJ or mmBtu feed)",key_MPTable,0),FALSE)*$E33*$F33)</f>
        <v/>
      </c>
      <c r="E96" s="675" t="str">
        <f>IF($B96="","",VLOOKUP($B96,MASTER_PROPERTY_TABLE,MATCH("N2O Emissions Factor (kg N2O produced/GJ or mmBtu feed)",key_MPTable,0),FALSE)*$E33*$F33)</f>
        <v/>
      </c>
      <c r="F96" s="678" t="str">
        <f>IF($B96="","",$C96*GHG_CO2_factor+$D96*GHG_CH4_factor+$E96*GHG_N2O_factor)</f>
        <v/>
      </c>
    </row>
    <row r="97" spans="2:6" x14ac:dyDescent="0.25">
      <c r="B97" s="666" t="str">
        <f>B34</f>
        <v/>
      </c>
      <c r="C97" s="670" t="str">
        <f>IF($B97="","",VLOOKUP($B97,MASTER_PROPERTY_TABLE,MATCH("CO2 Emissions Factor (kg CO2 produced/GJ feed)",key_MPTable,0),FALSE)*$E34*$F34)</f>
        <v/>
      </c>
      <c r="D97" s="675" t="str">
        <f>IF($B97="","",VLOOKUP($B97,MASTER_PROPERTY_TABLE,MATCH("CH4 Emissions Factor (kg CH4 produced/GJ or mmBtu feed)",key_MPTable,0),FALSE)*$E34*$F34)</f>
        <v/>
      </c>
      <c r="E97" s="675" t="str">
        <f>IF($B97="","",VLOOKUP($B97,MASTER_PROPERTY_TABLE,MATCH("N2O Emissions Factor (kg N2O produced/GJ or mmBtu feed)",key_MPTable,0),FALSE)*$E34*$F34)</f>
        <v/>
      </c>
      <c r="F97" s="678" t="str">
        <f>IF($B97="","",$C97*GHG_CO2_factor+$D97*GHG_CH4_factor+$E97*GHG_N2O_factor)</f>
        <v/>
      </c>
    </row>
    <row r="98" spans="2:6" x14ac:dyDescent="0.25">
      <c r="B98" s="666" t="str">
        <f>B35</f>
        <v/>
      </c>
      <c r="C98" s="670" t="str">
        <f>IF($B98="","",VLOOKUP($B98,MASTER_PROPERTY_TABLE,MATCH("CO2 Emissions Factor (kg CO2 produced/GJ feed)",key_MPTable,0),FALSE)*$E35*$F35)</f>
        <v/>
      </c>
      <c r="D98" s="675" t="str">
        <f>IF($B98="","",VLOOKUP($B98,MASTER_PROPERTY_TABLE,MATCH("CH4 Emissions Factor (kg CH4 produced/GJ or mmBtu feed)",key_MPTable,0),FALSE)*$E35*$F35)</f>
        <v/>
      </c>
      <c r="E98" s="675" t="str">
        <f>IF($B98="","",VLOOKUP($B98,MASTER_PROPERTY_TABLE,MATCH("N2O Emissions Factor (kg N2O produced/GJ or mmBtu feed)",key_MPTable,0),FALSE)*$E35*$F35)</f>
        <v/>
      </c>
      <c r="F98" s="678" t="str">
        <f>IF($B98="","",$C98*GHG_CO2_factor+$D98*GHG_CH4_factor+$E98*GHG_N2O_factor)</f>
        <v/>
      </c>
    </row>
    <row r="99" spans="2:6" ht="13" x14ac:dyDescent="0.3">
      <c r="B99" s="731" t="s">
        <v>271</v>
      </c>
      <c r="C99" s="732"/>
      <c r="D99" s="733"/>
      <c r="E99" s="733"/>
      <c r="F99" s="734"/>
    </row>
    <row r="100" spans="2:6" x14ac:dyDescent="0.25">
      <c r="B100" s="666" t="str">
        <f>B37</f>
        <v>Industrial Electricity</v>
      </c>
      <c r="C100" s="670">
        <f ca="1">IF($B100="","",VLOOKUP($B100,MASTER_PROPERTY_TABLE,MATCH("CO2 Emissions Factor (kg CO2 produced/GJ feed)",key_MPTable,0),FALSE)*$E37*$F37)</f>
        <v>0</v>
      </c>
      <c r="D100" s="675">
        <f ca="1">IF($B100="","",VLOOKUP($B100,MASTER_PROPERTY_TABLE,MATCH("CH4 Emissions Factor (kg CH4 produced/GJ or mmBtu feed)",key_MPTable,0),FALSE)*$E37*$F37)</f>
        <v>0</v>
      </c>
      <c r="E100" s="675">
        <f ca="1">IF($B100="","",VLOOKUP($B100,MASTER_PROPERTY_TABLE,MATCH("N2O Emissions Factor (kg N2O produced/GJ or mmBtu feed)",key_MPTable,0),FALSE)*$E37*$F37)</f>
        <v>0</v>
      </c>
      <c r="F100" s="678">
        <f ca="1">IF($B100="","",$C100*GHG_CO2_factor+$D100*GHG_CH4_factor+$E100*GHG_N2O_factor)</f>
        <v>0</v>
      </c>
    </row>
    <row r="101" spans="2:6" x14ac:dyDescent="0.25">
      <c r="B101" s="666" t="str">
        <f>B38</f>
        <v/>
      </c>
      <c r="C101" s="670" t="str">
        <f>IF($B101="","",VLOOKUP($B101,MASTER_PROPERTY_TABLE,MATCH("CO2 Emissions Factor (kg CO2 produced/GJ feed)",key_MPTable,0),FALSE)*$E38*$F38)</f>
        <v/>
      </c>
      <c r="D101" s="675" t="str">
        <f>IF($B101="","",VLOOKUP($B101,MASTER_PROPERTY_TABLE,MATCH("CH4 Emissions Factor (kg CH4 produced/GJ or mmBtu feed)",key_MPTable,0),FALSE)*$E38*$F38)</f>
        <v/>
      </c>
      <c r="E101" s="675" t="str">
        <f>IF($B101="","",VLOOKUP($B101,MASTER_PROPERTY_TABLE,MATCH("N2O Emissions Factor (kg N2O produced/GJ or mmBtu feed)",key_MPTable,0),FALSE)*$E38*$F38)</f>
        <v/>
      </c>
      <c r="F101" s="678" t="str">
        <f>IF($B101="","",$C101*GHG_CO2_factor+$D101*GHG_CH4_factor+$E101*GHG_N2O_factor)</f>
        <v/>
      </c>
    </row>
    <row r="102" spans="2:6" x14ac:dyDescent="0.25">
      <c r="B102" s="666" t="str">
        <f>B39</f>
        <v/>
      </c>
      <c r="C102" s="670" t="str">
        <f>IF($B102="","",VLOOKUP($B102,MASTER_PROPERTY_TABLE,MATCH("CO2 Emissions Factor (kg CO2 produced/GJ feed)",key_MPTable,0),FALSE)*$E39*$F39)</f>
        <v/>
      </c>
      <c r="D102" s="675" t="str">
        <f>IF($B102="","",VLOOKUP($B102,MASTER_PROPERTY_TABLE,MATCH("CH4 Emissions Factor (kg CH4 produced/GJ or mmBtu feed)",key_MPTable,0),FALSE)*$E39*$F39)</f>
        <v/>
      </c>
      <c r="E102" s="675" t="str">
        <f>IF($B102="","",VLOOKUP($B102,MASTER_PROPERTY_TABLE,MATCH("N2O Emissions Factor (kg N2O produced/GJ or mmBtu feed)",key_MPTable,0),FALSE)*$E39*$F39)</f>
        <v/>
      </c>
      <c r="F102" s="678" t="str">
        <f>IF($B102="","",$C102*GHG_CO2_factor+$D102*GHG_CH4_factor+$E102*GHG_N2O_factor)</f>
        <v/>
      </c>
    </row>
    <row r="103" spans="2:6" x14ac:dyDescent="0.25">
      <c r="B103" s="666" t="str">
        <f>B40</f>
        <v/>
      </c>
      <c r="C103" s="670" t="str">
        <f>IF($B103="","",VLOOKUP($B103,MASTER_PROPERTY_TABLE,MATCH("CO2 Emissions Factor (kg CO2 produced/GJ feed)",key_MPTable,0),FALSE)*$E40*$F40)</f>
        <v/>
      </c>
      <c r="D103" s="675" t="str">
        <f>IF($B103="","",VLOOKUP($B103,MASTER_PROPERTY_TABLE,MATCH("CH4 Emissions Factor (kg CH4 produced/GJ or mmBtu feed)",key_MPTable,0),FALSE)*$E40*$F40)</f>
        <v/>
      </c>
      <c r="E103" s="675" t="str">
        <f>IF($B103="","",VLOOKUP($B103,MASTER_PROPERTY_TABLE,MATCH("N2O Emissions Factor (kg N2O produced/GJ or mmBtu feed)",key_MPTable,0),FALSE)*$E40*$F40)</f>
        <v/>
      </c>
      <c r="F103" s="678" t="str">
        <f>IF($B103="","",$C103*GHG_CO2_factor+$D103*GHG_CH4_factor+$E103*GHG_N2O_factor)</f>
        <v/>
      </c>
    </row>
    <row r="104" spans="2:6" ht="13" x14ac:dyDescent="0.3">
      <c r="B104" s="731" t="s">
        <v>400</v>
      </c>
      <c r="C104" s="732"/>
      <c r="D104" s="733"/>
      <c r="E104" s="733"/>
      <c r="F104" s="734"/>
    </row>
    <row r="105" spans="2:6" ht="13" thickBot="1" x14ac:dyDescent="0.3">
      <c r="B105" s="667" t="str">
        <f ca="1">B42</f>
        <v>Industrial Electricity</v>
      </c>
      <c r="C105" s="681">
        <f ca="1">IF($B105="","",VLOOKUP($B105,MASTER_PROPERTY_TABLE,MATCH("CO2 Emissions Factor (kg CO2 produced/GJ feed)",key_MPTable,0),FALSE)*$E42*$F42)</f>
        <v>0</v>
      </c>
      <c r="D105" s="682">
        <f ca="1">IF($B105="","",VLOOKUP($B105,MASTER_PROPERTY_TABLE,MATCH("CH4 Emissions Factor (kg CH4 produced/GJ or mmBtu feed)",key_MPTable,0),FALSE)*$E42*$F42)</f>
        <v>0</v>
      </c>
      <c r="E105" s="682">
        <f ca="1">IF($B105="","",VLOOKUP($B105,MASTER_PROPERTY_TABLE,MATCH("N2O Emissions Factor (kg N2O produced/GJ or mmBtu feed)",key_MPTable,0),FALSE)*$E42*$F42)</f>
        <v>0</v>
      </c>
      <c r="F105" s="683">
        <f ca="1">IF($B105="","",$C105*GHG_CO2_factor+$D105*GHG_CH4_factor+$E105*GHG_N2O_factor)</f>
        <v>0</v>
      </c>
    </row>
    <row r="106" spans="2:6" ht="13" thickTop="1" x14ac:dyDescent="0.25"/>
    <row r="107" spans="2:6" ht="13" thickBot="1" x14ac:dyDescent="0.3"/>
    <row r="108" spans="2:6" ht="16.5" thickTop="1" thickBot="1" x14ac:dyDescent="0.4">
      <c r="B108" s="1626" t="s">
        <v>1345</v>
      </c>
      <c r="C108" s="1627"/>
      <c r="D108" s="617"/>
      <c r="E108" s="617"/>
      <c r="F108" s="636"/>
    </row>
    <row r="109" spans="2:6" ht="13" x14ac:dyDescent="0.3">
      <c r="B109" s="665" t="s">
        <v>248</v>
      </c>
      <c r="C109" s="668" t="s">
        <v>403</v>
      </c>
      <c r="D109" s="668" t="s">
        <v>404</v>
      </c>
      <c r="E109" s="668" t="s">
        <v>405</v>
      </c>
      <c r="F109" s="669" t="s">
        <v>406</v>
      </c>
    </row>
    <row r="110" spans="2:6" x14ac:dyDescent="0.25">
      <c r="B110" s="666" t="str">
        <f>B32</f>
        <v>Industrial Natural Gas</v>
      </c>
      <c r="C110" s="670">
        <f ca="1">IF($B110="","",$C32*VLOOKUP($B110,Tbl_Emissions,6,FALSE))</f>
        <v>0.94737360529999992</v>
      </c>
      <c r="D110" s="675">
        <f ca="1">IF($B110="","",$C32*VLOOKUP($B110,Tbl_Emissions,7,FALSE))</f>
        <v>3.0347868524111112E-2</v>
      </c>
      <c r="E110" s="675">
        <f ca="1">IF($B110="","",$C32*VLOOKUP($B110,Tbl_Emissions,8,FALSE))</f>
        <v>1.4159476188888888E-4</v>
      </c>
      <c r="F110" s="678">
        <f ca="1">IF($B110="","",$C110*GHG_CO2_factor+$D110*GHG_CH4_factor+$E110*GHG_N2O_factor)</f>
        <v>1.7482655574456665</v>
      </c>
    </row>
    <row r="111" spans="2:6" x14ac:dyDescent="0.25">
      <c r="B111" s="666" t="str">
        <f>B33</f>
        <v/>
      </c>
      <c r="C111" s="670" t="str">
        <f>IF($B111="","",$C33*VLOOKUP($B111,Tbl_Emissions,6,FALSE))</f>
        <v/>
      </c>
      <c r="D111" s="675" t="str">
        <f>IF($B111="","",$C33*VLOOKUP($B111,Tbl_Emissions,7,FALSE))</f>
        <v/>
      </c>
      <c r="E111" s="675" t="str">
        <f>IF($B111="","",$C33*VLOOKUP($B111,Tbl_Emissions,8,FALSE))</f>
        <v/>
      </c>
      <c r="F111" s="678" t="str">
        <f>IF($B111="","",$C111*GHG_CO2_factor+$D111*GHG_CH4_factor+$E111*GHG_N2O_factor)</f>
        <v/>
      </c>
    </row>
    <row r="112" spans="2:6" x14ac:dyDescent="0.25">
      <c r="B112" s="666" t="str">
        <f>B34</f>
        <v/>
      </c>
      <c r="C112" s="670" t="str">
        <f>IF($B112="","",$C34*VLOOKUP($B112,Tbl_Emissions,6,FALSE))</f>
        <v/>
      </c>
      <c r="D112" s="675" t="str">
        <f>IF($B112="","",$C34*VLOOKUP($B112,Tbl_Emissions,7,FALSE))</f>
        <v/>
      </c>
      <c r="E112" s="675" t="str">
        <f>IF($B112="","",$C34*VLOOKUP($B112,Tbl_Emissions,8,FALSE))</f>
        <v/>
      </c>
      <c r="F112" s="678" t="str">
        <f>IF($B112="","",$C112*GHG_CO2_factor+$D112*GHG_CH4_factor+$E112*GHG_N2O_factor)</f>
        <v/>
      </c>
    </row>
    <row r="113" spans="2:6" x14ac:dyDescent="0.25">
      <c r="B113" s="666" t="str">
        <f>B35</f>
        <v/>
      </c>
      <c r="C113" s="670" t="str">
        <f>IF($B113="","",$C35*VLOOKUP($B113,Tbl_Emissions,6,FALSE))</f>
        <v/>
      </c>
      <c r="D113" s="675" t="str">
        <f>IF($B113="","",$C35*VLOOKUP($B113,Tbl_Emissions,7,FALSE))</f>
        <v/>
      </c>
      <c r="E113" s="675" t="str">
        <f>IF($B113="","",$C35*VLOOKUP($B113,Tbl_Emissions,8,FALSE))</f>
        <v/>
      </c>
      <c r="F113" s="678" t="str">
        <f>IF($B113="","",$C113*GHG_CO2_factor+$D113*GHG_CH4_factor+$E113*GHG_N2O_factor)</f>
        <v/>
      </c>
    </row>
    <row r="114" spans="2:6" ht="13" x14ac:dyDescent="0.3">
      <c r="B114" s="731" t="s">
        <v>271</v>
      </c>
      <c r="C114" s="732"/>
      <c r="D114" s="733"/>
      <c r="E114" s="733"/>
      <c r="F114" s="734"/>
    </row>
    <row r="115" spans="2:6" x14ac:dyDescent="0.25">
      <c r="B115" s="666" t="str">
        <f>B37</f>
        <v>Industrial Electricity</v>
      </c>
      <c r="C115" s="670">
        <f ca="1">IF($B115="","",$C37*VLOOKUP($B115,Tbl_Emissions,6,FALSE))</f>
        <v>0.30266159999999992</v>
      </c>
      <c r="D115" s="675">
        <f ca="1">IF($B115="","",$C37*VLOOKUP($B115,Tbl_Emissions,7,FALSE))</f>
        <v>4.5914495999999988E-4</v>
      </c>
      <c r="E115" s="675">
        <f ca="1">IF($B115="","",$C37*VLOOKUP($B115,Tbl_Emissions,8,FALSE))</f>
        <v>4.4276160000000002E-6</v>
      </c>
      <c r="F115" s="678">
        <f ca="1">IF($B115="","",$C115*GHG_CO2_factor+$D115*GHG_CH4_factor+$E115*GHG_N2O_factor)</f>
        <v>0.31545965356799993</v>
      </c>
    </row>
    <row r="116" spans="2:6" x14ac:dyDescent="0.25">
      <c r="B116" s="666" t="str">
        <f>B38</f>
        <v/>
      </c>
      <c r="C116" s="670" t="str">
        <f>IF($B116="","",$C38*VLOOKUP($B116,Tbl_Emissions,6,FALSE))</f>
        <v/>
      </c>
      <c r="D116" s="675" t="str">
        <f>IF($B116="","",$C38*VLOOKUP($B116,Tbl_Emissions,7,FALSE))</f>
        <v/>
      </c>
      <c r="E116" s="675" t="str">
        <f>IF($B116="","",$C38*VLOOKUP($B116,Tbl_Emissions,8,FALSE))</f>
        <v/>
      </c>
      <c r="F116" s="678" t="str">
        <f>IF($B116="","",$C116*GHG_CO2_factor+$D116*GHG_CH4_factor+$E116*GHG_N2O_factor)</f>
        <v/>
      </c>
    </row>
    <row r="117" spans="2:6" x14ac:dyDescent="0.25">
      <c r="B117" s="666" t="str">
        <f>B39</f>
        <v/>
      </c>
      <c r="C117" s="670" t="str">
        <f>IF($B117="","",$C39*VLOOKUP($B117,Tbl_Emissions,6,FALSE))</f>
        <v/>
      </c>
      <c r="D117" s="675" t="str">
        <f>IF($B117="","",$C39*VLOOKUP($B117,Tbl_Emissions,7,FALSE))</f>
        <v/>
      </c>
      <c r="E117" s="675" t="str">
        <f>IF($B117="","",$C39*VLOOKUP($B117,Tbl_Emissions,8,FALSE))</f>
        <v/>
      </c>
      <c r="F117" s="678" t="str">
        <f>IF($B117="","",$C117*GHG_CO2_factor+$D117*GHG_CH4_factor+$E117*GHG_N2O_factor)</f>
        <v/>
      </c>
    </row>
    <row r="118" spans="2:6" x14ac:dyDescent="0.25">
      <c r="B118" s="666" t="str">
        <f>B40</f>
        <v/>
      </c>
      <c r="C118" s="670" t="str">
        <f>IF($B118="","",$C40*VLOOKUP($B118,Tbl_Emissions,6,FALSE))</f>
        <v/>
      </c>
      <c r="D118" s="675" t="str">
        <f>IF($B118="","",$C40*VLOOKUP($B118,Tbl_Emissions,7,FALSE))</f>
        <v/>
      </c>
      <c r="E118" s="675" t="str">
        <f>IF($B118="","",$C40*VLOOKUP($B118,Tbl_Emissions,8,FALSE))</f>
        <v/>
      </c>
      <c r="F118" s="678" t="str">
        <f>IF($B118="","",$C118*GHG_CO2_factor+$D118*GHG_CH4_factor+$E118*GHG_N2O_factor)</f>
        <v/>
      </c>
    </row>
    <row r="119" spans="2:6" ht="13" x14ac:dyDescent="0.3">
      <c r="B119" s="731" t="s">
        <v>400</v>
      </c>
      <c r="C119" s="732"/>
      <c r="D119" s="733"/>
      <c r="E119" s="733"/>
      <c r="F119" s="734"/>
    </row>
    <row r="120" spans="2:6" ht="13" thickBot="1" x14ac:dyDescent="0.3">
      <c r="B120" s="671" t="str">
        <f ca="1">B42</f>
        <v>Industrial Electricity</v>
      </c>
      <c r="C120" s="673">
        <f ca="1">IF($B120="","",$C42*VLOOKUP($B120,Tbl_Emissions,6,FALSE))</f>
        <v>2.6782687630916565E-2</v>
      </c>
      <c r="D120" s="676">
        <f ca="1">IF($B120="","",$C42*VLOOKUP($B120,Tbl_Emissions,7,FALSE))</f>
        <v>4.0629984249702242E-5</v>
      </c>
      <c r="E120" s="676">
        <f ca="1">IF($B120="","",$C42*VLOOKUP($B120,Tbl_Emissions,8,FALSE))</f>
        <v>3.9180211919070112E-7</v>
      </c>
      <c r="F120" s="679">
        <f ca="1">IF($B120="","",$C120*GHG_CO2_factor+$D120*GHG_CH4_factor+$E120*GHG_N2O_factor)</f>
        <v>2.7915194268677949E-2</v>
      </c>
    </row>
    <row r="121" spans="2:6" ht="13.5" thickBot="1" x14ac:dyDescent="0.35">
      <c r="B121" s="672" t="s">
        <v>541</v>
      </c>
      <c r="C121" s="674">
        <f ca="1">SUM(C110:C120)</f>
        <v>1.2768178929309164</v>
      </c>
      <c r="D121" s="677">
        <f ca="1">SUM(D110:D120)</f>
        <v>3.0847643468360816E-2</v>
      </c>
      <c r="E121" s="677">
        <f ca="1">SUM(E110:E120)</f>
        <v>1.4641418000807958E-4</v>
      </c>
      <c r="F121" s="680">
        <f ca="1">SUM(F110:F120)</f>
        <v>2.0916404052823445</v>
      </c>
    </row>
    <row r="122" spans="2:6" ht="13" thickTop="1" x14ac:dyDescent="0.25"/>
  </sheetData>
  <mergeCells count="18">
    <mergeCell ref="F17:H17"/>
    <mergeCell ref="F23:H23"/>
    <mergeCell ref="B30:C30"/>
    <mergeCell ref="B52:C52"/>
    <mergeCell ref="B93:C93"/>
    <mergeCell ref="B108:C108"/>
    <mergeCell ref="B86:C86"/>
    <mergeCell ref="B59:C59"/>
    <mergeCell ref="B77:C77"/>
    <mergeCell ref="B78:C78"/>
    <mergeCell ref="B79:C79"/>
    <mergeCell ref="B80:C80"/>
    <mergeCell ref="B90:C90"/>
    <mergeCell ref="B88:C88"/>
    <mergeCell ref="B83:C83"/>
    <mergeCell ref="B84:C84"/>
    <mergeCell ref="B85:C85"/>
    <mergeCell ref="B89:C89"/>
  </mergeCells>
  <phoneticPr fontId="2" type="noConversion"/>
  <conditionalFormatting sqref="F17:H17">
    <cfRule type="expression" dxfId="1" priority="1" stopIfTrue="1">
      <formula>"co2_inuse = ""Carbon Sequestration"""</formula>
    </cfRule>
    <cfRule type="expression" dxfId="0" priority="2" stopIfTrue="1">
      <formula>"if(co2_inuse = ""To Use Carbon Sequestration Click 'Link to Detail Sheet' in the Input Sheet Capital Cost Section"")"</formula>
    </cfRule>
  </conditionalFormatting>
  <hyperlinks>
    <hyperlink ref="B3" location="Results!B17" display="Specific Item Cost Calculation" xr:uid="{00000000-0004-0000-0800-000000000000}"/>
    <hyperlink ref="B4" location="Results!B30" display="Energy Data" xr:uid="{00000000-0004-0000-0800-000001000000}"/>
    <hyperlink ref="B5" location="Results!B52" display="Production Process Energy Efficiency" xr:uid="{00000000-0004-0000-0800-000002000000}"/>
    <hyperlink ref="B6" location="Results!B59" display="Upstream Energy Usage" xr:uid="{00000000-0004-0000-0800-000003000000}"/>
    <hyperlink ref="B7" location="Results!B76" display="Emissions Summary" xr:uid="{00000000-0004-0000-0800-000004000000}"/>
    <hyperlink ref="B8" location="Results!B82" display="Production Process GHG Emissions Summary" xr:uid="{00000000-0004-0000-0800-000005000000}"/>
    <hyperlink ref="B9" location="Results!B94" display="Production Process GHG Emissions" xr:uid="{00000000-0004-0000-0800-000006000000}"/>
    <hyperlink ref="B10" location="Results!B109" display="Upstream GHG Emissions" xr:uid="{00000000-0004-0000-0800-000007000000}"/>
  </hyperlinks>
  <printOptions horizontalCentered="1"/>
  <pageMargins left="0.75" right="0.75" top="0.75" bottom="0.75" header="0.5" footer="0.4"/>
  <pageSetup scale="80" orientation="landscape" r:id="rId1"/>
  <headerFooter alignWithMargins="0">
    <oddHeader>&amp;R&amp;D&amp;LCentral Biomass Gasification - Current Timeframe</oddHeader>
    <oddFooter>&amp;CPage 3 of 3</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rgb="FF99CCFF"/>
  </sheetPr>
  <dimension ref="A1:BU2250"/>
  <sheetViews>
    <sheetView workbookViewId="0"/>
  </sheetViews>
  <sheetFormatPr defaultRowHeight="12.5" x14ac:dyDescent="0.25"/>
  <cols>
    <col min="1" max="1" width="7.1796875" customWidth="1"/>
    <col min="2" max="2" width="35.54296875" customWidth="1"/>
    <col min="3" max="3" width="15.7265625" customWidth="1"/>
    <col min="4" max="6" width="20.7265625" customWidth="1"/>
    <col min="7" max="8" width="16.26953125" customWidth="1"/>
    <col min="9" max="9" width="16" bestFit="1" customWidth="1"/>
    <col min="10" max="15" width="12.26953125" customWidth="1"/>
    <col min="16" max="16" width="17.453125" bestFit="1" customWidth="1"/>
    <col min="17" max="22" width="12.26953125" customWidth="1"/>
    <col min="23" max="23" width="18.453125" customWidth="1"/>
    <col min="24" max="24" width="12.26953125" customWidth="1"/>
  </cols>
  <sheetData>
    <row r="1" spans="1:73" x14ac:dyDescent="0.25">
      <c r="A1" s="1098"/>
      <c r="B1" s="1098"/>
      <c r="C1" s="1099"/>
      <c r="D1" s="1098"/>
      <c r="E1" s="1098"/>
      <c r="F1" s="1099"/>
      <c r="G1" s="1099"/>
      <c r="H1" s="1098"/>
      <c r="I1" s="1098"/>
      <c r="J1" s="1098"/>
      <c r="K1" s="1098"/>
      <c r="L1" s="1098"/>
      <c r="M1" s="1098"/>
      <c r="N1" s="1098"/>
      <c r="O1" s="1098"/>
      <c r="P1" s="1098"/>
      <c r="Q1" s="1098"/>
      <c r="R1" s="1098"/>
      <c r="S1" s="1098"/>
      <c r="T1" s="1098"/>
      <c r="U1" s="1098"/>
      <c r="V1" s="1098"/>
      <c r="W1" s="1098"/>
      <c r="X1" s="1098"/>
      <c r="Y1" s="1098"/>
      <c r="Z1" s="1098"/>
      <c r="AA1" s="1098"/>
      <c r="AB1" s="1098"/>
      <c r="AC1" s="1098"/>
      <c r="AD1" s="1098"/>
      <c r="AE1" s="1098"/>
      <c r="AF1" s="1098"/>
      <c r="AG1" s="1098"/>
      <c r="AH1" s="1098"/>
      <c r="AI1" s="1098"/>
      <c r="AJ1" s="1098"/>
      <c r="AK1" s="1098"/>
      <c r="AL1" s="1098"/>
      <c r="AM1" s="1098"/>
      <c r="AN1" s="1098"/>
      <c r="AO1" s="1098"/>
      <c r="AP1" s="1098"/>
      <c r="AQ1" s="1098"/>
      <c r="AR1" s="1098"/>
      <c r="AS1" s="1098"/>
      <c r="AT1" s="1098"/>
      <c r="AU1" s="1098"/>
      <c r="AV1" s="1098"/>
      <c r="AW1" s="1098"/>
      <c r="AX1" s="1098"/>
      <c r="AY1" s="1098"/>
      <c r="AZ1" s="1098"/>
      <c r="BA1" s="1098"/>
      <c r="BB1" s="1098"/>
      <c r="BC1" s="1098"/>
      <c r="BD1" s="1098"/>
      <c r="BE1" s="1098"/>
      <c r="BF1" s="1098"/>
      <c r="BG1" s="1098"/>
      <c r="BH1" s="1098"/>
      <c r="BI1" s="1098"/>
      <c r="BJ1" s="1098"/>
      <c r="BK1" s="1098"/>
      <c r="BL1" s="1098"/>
      <c r="BM1" s="1098"/>
      <c r="BN1" s="1098"/>
      <c r="BO1" s="1098"/>
      <c r="BP1" s="1098"/>
      <c r="BQ1" s="1098"/>
      <c r="BR1" s="1098"/>
      <c r="BS1" s="1098"/>
      <c r="BT1" s="1098"/>
      <c r="BU1" s="1098"/>
    </row>
    <row r="2" spans="1:73" ht="26" x14ac:dyDescent="0.3">
      <c r="A2" s="1098"/>
      <c r="B2" s="1109" t="s">
        <v>1136</v>
      </c>
      <c r="C2" s="1109" t="s">
        <v>1135</v>
      </c>
      <c r="D2" s="1109" t="s">
        <v>1202</v>
      </c>
      <c r="E2" s="1109" t="s">
        <v>1203</v>
      </c>
      <c r="F2" s="1109" t="s">
        <v>1139</v>
      </c>
      <c r="G2" s="1109" t="s">
        <v>1140</v>
      </c>
      <c r="H2" s="1109" t="s">
        <v>1141</v>
      </c>
      <c r="I2" s="1109" t="s">
        <v>1142</v>
      </c>
      <c r="J2" s="1099"/>
      <c r="K2" s="1099"/>
      <c r="L2" s="1098"/>
      <c r="M2" s="1098"/>
      <c r="N2" s="1098"/>
      <c r="O2" s="1098"/>
      <c r="P2" s="1098"/>
      <c r="Q2" s="1098"/>
      <c r="R2" s="1098"/>
      <c r="S2" s="1098"/>
      <c r="T2" s="1098"/>
      <c r="U2" s="1098"/>
      <c r="V2" s="1098"/>
      <c r="W2" s="1098"/>
      <c r="X2" s="1098"/>
      <c r="Y2" s="1098"/>
      <c r="Z2" s="1098"/>
      <c r="AA2" s="1098"/>
      <c r="AB2" s="1098"/>
      <c r="AC2" s="1098"/>
      <c r="AD2" s="1098"/>
      <c r="AE2" s="1098"/>
      <c r="AF2" s="1098"/>
      <c r="AG2" s="1098"/>
      <c r="AH2" s="1098"/>
      <c r="AI2" s="1098"/>
      <c r="AJ2" s="1098"/>
      <c r="AK2" s="1098"/>
      <c r="AL2" s="1098"/>
      <c r="AM2" s="1098"/>
      <c r="AN2" s="1098"/>
      <c r="AO2" s="1098"/>
      <c r="AP2" s="1098"/>
      <c r="AQ2" s="1098"/>
      <c r="AR2" s="1098"/>
      <c r="AS2" s="1098"/>
      <c r="AT2" s="1098"/>
      <c r="AU2" s="1098"/>
      <c r="AV2" s="1098"/>
      <c r="AW2" s="1098"/>
      <c r="AX2" s="1098"/>
      <c r="AY2" s="1098"/>
      <c r="AZ2" s="1098"/>
      <c r="BA2" s="1098"/>
      <c r="BB2" s="1098"/>
      <c r="BC2" s="1098"/>
      <c r="BD2" s="1098"/>
      <c r="BE2" s="1098"/>
      <c r="BF2" s="1098"/>
      <c r="BG2" s="1098"/>
      <c r="BH2" s="1098"/>
      <c r="BI2" s="1098"/>
      <c r="BJ2" s="1098"/>
      <c r="BK2" s="1098"/>
      <c r="BL2" s="1098"/>
      <c r="BM2" s="1098"/>
      <c r="BN2" s="1098"/>
      <c r="BO2" s="1098"/>
      <c r="BP2" s="1098"/>
      <c r="BQ2" s="1098"/>
      <c r="BR2" s="1098"/>
      <c r="BS2" s="1098"/>
      <c r="BT2" s="1098"/>
      <c r="BU2" s="1098"/>
    </row>
    <row r="3" spans="1:73" x14ac:dyDescent="0.25">
      <c r="A3" s="1098"/>
      <c r="B3" s="1101" t="s">
        <v>1176</v>
      </c>
      <c r="C3" s="1105">
        <f ca="1">+cap_factor</f>
        <v>0.9</v>
      </c>
      <c r="D3" s="1104">
        <v>0.05</v>
      </c>
      <c r="E3" s="1104">
        <v>0.05</v>
      </c>
      <c r="F3" s="1114">
        <f>1+D3</f>
        <v>1.05</v>
      </c>
      <c r="G3" s="1111">
        <f>1-E3</f>
        <v>0.95</v>
      </c>
      <c r="H3" s="1103">
        <f t="shared" ref="H3:H9" ca="1" si="0">+C3*F3</f>
        <v>0.94500000000000006</v>
      </c>
      <c r="I3" s="1103">
        <f t="shared" ref="I3:I9" ca="1" si="1">+C3*G3</f>
        <v>0.85499999999999998</v>
      </c>
      <c r="J3" s="1452"/>
      <c r="K3" s="1452"/>
      <c r="L3" s="1098"/>
      <c r="M3" s="1098"/>
      <c r="N3" s="1098"/>
      <c r="O3" s="1098"/>
      <c r="P3" s="1098"/>
      <c r="Q3" s="1098"/>
      <c r="R3" s="1098"/>
      <c r="S3" s="1098"/>
      <c r="T3" s="1098"/>
      <c r="U3" s="1098"/>
      <c r="V3" s="1098"/>
      <c r="W3" s="1098"/>
      <c r="X3" s="1098"/>
      <c r="Y3" s="1098"/>
      <c r="Z3" s="1098"/>
      <c r="AA3" s="1098"/>
      <c r="AB3" s="1098"/>
      <c r="AC3" s="1098"/>
      <c r="AD3" s="1098"/>
      <c r="AE3" s="1098"/>
      <c r="AF3" s="1098"/>
      <c r="AG3" s="1098"/>
      <c r="AH3" s="1098"/>
      <c r="AI3" s="1098"/>
      <c r="AJ3" s="1098"/>
      <c r="AK3" s="1098"/>
      <c r="AL3" s="1098"/>
      <c r="AM3" s="1098"/>
      <c r="AN3" s="1098"/>
      <c r="AO3" s="1098"/>
      <c r="AP3" s="1098"/>
      <c r="AQ3" s="1098"/>
      <c r="AR3" s="1098"/>
      <c r="AS3" s="1098"/>
      <c r="AT3" s="1098"/>
      <c r="AU3" s="1098"/>
      <c r="AV3" s="1098"/>
      <c r="AW3" s="1098"/>
      <c r="AX3" s="1098"/>
      <c r="AY3" s="1098"/>
      <c r="AZ3" s="1098"/>
      <c r="BA3" s="1098"/>
      <c r="BB3" s="1098"/>
      <c r="BC3" s="1098"/>
      <c r="BD3" s="1098"/>
      <c r="BE3" s="1098"/>
      <c r="BF3" s="1098"/>
      <c r="BG3" s="1098"/>
      <c r="BH3" s="1098"/>
      <c r="BI3" s="1098"/>
      <c r="BJ3" s="1098"/>
      <c r="BK3" s="1098"/>
      <c r="BL3" s="1098"/>
      <c r="BM3" s="1098"/>
      <c r="BN3" s="1098"/>
      <c r="BO3" s="1098"/>
      <c r="BP3" s="1098"/>
      <c r="BQ3" s="1098"/>
      <c r="BR3" s="1098"/>
      <c r="BS3" s="1098"/>
      <c r="BT3" s="1098"/>
      <c r="BU3" s="1098"/>
    </row>
    <row r="4" spans="1:73" x14ac:dyDescent="0.25">
      <c r="A4" s="1098"/>
      <c r="B4" s="1101" t="str">
        <f>+Input_Sheet_Template!B26</f>
        <v>Plant Design Capacity (kg of H2/day)</v>
      </c>
      <c r="C4" s="1106">
        <f ca="1">+design_cap</f>
        <v>379387</v>
      </c>
      <c r="D4" s="1104">
        <v>0.05</v>
      </c>
      <c r="E4" s="1104">
        <v>0.05</v>
      </c>
      <c r="F4" s="1114">
        <f>1+D4</f>
        <v>1.05</v>
      </c>
      <c r="G4" s="1111">
        <f>1-E4</f>
        <v>0.95</v>
      </c>
      <c r="H4" s="1108">
        <f t="shared" ca="1" si="0"/>
        <v>398356.35000000003</v>
      </c>
      <c r="I4" s="1108">
        <f t="shared" ca="1" si="1"/>
        <v>360417.64999999997</v>
      </c>
      <c r="J4" s="1452"/>
      <c r="K4" s="1452"/>
      <c r="L4" s="1098"/>
      <c r="M4" s="1098"/>
      <c r="N4" s="1098"/>
      <c r="O4" s="1098"/>
      <c r="P4" s="1098"/>
      <c r="Q4" s="1098"/>
      <c r="R4" s="1098"/>
      <c r="S4" s="1098"/>
      <c r="T4" s="1098"/>
      <c r="U4" s="1098"/>
      <c r="V4" s="1098"/>
      <c r="W4" s="1098"/>
      <c r="X4" s="1098"/>
      <c r="Y4" s="1098"/>
      <c r="Z4" s="1098"/>
      <c r="AA4" s="1098"/>
      <c r="AB4" s="1098"/>
      <c r="AC4" s="1098"/>
      <c r="AD4" s="1098"/>
      <c r="AE4" s="1098"/>
      <c r="AF4" s="1098"/>
      <c r="AG4" s="1098"/>
      <c r="AH4" s="1098"/>
      <c r="AI4" s="1098"/>
      <c r="AJ4" s="1098"/>
      <c r="AK4" s="1098"/>
      <c r="AL4" s="1098"/>
      <c r="AM4" s="1098"/>
      <c r="AN4" s="1098"/>
      <c r="AO4" s="1098"/>
      <c r="AP4" s="1098"/>
      <c r="AQ4" s="1098"/>
      <c r="AR4" s="1098"/>
      <c r="AS4" s="1098"/>
      <c r="AT4" s="1098"/>
      <c r="AU4" s="1098"/>
      <c r="AV4" s="1098"/>
      <c r="AW4" s="1098"/>
      <c r="AX4" s="1098"/>
      <c r="AY4" s="1098"/>
      <c r="AZ4" s="1098"/>
      <c r="BA4" s="1098"/>
      <c r="BB4" s="1098"/>
      <c r="BC4" s="1098"/>
      <c r="BD4" s="1098"/>
      <c r="BE4" s="1098"/>
      <c r="BF4" s="1098"/>
      <c r="BG4" s="1098"/>
      <c r="BH4" s="1098"/>
      <c r="BI4" s="1098"/>
      <c r="BJ4" s="1098"/>
      <c r="BK4" s="1098"/>
      <c r="BL4" s="1098"/>
      <c r="BM4" s="1098"/>
      <c r="BN4" s="1098"/>
      <c r="BO4" s="1098"/>
      <c r="BP4" s="1098"/>
      <c r="BQ4" s="1098"/>
      <c r="BR4" s="1098"/>
      <c r="BS4" s="1098"/>
      <c r="BT4" s="1098"/>
      <c r="BU4" s="1098"/>
    </row>
    <row r="5" spans="1:73" x14ac:dyDescent="0.25">
      <c r="A5" s="1098"/>
      <c r="B5" s="1101" t="s">
        <v>1177</v>
      </c>
      <c r="C5" s="1105">
        <f ca="1">+real_irr</f>
        <v>0.08</v>
      </c>
      <c r="D5" s="1104">
        <v>0.05</v>
      </c>
      <c r="E5" s="1104">
        <v>0.05</v>
      </c>
      <c r="F5" s="1114">
        <f>1-D5</f>
        <v>0.95</v>
      </c>
      <c r="G5" s="1111">
        <f>1+E5</f>
        <v>1.05</v>
      </c>
      <c r="H5" s="1103">
        <f t="shared" ca="1" si="0"/>
        <v>7.5999999999999998E-2</v>
      </c>
      <c r="I5" s="1103">
        <f t="shared" ca="1" si="1"/>
        <v>8.4000000000000005E-2</v>
      </c>
      <c r="J5" s="1452"/>
      <c r="K5" s="1452"/>
      <c r="L5" s="1098"/>
      <c r="M5" s="1098"/>
      <c r="N5" s="1098"/>
      <c r="O5" s="1098"/>
      <c r="P5" s="1098"/>
      <c r="Q5" s="1098"/>
      <c r="R5" s="1098"/>
      <c r="S5" s="1098"/>
      <c r="T5" s="1098"/>
      <c r="U5" s="1098"/>
      <c r="V5" s="1098"/>
      <c r="W5" s="1098"/>
      <c r="X5" s="1098"/>
      <c r="Y5" s="1098"/>
      <c r="Z5" s="1098"/>
      <c r="AA5" s="1098"/>
      <c r="AB5" s="1098"/>
      <c r="AC5" s="1098"/>
      <c r="AD5" s="1098"/>
      <c r="AE5" s="1098"/>
      <c r="AF5" s="1098"/>
      <c r="AG5" s="1098"/>
      <c r="AH5" s="1098"/>
      <c r="AI5" s="1098"/>
      <c r="AJ5" s="1098"/>
      <c r="AK5" s="1098"/>
      <c r="AL5" s="1098"/>
      <c r="AM5" s="1098"/>
      <c r="AN5" s="1098"/>
      <c r="AO5" s="1098"/>
      <c r="AP5" s="1098"/>
      <c r="AQ5" s="1098"/>
      <c r="AR5" s="1098"/>
      <c r="AS5" s="1098"/>
      <c r="AT5" s="1098"/>
      <c r="AU5" s="1098"/>
      <c r="AV5" s="1098"/>
      <c r="AW5" s="1098"/>
      <c r="AX5" s="1098"/>
      <c r="AY5" s="1098"/>
      <c r="AZ5" s="1098"/>
      <c r="BA5" s="1098"/>
      <c r="BB5" s="1098"/>
      <c r="BC5" s="1098"/>
      <c r="BD5" s="1098"/>
      <c r="BE5" s="1098"/>
      <c r="BF5" s="1098"/>
      <c r="BG5" s="1098"/>
      <c r="BH5" s="1098"/>
      <c r="BI5" s="1098"/>
      <c r="BJ5" s="1098"/>
      <c r="BK5" s="1098"/>
      <c r="BL5" s="1098"/>
      <c r="BM5" s="1098"/>
      <c r="BN5" s="1098"/>
      <c r="BO5" s="1098"/>
      <c r="BP5" s="1098"/>
      <c r="BQ5" s="1098"/>
      <c r="BR5" s="1098"/>
      <c r="BS5" s="1098"/>
      <c r="BT5" s="1098"/>
      <c r="BU5" s="1098"/>
    </row>
    <row r="6" spans="1:73" x14ac:dyDescent="0.25">
      <c r="A6" s="1098"/>
      <c r="B6" s="1101" t="s">
        <v>1186</v>
      </c>
      <c r="C6" s="1201">
        <v>1</v>
      </c>
      <c r="D6" s="1104">
        <v>0.05</v>
      </c>
      <c r="E6" s="1104">
        <v>0.05</v>
      </c>
      <c r="F6" s="1114">
        <f>1-D6</f>
        <v>0.95</v>
      </c>
      <c r="G6" s="1111">
        <f t="shared" ref="G6:G9" si="2">1+E6</f>
        <v>1.05</v>
      </c>
      <c r="H6" s="1197">
        <f t="shared" si="0"/>
        <v>0.95</v>
      </c>
      <c r="I6" s="1197">
        <f t="shared" si="1"/>
        <v>1.05</v>
      </c>
      <c r="J6" s="1452"/>
      <c r="K6" s="1452"/>
      <c r="L6" s="1098"/>
      <c r="M6" s="1098"/>
      <c r="N6" s="1098"/>
      <c r="O6" s="1098"/>
      <c r="P6" s="1098"/>
      <c r="Q6" s="1098"/>
      <c r="R6" s="1098"/>
      <c r="S6" s="1098"/>
      <c r="T6" s="1098"/>
      <c r="U6" s="1098"/>
      <c r="V6" s="1098"/>
      <c r="W6" s="1098"/>
      <c r="X6" s="1098"/>
      <c r="Y6" s="1098"/>
      <c r="Z6" s="1098"/>
      <c r="AA6" s="1098"/>
      <c r="AB6" s="1098"/>
      <c r="AC6" s="1098"/>
      <c r="AD6" s="1098"/>
      <c r="AE6" s="1098"/>
      <c r="AF6" s="1098"/>
      <c r="AG6" s="1098"/>
      <c r="AH6" s="1098"/>
      <c r="AI6" s="1098"/>
      <c r="AJ6" s="1098"/>
      <c r="AK6" s="1098"/>
      <c r="AL6" s="1098"/>
      <c r="AM6" s="1098"/>
      <c r="AN6" s="1098"/>
      <c r="AO6" s="1098"/>
      <c r="AP6" s="1098"/>
      <c r="AQ6" s="1098"/>
      <c r="AR6" s="1098"/>
      <c r="AS6" s="1098"/>
      <c r="AT6" s="1098"/>
      <c r="AU6" s="1098"/>
      <c r="AV6" s="1098"/>
      <c r="AW6" s="1098"/>
      <c r="AX6" s="1098"/>
      <c r="AY6" s="1098"/>
      <c r="AZ6" s="1098"/>
      <c r="BA6" s="1098"/>
      <c r="BB6" s="1098"/>
      <c r="BC6" s="1098"/>
      <c r="BD6" s="1098"/>
      <c r="BE6" s="1098"/>
      <c r="BF6" s="1098"/>
      <c r="BG6" s="1098"/>
      <c r="BH6" s="1098"/>
      <c r="BI6" s="1098"/>
      <c r="BJ6" s="1098"/>
      <c r="BK6" s="1098"/>
      <c r="BL6" s="1098"/>
      <c r="BM6" s="1098"/>
      <c r="BN6" s="1098"/>
      <c r="BO6" s="1098"/>
      <c r="BP6" s="1098"/>
      <c r="BQ6" s="1098"/>
      <c r="BR6" s="1098"/>
      <c r="BS6" s="1098"/>
      <c r="BT6" s="1098"/>
      <c r="BU6" s="1098"/>
    </row>
    <row r="7" spans="1:73" x14ac:dyDescent="0.25">
      <c r="A7" s="1098"/>
      <c r="B7" s="1101" t="s">
        <v>1187</v>
      </c>
      <c r="C7" s="1201">
        <v>1</v>
      </c>
      <c r="D7" s="1104">
        <v>0.05</v>
      </c>
      <c r="E7" s="1104">
        <v>0.05</v>
      </c>
      <c r="F7" s="1114">
        <f>1-D7</f>
        <v>0.95</v>
      </c>
      <c r="G7" s="1111">
        <f t="shared" si="2"/>
        <v>1.05</v>
      </c>
      <c r="H7" s="1197">
        <f t="shared" si="0"/>
        <v>0.95</v>
      </c>
      <c r="I7" s="1197">
        <f t="shared" si="1"/>
        <v>1.05</v>
      </c>
      <c r="J7" s="1452"/>
      <c r="K7" s="1452"/>
      <c r="L7" s="1098"/>
      <c r="M7" s="1098"/>
      <c r="N7" s="1098"/>
      <c r="O7" s="1098"/>
      <c r="P7" s="1098"/>
      <c r="Q7" s="1098"/>
      <c r="R7" s="1098"/>
      <c r="S7" s="1098"/>
      <c r="T7" s="1098"/>
      <c r="U7" s="1098"/>
      <c r="V7" s="1098"/>
      <c r="W7" s="1098"/>
      <c r="X7" s="1098"/>
      <c r="Y7" s="1098"/>
      <c r="Z7" s="1098"/>
      <c r="AA7" s="1098"/>
      <c r="AB7" s="1098"/>
      <c r="AC7" s="1098"/>
      <c r="AD7" s="1098"/>
      <c r="AE7" s="1098"/>
      <c r="AF7" s="1098"/>
      <c r="AG7" s="1098"/>
      <c r="AH7" s="1098"/>
      <c r="AI7" s="1098"/>
      <c r="AJ7" s="1098"/>
      <c r="AK7" s="1098"/>
      <c r="AL7" s="1098"/>
      <c r="AM7" s="1098"/>
      <c r="AN7" s="1098"/>
      <c r="AO7" s="1098"/>
      <c r="AP7" s="1098"/>
      <c r="AQ7" s="1098"/>
      <c r="AR7" s="1098"/>
      <c r="AS7" s="1098"/>
      <c r="AT7" s="1098"/>
      <c r="AU7" s="1098"/>
      <c r="AV7" s="1098"/>
      <c r="AW7" s="1098"/>
      <c r="AX7" s="1098"/>
      <c r="AY7" s="1098"/>
      <c r="AZ7" s="1098"/>
      <c r="BA7" s="1098"/>
      <c r="BB7" s="1098"/>
      <c r="BC7" s="1098"/>
      <c r="BD7" s="1098"/>
      <c r="BE7" s="1098"/>
      <c r="BF7" s="1098"/>
      <c r="BG7" s="1098"/>
      <c r="BH7" s="1098"/>
      <c r="BI7" s="1098"/>
      <c r="BJ7" s="1098"/>
      <c r="BK7" s="1098"/>
      <c r="BL7" s="1098"/>
      <c r="BM7" s="1098"/>
      <c r="BN7" s="1098"/>
      <c r="BO7" s="1098"/>
      <c r="BP7" s="1098"/>
      <c r="BQ7" s="1098"/>
      <c r="BR7" s="1098"/>
      <c r="BS7" s="1098"/>
      <c r="BT7" s="1098"/>
      <c r="BU7" s="1098"/>
    </row>
    <row r="8" spans="1:73" x14ac:dyDescent="0.25">
      <c r="A8" s="1098"/>
      <c r="B8" s="1101" t="s">
        <v>117</v>
      </c>
      <c r="C8" s="1106">
        <f ca="1">+total_cap</f>
        <v>484210221.65483475</v>
      </c>
      <c r="D8" s="1104">
        <v>0.05</v>
      </c>
      <c r="E8" s="1104">
        <v>0.05</v>
      </c>
      <c r="F8" s="1114">
        <f>1-D8</f>
        <v>0.95</v>
      </c>
      <c r="G8" s="1111">
        <f t="shared" si="2"/>
        <v>1.05</v>
      </c>
      <c r="H8" s="1108">
        <f t="shared" ca="1" si="0"/>
        <v>459999710.57209301</v>
      </c>
      <c r="I8" s="1108">
        <f t="shared" ca="1" si="1"/>
        <v>508420732.73757648</v>
      </c>
      <c r="J8" s="1452"/>
      <c r="K8" s="1452"/>
      <c r="L8" s="1098"/>
      <c r="M8" s="1098"/>
      <c r="N8" s="1098"/>
      <c r="O8" s="1098"/>
      <c r="P8" s="1098"/>
      <c r="Q8" s="1098"/>
      <c r="R8" s="1098"/>
      <c r="S8" s="1098"/>
      <c r="T8" s="1098"/>
      <c r="U8" s="1098"/>
      <c r="V8" s="1098"/>
      <c r="W8" s="1098"/>
      <c r="X8" s="1098"/>
      <c r="Y8" s="1098"/>
      <c r="Z8" s="1098"/>
      <c r="AA8" s="1098"/>
      <c r="AB8" s="1098"/>
      <c r="AC8" s="1098"/>
      <c r="AD8" s="1098"/>
      <c r="AE8" s="1098"/>
      <c r="AF8" s="1098"/>
      <c r="AG8" s="1098"/>
      <c r="AH8" s="1098"/>
      <c r="AI8" s="1098"/>
      <c r="AJ8" s="1098"/>
      <c r="AK8" s="1098"/>
      <c r="AL8" s="1098"/>
      <c r="AM8" s="1098"/>
      <c r="AN8" s="1098"/>
      <c r="AO8" s="1098"/>
      <c r="AP8" s="1098"/>
      <c r="AQ8" s="1098"/>
      <c r="AR8" s="1098"/>
      <c r="AS8" s="1098"/>
      <c r="AT8" s="1098"/>
      <c r="AU8" s="1098"/>
      <c r="AV8" s="1098"/>
      <c r="AW8" s="1098"/>
      <c r="AX8" s="1098"/>
      <c r="AY8" s="1098"/>
      <c r="AZ8" s="1098"/>
      <c r="BA8" s="1098"/>
      <c r="BB8" s="1098"/>
      <c r="BC8" s="1098"/>
      <c r="BD8" s="1098"/>
      <c r="BE8" s="1098"/>
      <c r="BF8" s="1098"/>
      <c r="BG8" s="1098"/>
      <c r="BH8" s="1098"/>
      <c r="BI8" s="1098"/>
      <c r="BJ8" s="1098"/>
      <c r="BK8" s="1098"/>
      <c r="BL8" s="1098"/>
      <c r="BM8" s="1098"/>
      <c r="BN8" s="1098"/>
      <c r="BO8" s="1098"/>
      <c r="BP8" s="1098"/>
      <c r="BQ8" s="1098"/>
      <c r="BR8" s="1098"/>
      <c r="BS8" s="1098"/>
      <c r="BT8" s="1098"/>
      <c r="BU8" s="1098"/>
    </row>
    <row r="9" spans="1:73" x14ac:dyDescent="0.25">
      <c r="A9" s="1098"/>
      <c r="B9" s="1101" t="s">
        <v>634</v>
      </c>
      <c r="C9" s="1106">
        <f ca="1">+fixed</f>
        <v>14601223.596457751</v>
      </c>
      <c r="D9" s="1104">
        <v>0.05</v>
      </c>
      <c r="E9" s="1104">
        <v>0.05</v>
      </c>
      <c r="F9" s="1114">
        <f>1-D9</f>
        <v>0.95</v>
      </c>
      <c r="G9" s="1111">
        <f t="shared" si="2"/>
        <v>1.05</v>
      </c>
      <c r="H9" s="1108">
        <f t="shared" ca="1" si="0"/>
        <v>13871162.416634863</v>
      </c>
      <c r="I9" s="1108">
        <f t="shared" ca="1" si="1"/>
        <v>15331284.77628064</v>
      </c>
      <c r="J9" s="1452"/>
      <c r="K9" s="1452"/>
      <c r="L9" s="1098"/>
      <c r="M9" s="1098"/>
      <c r="N9" s="1098"/>
      <c r="O9" s="1098"/>
      <c r="P9" s="1098"/>
      <c r="Q9" s="1098"/>
      <c r="R9" s="1098"/>
      <c r="S9" s="1098"/>
      <c r="T9" s="1098"/>
      <c r="U9" s="1098"/>
      <c r="V9" s="1098"/>
      <c r="W9" s="1098"/>
      <c r="X9" s="1098"/>
      <c r="Y9" s="1098"/>
      <c r="Z9" s="1098"/>
      <c r="AA9" s="1098"/>
      <c r="AB9" s="1098"/>
      <c r="AC9" s="1098"/>
      <c r="AD9" s="1098"/>
      <c r="AE9" s="1098"/>
      <c r="AF9" s="1098"/>
      <c r="AG9" s="1098"/>
      <c r="AH9" s="1098"/>
      <c r="AI9" s="1098"/>
      <c r="AJ9" s="1098"/>
      <c r="AK9" s="1098"/>
      <c r="AL9" s="1098"/>
      <c r="AM9" s="1098"/>
      <c r="AN9" s="1098"/>
      <c r="AO9" s="1098"/>
      <c r="AP9" s="1098"/>
      <c r="AQ9" s="1098"/>
      <c r="AR9" s="1098"/>
      <c r="AS9" s="1098"/>
      <c r="AT9" s="1098"/>
      <c r="AU9" s="1098"/>
      <c r="AV9" s="1098"/>
      <c r="AW9" s="1098"/>
      <c r="AX9" s="1098"/>
      <c r="AY9" s="1098"/>
      <c r="AZ9" s="1098"/>
      <c r="BA9" s="1098"/>
      <c r="BB9" s="1098"/>
      <c r="BC9" s="1098"/>
      <c r="BD9" s="1098"/>
      <c r="BE9" s="1098"/>
      <c r="BF9" s="1098"/>
      <c r="BG9" s="1098"/>
      <c r="BH9" s="1098"/>
      <c r="BI9" s="1098"/>
      <c r="BJ9" s="1098"/>
      <c r="BK9" s="1098"/>
      <c r="BL9" s="1098"/>
      <c r="BM9" s="1098"/>
      <c r="BN9" s="1098"/>
      <c r="BO9" s="1098"/>
      <c r="BP9" s="1098"/>
      <c r="BQ9" s="1098"/>
      <c r="BR9" s="1098"/>
      <c r="BS9" s="1098"/>
      <c r="BT9" s="1098"/>
      <c r="BU9" s="1098"/>
    </row>
    <row r="10" spans="1:73" x14ac:dyDescent="0.25">
      <c r="A10" s="1098"/>
      <c r="B10" s="1098"/>
      <c r="C10" s="1098"/>
      <c r="D10" s="1098"/>
      <c r="E10" s="1098"/>
      <c r="F10" s="1098"/>
      <c r="G10" s="1098"/>
      <c r="H10" s="1098"/>
      <c r="I10" s="1098"/>
      <c r="J10" s="1098"/>
      <c r="K10" s="1098"/>
      <c r="L10" s="1098"/>
      <c r="M10" s="1098"/>
      <c r="N10" s="1098"/>
      <c r="O10" s="1098"/>
      <c r="P10" s="1098"/>
      <c r="Q10" s="1098"/>
      <c r="R10" s="1098"/>
      <c r="S10" s="1098"/>
      <c r="T10" s="1098"/>
      <c r="U10" s="1098"/>
      <c r="V10" s="1098"/>
      <c r="W10" s="1098"/>
      <c r="X10" s="1098"/>
      <c r="Y10" s="1098"/>
      <c r="Z10" s="1098"/>
      <c r="AA10" s="1098"/>
      <c r="AB10" s="1098"/>
      <c r="AC10" s="1098"/>
      <c r="AD10" s="1098"/>
      <c r="AE10" s="1098"/>
      <c r="AF10" s="1098"/>
      <c r="AG10" s="1098"/>
      <c r="AH10" s="1098"/>
      <c r="AI10" s="1098"/>
      <c r="AJ10" s="1098"/>
      <c r="AK10" s="1098"/>
      <c r="AL10" s="1098"/>
      <c r="AM10" s="1098"/>
      <c r="AN10" s="1098"/>
      <c r="AO10" s="1098"/>
      <c r="AP10" s="1098"/>
      <c r="AQ10" s="1098"/>
      <c r="AR10" s="1098"/>
      <c r="AS10" s="1098"/>
      <c r="AT10" s="1098"/>
      <c r="AU10" s="1098"/>
      <c r="AV10" s="1098"/>
      <c r="AW10" s="1098"/>
      <c r="AX10" s="1098"/>
      <c r="AY10" s="1098"/>
      <c r="AZ10" s="1098"/>
      <c r="BA10" s="1098"/>
      <c r="BB10" s="1098"/>
      <c r="BC10" s="1098"/>
      <c r="BD10" s="1098"/>
      <c r="BE10" s="1098"/>
      <c r="BF10" s="1098"/>
      <c r="BG10" s="1098"/>
      <c r="BH10" s="1098"/>
      <c r="BI10" s="1098"/>
      <c r="BJ10" s="1098"/>
      <c r="BK10" s="1098"/>
      <c r="BL10" s="1098"/>
      <c r="BM10" s="1098"/>
      <c r="BN10" s="1098"/>
      <c r="BO10" s="1098"/>
      <c r="BP10" s="1098"/>
      <c r="BQ10" s="1098"/>
      <c r="BR10" s="1098"/>
      <c r="BS10" s="1098"/>
      <c r="BT10" s="1098"/>
      <c r="BU10" s="1098"/>
    </row>
    <row r="11" spans="1:73" x14ac:dyDescent="0.25">
      <c r="A11" s="1098"/>
      <c r="B11" s="1640" t="s">
        <v>1303</v>
      </c>
      <c r="C11" s="1640"/>
      <c r="D11" s="1104" t="s">
        <v>23</v>
      </c>
      <c r="E11" s="1464" t="str">
        <f>IF(RunRiskAnalysis="Yes","          Please click Update Charts and Risk Analysis button before using results below","")</f>
        <v xml:space="preserve">          Please click Update Charts and Risk Analysis button before using results below</v>
      </c>
      <c r="F11" s="1098"/>
      <c r="H11" s="1098"/>
      <c r="I11" s="1098"/>
      <c r="J11" s="1098"/>
      <c r="K11" s="1098"/>
      <c r="L11" s="1098"/>
      <c r="M11" s="1098"/>
      <c r="N11" s="1098"/>
      <c r="O11" s="1098"/>
      <c r="P11" s="1098"/>
      <c r="Q11" s="1098"/>
      <c r="R11" s="1098"/>
      <c r="S11" s="1098"/>
      <c r="T11" s="1098"/>
      <c r="U11" s="1098"/>
      <c r="V11" s="1098"/>
      <c r="W11" s="1098"/>
      <c r="X11" s="1098"/>
      <c r="Y11" s="1098"/>
      <c r="Z11" s="1098"/>
      <c r="AA11" s="1098"/>
      <c r="AB11" s="1098"/>
      <c r="AC11" s="1098"/>
      <c r="AD11" s="1098"/>
      <c r="AE11" s="1098"/>
      <c r="AF11" s="1098"/>
      <c r="AG11" s="1098"/>
      <c r="AH11" s="1098"/>
      <c r="AI11" s="1098"/>
      <c r="AJ11" s="1098"/>
      <c r="AK11" s="1098"/>
      <c r="AL11" s="1098"/>
      <c r="AM11" s="1098"/>
      <c r="AN11" s="1098"/>
      <c r="AO11" s="1098"/>
      <c r="AP11" s="1098"/>
      <c r="AQ11" s="1098"/>
      <c r="AR11" s="1098"/>
      <c r="AS11" s="1098"/>
      <c r="AT11" s="1098"/>
      <c r="AU11" s="1098"/>
      <c r="AV11" s="1098"/>
      <c r="AW11" s="1098"/>
      <c r="AX11" s="1098"/>
      <c r="AY11" s="1098"/>
      <c r="AZ11" s="1098"/>
      <c r="BA11" s="1098"/>
      <c r="BB11" s="1098"/>
      <c r="BC11" s="1098"/>
      <c r="BD11" s="1098"/>
      <c r="BE11" s="1098"/>
      <c r="BF11" s="1098"/>
      <c r="BG11" s="1098"/>
      <c r="BH11" s="1098"/>
      <c r="BI11" s="1098"/>
      <c r="BJ11" s="1098"/>
      <c r="BK11" s="1098"/>
      <c r="BL11" s="1098"/>
      <c r="BM11" s="1098"/>
      <c r="BN11" s="1098"/>
      <c r="BO11" s="1098"/>
      <c r="BP11" s="1098"/>
      <c r="BQ11" s="1098"/>
      <c r="BR11" s="1098"/>
      <c r="BS11" s="1098"/>
      <c r="BT11" s="1098"/>
      <c r="BU11" s="1098"/>
    </row>
    <row r="12" spans="1:73" ht="12.75" customHeight="1" x14ac:dyDescent="0.25">
      <c r="A12" s="1098"/>
      <c r="B12" s="1098"/>
      <c r="C12" s="1098"/>
      <c r="D12" s="1098"/>
      <c r="E12" s="1098"/>
      <c r="F12" s="1098"/>
      <c r="G12" s="1098"/>
      <c r="H12" s="1098"/>
      <c r="I12" s="1098"/>
      <c r="J12" s="1098"/>
      <c r="K12" s="1098"/>
      <c r="L12" s="1098"/>
      <c r="M12" s="1098"/>
      <c r="N12" s="1098"/>
      <c r="P12" s="1640" t="s">
        <v>1321</v>
      </c>
      <c r="Q12" s="1640"/>
      <c r="R12" s="1641" t="s">
        <v>1344</v>
      </c>
      <c r="S12" s="1641"/>
      <c r="T12" s="1641"/>
      <c r="U12" s="1641"/>
      <c r="V12" s="1098"/>
      <c r="W12" s="1098"/>
      <c r="X12" s="1098"/>
      <c r="Y12" s="1098"/>
      <c r="Z12" s="1098"/>
      <c r="AA12" s="1098"/>
      <c r="AB12" s="1098"/>
      <c r="AC12" s="1098"/>
      <c r="AD12" s="1098"/>
      <c r="AE12" s="1098"/>
      <c r="AF12" s="1098"/>
      <c r="AG12" s="1098"/>
      <c r="AH12" s="1098"/>
      <c r="AI12" s="1098"/>
      <c r="AJ12" s="1098"/>
      <c r="AK12" s="1098"/>
      <c r="AL12" s="1098"/>
      <c r="AM12" s="1098"/>
      <c r="AN12" s="1098"/>
      <c r="AO12" s="1098"/>
      <c r="AP12" s="1098"/>
      <c r="AQ12" s="1098"/>
      <c r="AR12" s="1098"/>
      <c r="AS12" s="1098"/>
      <c r="AT12" s="1098"/>
      <c r="AU12" s="1098"/>
      <c r="AV12" s="1098"/>
      <c r="AW12" s="1098"/>
      <c r="AX12" s="1098"/>
      <c r="AY12" s="1098"/>
      <c r="AZ12" s="1098"/>
      <c r="BA12" s="1098"/>
      <c r="BB12" s="1098"/>
      <c r="BC12" s="1098"/>
      <c r="BD12" s="1098"/>
      <c r="BE12" s="1098"/>
      <c r="BF12" s="1098"/>
      <c r="BG12" s="1098"/>
      <c r="BH12" s="1098"/>
      <c r="BI12" s="1098"/>
      <c r="BJ12" s="1098"/>
      <c r="BK12" s="1098"/>
      <c r="BL12" s="1098"/>
      <c r="BM12" s="1098"/>
      <c r="BN12" s="1098"/>
      <c r="BO12" s="1098"/>
      <c r="BP12" s="1098"/>
      <c r="BQ12" s="1098"/>
      <c r="BR12" s="1098"/>
      <c r="BS12" s="1098"/>
      <c r="BT12" s="1098"/>
      <c r="BU12" s="1098"/>
    </row>
    <row r="13" spans="1:73" ht="13" x14ac:dyDescent="0.3">
      <c r="A13" s="1098"/>
      <c r="B13" s="1098"/>
      <c r="C13" s="1098"/>
      <c r="D13" s="1098"/>
      <c r="E13" s="1098"/>
      <c r="F13" s="1098"/>
      <c r="G13" s="1098"/>
      <c r="H13" s="1098"/>
      <c r="I13" s="1098"/>
      <c r="J13" s="1098"/>
      <c r="K13" s="1098"/>
      <c r="L13" s="1098"/>
      <c r="M13" s="1098"/>
      <c r="N13" s="1098"/>
      <c r="O13" s="1098"/>
      <c r="P13" s="1098"/>
      <c r="Q13" s="1098"/>
      <c r="R13" s="1098"/>
      <c r="S13" s="1098"/>
      <c r="T13" s="1098"/>
      <c r="U13" s="1098"/>
      <c r="V13" s="1109" t="s">
        <v>1307</v>
      </c>
      <c r="W13" s="1109" t="s">
        <v>1092</v>
      </c>
      <c r="X13" s="1098"/>
      <c r="Y13" s="1098"/>
      <c r="Z13" s="1098"/>
      <c r="AA13" s="1098"/>
      <c r="AB13" s="1098"/>
      <c r="AC13" s="1098"/>
      <c r="AD13" s="1098"/>
      <c r="AE13" s="1098"/>
      <c r="AF13" s="1098"/>
      <c r="AG13" s="1098"/>
      <c r="AH13" s="1098"/>
      <c r="AI13" s="1098"/>
      <c r="AJ13" s="1098"/>
      <c r="AK13" s="1098"/>
      <c r="AL13" s="1098"/>
      <c r="AM13" s="1098"/>
      <c r="AN13" s="1098"/>
      <c r="AO13" s="1098"/>
      <c r="AP13" s="1098"/>
      <c r="AQ13" s="1098"/>
      <c r="AR13" s="1098"/>
      <c r="AS13" s="1098"/>
      <c r="AT13" s="1098"/>
      <c r="AU13" s="1098"/>
      <c r="AV13" s="1098"/>
      <c r="AW13" s="1098"/>
      <c r="AX13" s="1098"/>
      <c r="AY13" s="1098"/>
      <c r="AZ13" s="1098"/>
      <c r="BA13" s="1098"/>
      <c r="BB13" s="1098"/>
      <c r="BC13" s="1098"/>
      <c r="BD13" s="1098"/>
      <c r="BE13" s="1098"/>
      <c r="BF13" s="1098"/>
      <c r="BG13" s="1098"/>
      <c r="BH13" s="1098"/>
      <c r="BI13" s="1098"/>
      <c r="BJ13" s="1098"/>
      <c r="BK13" s="1098"/>
      <c r="BL13" s="1098"/>
      <c r="BM13" s="1098"/>
      <c r="BN13" s="1098"/>
      <c r="BO13" s="1098"/>
      <c r="BP13" s="1098"/>
      <c r="BQ13" s="1098"/>
      <c r="BR13" s="1098"/>
      <c r="BS13" s="1098"/>
      <c r="BT13" s="1098"/>
      <c r="BU13" s="1098"/>
    </row>
    <row r="14" spans="1:73" x14ac:dyDescent="0.25">
      <c r="A14" s="1098"/>
      <c r="B14" s="1098"/>
      <c r="C14" s="1098"/>
      <c r="D14" s="1098"/>
      <c r="E14" s="1098"/>
      <c r="F14" s="1098"/>
      <c r="G14" s="1098"/>
      <c r="H14" s="1098"/>
      <c r="I14" s="1098"/>
      <c r="J14" s="1098"/>
      <c r="K14" s="1098"/>
      <c r="L14" s="1098"/>
      <c r="M14" s="1098"/>
      <c r="N14" s="1098"/>
      <c r="O14" s="1098"/>
      <c r="P14" s="1098"/>
      <c r="Q14" s="1098"/>
      <c r="R14" s="1098"/>
      <c r="S14" s="1098"/>
      <c r="T14" s="1098"/>
      <c r="U14" s="1098"/>
      <c r="V14" s="1111">
        <v>0</v>
      </c>
      <c r="W14" s="1112">
        <f ca="1">+MIN(OFFSET($B$251:$B$2250,0,$C$194))*$C$198</f>
        <v>1.4719066974099551</v>
      </c>
      <c r="X14" s="1098"/>
      <c r="Y14" s="1098"/>
      <c r="Z14" s="1098"/>
      <c r="AA14" s="1098"/>
      <c r="AB14" s="1098"/>
      <c r="AC14" s="1098"/>
      <c r="AD14" s="1098"/>
      <c r="AE14" s="1098"/>
      <c r="AF14" s="1098"/>
      <c r="AG14" s="1098"/>
      <c r="AH14" s="1098"/>
      <c r="AI14" s="1098"/>
      <c r="AJ14" s="1098"/>
      <c r="AK14" s="1098"/>
      <c r="AL14" s="1098"/>
      <c r="AM14" s="1098"/>
      <c r="AN14" s="1098"/>
      <c r="AO14" s="1098"/>
      <c r="AP14" s="1098"/>
      <c r="AQ14" s="1098"/>
      <c r="AR14" s="1098"/>
      <c r="AS14" s="1098"/>
      <c r="AT14" s="1098"/>
      <c r="AU14" s="1098"/>
      <c r="AV14" s="1098"/>
      <c r="AW14" s="1098"/>
      <c r="AX14" s="1098"/>
      <c r="AY14" s="1098"/>
      <c r="AZ14" s="1098"/>
      <c r="BA14" s="1098"/>
      <c r="BB14" s="1098"/>
      <c r="BC14" s="1098"/>
      <c r="BD14" s="1098"/>
      <c r="BE14" s="1098"/>
      <c r="BF14" s="1098"/>
      <c r="BG14" s="1098"/>
      <c r="BH14" s="1098"/>
      <c r="BI14" s="1098"/>
      <c r="BJ14" s="1098"/>
      <c r="BK14" s="1098"/>
      <c r="BL14" s="1098"/>
      <c r="BM14" s="1098"/>
      <c r="BN14" s="1098"/>
      <c r="BO14" s="1098"/>
      <c r="BP14" s="1098"/>
      <c r="BQ14" s="1098"/>
      <c r="BR14" s="1098"/>
      <c r="BS14" s="1098"/>
      <c r="BT14" s="1098"/>
      <c r="BU14" s="1098"/>
    </row>
    <row r="15" spans="1:73" x14ac:dyDescent="0.25">
      <c r="A15" s="1098"/>
      <c r="B15" s="1098"/>
      <c r="C15" s="1098"/>
      <c r="D15" s="1098"/>
      <c r="E15" s="1098"/>
      <c r="F15" s="1098"/>
      <c r="G15" s="1098"/>
      <c r="H15" s="1098"/>
      <c r="I15" s="1098"/>
      <c r="J15" s="1098"/>
      <c r="K15" s="1098"/>
      <c r="L15" s="1098"/>
      <c r="M15" s="1098"/>
      <c r="N15" s="1098"/>
      <c r="O15" s="1098"/>
      <c r="P15" s="1098"/>
      <c r="Q15" s="1098"/>
      <c r="R15" s="1098"/>
      <c r="S15" s="1098"/>
      <c r="T15" s="1098"/>
      <c r="U15" s="1098"/>
      <c r="V15" s="1462">
        <v>0.05</v>
      </c>
      <c r="W15" s="1463">
        <f t="shared" ref="W15:W33" ca="1" si="3">+PERCENTILE(OFFSET($B$251:$B$2250,0,$C$194),V15)*$C$198</f>
        <v>1.5171649739052118</v>
      </c>
      <c r="X15" s="1098"/>
      <c r="Y15" s="1098"/>
      <c r="Z15" s="1098"/>
      <c r="AA15" s="1098"/>
      <c r="AB15" s="1098"/>
      <c r="AC15" s="1098"/>
      <c r="AD15" s="1098"/>
      <c r="AE15" s="1098"/>
      <c r="AF15" s="1098"/>
      <c r="AG15" s="1098"/>
      <c r="AH15" s="1098"/>
      <c r="AI15" s="1098"/>
      <c r="AJ15" s="1098"/>
      <c r="AK15" s="1098"/>
      <c r="AL15" s="1098"/>
      <c r="AM15" s="1098"/>
      <c r="AN15" s="1098"/>
      <c r="AO15" s="1098"/>
      <c r="AP15" s="1098"/>
      <c r="AQ15" s="1098"/>
      <c r="AR15" s="1098"/>
      <c r="AS15" s="1098"/>
      <c r="AT15" s="1098"/>
      <c r="AU15" s="1098"/>
      <c r="AV15" s="1098"/>
      <c r="AW15" s="1098"/>
      <c r="AX15" s="1098"/>
      <c r="AY15" s="1098"/>
      <c r="AZ15" s="1098"/>
      <c r="BA15" s="1098"/>
      <c r="BB15" s="1098"/>
      <c r="BC15" s="1098"/>
      <c r="BD15" s="1098"/>
      <c r="BE15" s="1098"/>
      <c r="BF15" s="1098"/>
      <c r="BG15" s="1098"/>
      <c r="BH15" s="1098"/>
      <c r="BI15" s="1098"/>
      <c r="BJ15" s="1098"/>
      <c r="BK15" s="1098"/>
      <c r="BL15" s="1098"/>
      <c r="BM15" s="1098"/>
      <c r="BN15" s="1098"/>
      <c r="BO15" s="1098"/>
      <c r="BP15" s="1098"/>
      <c r="BQ15" s="1098"/>
      <c r="BR15" s="1098"/>
      <c r="BS15" s="1098"/>
      <c r="BT15" s="1098"/>
      <c r="BU15" s="1098"/>
    </row>
    <row r="16" spans="1:73" x14ac:dyDescent="0.25">
      <c r="A16" s="1098"/>
      <c r="B16" s="1099"/>
      <c r="C16" s="1098"/>
      <c r="D16" s="1098"/>
      <c r="E16" s="1098"/>
      <c r="F16" s="1098"/>
      <c r="G16" s="1098"/>
      <c r="H16" s="1098"/>
      <c r="I16" s="1098"/>
      <c r="J16" s="1098"/>
      <c r="K16" s="1098"/>
      <c r="L16" s="1098"/>
      <c r="M16" s="1098"/>
      <c r="N16" s="1098"/>
      <c r="O16" s="1098"/>
      <c r="P16" s="1098"/>
      <c r="Q16" s="1098"/>
      <c r="R16" s="1098"/>
      <c r="S16" s="1098"/>
      <c r="T16" s="1098"/>
      <c r="U16" s="1098"/>
      <c r="V16" s="1461">
        <f t="shared" ref="V16:V33" si="4">+V15+0.05</f>
        <v>0.1</v>
      </c>
      <c r="W16" s="1112">
        <f t="shared" ca="1" si="3"/>
        <v>1.5240947518764789</v>
      </c>
      <c r="X16" s="1098"/>
      <c r="Y16" s="1098"/>
      <c r="Z16" s="1098"/>
      <c r="AA16" s="1098"/>
      <c r="AB16" s="1098"/>
      <c r="AC16" s="1098"/>
      <c r="AD16" s="1098"/>
      <c r="AE16" s="1098"/>
      <c r="AF16" s="1098"/>
      <c r="AG16" s="1098"/>
      <c r="AH16" s="1098"/>
      <c r="AI16" s="1098"/>
      <c r="AJ16" s="1098"/>
      <c r="AK16" s="1098"/>
      <c r="AL16" s="1098"/>
      <c r="AM16" s="1098"/>
      <c r="AN16" s="1098"/>
      <c r="AO16" s="1098"/>
      <c r="AP16" s="1098"/>
      <c r="AQ16" s="1098"/>
      <c r="AR16" s="1098"/>
      <c r="AS16" s="1098"/>
      <c r="AT16" s="1098"/>
      <c r="AU16" s="1098"/>
      <c r="AV16" s="1098"/>
      <c r="AW16" s="1098"/>
      <c r="AX16" s="1098"/>
      <c r="AY16" s="1098"/>
      <c r="AZ16" s="1098"/>
      <c r="BA16" s="1098"/>
      <c r="BB16" s="1098"/>
      <c r="BC16" s="1098"/>
      <c r="BD16" s="1098"/>
      <c r="BE16" s="1098"/>
      <c r="BF16" s="1098"/>
      <c r="BG16" s="1098"/>
      <c r="BH16" s="1098"/>
      <c r="BI16" s="1098"/>
      <c r="BJ16" s="1098"/>
      <c r="BK16" s="1098"/>
      <c r="BL16" s="1098"/>
      <c r="BM16" s="1098"/>
      <c r="BN16" s="1098"/>
      <c r="BO16" s="1098"/>
      <c r="BP16" s="1098"/>
      <c r="BQ16" s="1098"/>
      <c r="BR16" s="1098"/>
      <c r="BS16" s="1098"/>
      <c r="BT16" s="1098"/>
      <c r="BU16" s="1098"/>
    </row>
    <row r="17" spans="1:73" x14ac:dyDescent="0.25">
      <c r="A17" s="1098"/>
      <c r="B17" s="1098"/>
      <c r="C17" s="1098"/>
      <c r="D17" s="1098"/>
      <c r="E17" s="1098"/>
      <c r="F17" s="1098"/>
      <c r="G17" s="1098"/>
      <c r="H17" s="1098"/>
      <c r="I17" s="1098"/>
      <c r="J17" s="1098"/>
      <c r="K17" s="1098"/>
      <c r="L17" s="1098"/>
      <c r="M17" s="1098"/>
      <c r="N17" s="1098"/>
      <c r="O17" s="1098"/>
      <c r="P17" s="1098"/>
      <c r="Q17" s="1098"/>
      <c r="R17" s="1098"/>
      <c r="S17" s="1098"/>
      <c r="T17" s="1098"/>
      <c r="U17" s="1098"/>
      <c r="V17" s="1461">
        <f t="shared" si="4"/>
        <v>0.15000000000000002</v>
      </c>
      <c r="W17" s="1112">
        <f t="shared" ca="1" si="3"/>
        <v>1.530836090740413</v>
      </c>
      <c r="X17" s="1098"/>
      <c r="Y17" s="1098"/>
      <c r="Z17" s="1098"/>
      <c r="AA17" s="1098"/>
      <c r="AB17" s="1098"/>
      <c r="AC17" s="1098"/>
      <c r="AD17" s="1098"/>
      <c r="AE17" s="1098"/>
      <c r="AF17" s="1098"/>
      <c r="AG17" s="1098"/>
      <c r="AH17" s="1098"/>
      <c r="AI17" s="1098"/>
      <c r="AJ17" s="1098"/>
      <c r="AK17" s="1098"/>
      <c r="AL17" s="1098"/>
      <c r="AM17" s="1098"/>
      <c r="AN17" s="1098"/>
      <c r="AO17" s="1098"/>
      <c r="AP17" s="1098"/>
      <c r="AQ17" s="1098"/>
      <c r="AR17" s="1098"/>
      <c r="AS17" s="1098"/>
      <c r="AT17" s="1098"/>
      <c r="AU17" s="1098"/>
      <c r="AV17" s="1098"/>
      <c r="AW17" s="1098"/>
      <c r="AX17" s="1098"/>
      <c r="AY17" s="1098"/>
      <c r="AZ17" s="1098"/>
      <c r="BA17" s="1098"/>
      <c r="BB17" s="1098"/>
      <c r="BC17" s="1098"/>
      <c r="BD17" s="1098"/>
      <c r="BE17" s="1098"/>
      <c r="BF17" s="1098"/>
      <c r="BG17" s="1098"/>
      <c r="BH17" s="1098"/>
      <c r="BI17" s="1098"/>
      <c r="BJ17" s="1098"/>
      <c r="BK17" s="1098"/>
      <c r="BL17" s="1098"/>
      <c r="BM17" s="1098"/>
      <c r="BN17" s="1098"/>
      <c r="BO17" s="1098"/>
      <c r="BP17" s="1098"/>
      <c r="BQ17" s="1098"/>
      <c r="BR17" s="1098"/>
      <c r="BS17" s="1098"/>
      <c r="BT17" s="1098"/>
      <c r="BU17" s="1098"/>
    </row>
    <row r="18" spans="1:73" x14ac:dyDescent="0.25">
      <c r="A18" s="1098"/>
      <c r="B18" s="1098"/>
      <c r="C18" s="1098"/>
      <c r="D18" s="1098"/>
      <c r="E18" s="1098"/>
      <c r="F18" s="1098"/>
      <c r="G18" s="1098"/>
      <c r="H18" s="1098"/>
      <c r="I18" s="1098"/>
      <c r="J18" s="1098"/>
      <c r="K18" s="1098"/>
      <c r="L18" s="1098"/>
      <c r="M18" s="1098"/>
      <c r="N18" s="1098"/>
      <c r="O18" s="1098"/>
      <c r="P18" s="1098"/>
      <c r="Q18" s="1098"/>
      <c r="R18" s="1098"/>
      <c r="S18" s="1098"/>
      <c r="T18" s="1098"/>
      <c r="U18" s="1098"/>
      <c r="V18" s="1461">
        <f t="shared" si="4"/>
        <v>0.2</v>
      </c>
      <c r="W18" s="1112">
        <f t="shared" ca="1" si="3"/>
        <v>1.535777796358305</v>
      </c>
      <c r="X18" s="1098"/>
      <c r="Y18" s="1098"/>
      <c r="Z18" s="1098"/>
      <c r="AA18" s="1098"/>
      <c r="AB18" s="1098"/>
      <c r="AC18" s="1098"/>
      <c r="AD18" s="1098"/>
      <c r="AE18" s="1098"/>
      <c r="AF18" s="1098"/>
      <c r="AG18" s="1098"/>
      <c r="AH18" s="1098"/>
      <c r="AI18" s="1098"/>
      <c r="AJ18" s="1098"/>
      <c r="AK18" s="1098"/>
      <c r="AL18" s="1098"/>
      <c r="AM18" s="1098"/>
      <c r="AN18" s="1098"/>
      <c r="AO18" s="1098"/>
      <c r="AP18" s="1098"/>
      <c r="AQ18" s="1098"/>
      <c r="AR18" s="1098"/>
      <c r="AS18" s="1098"/>
      <c r="AT18" s="1098"/>
      <c r="AU18" s="1098"/>
      <c r="AV18" s="1098"/>
      <c r="AW18" s="1098"/>
      <c r="AX18" s="1098"/>
      <c r="AY18" s="1098"/>
      <c r="AZ18" s="1098"/>
      <c r="BA18" s="1098"/>
      <c r="BB18" s="1098"/>
      <c r="BC18" s="1098"/>
      <c r="BD18" s="1098"/>
      <c r="BE18" s="1098"/>
      <c r="BF18" s="1098"/>
      <c r="BG18" s="1098"/>
      <c r="BH18" s="1098"/>
      <c r="BI18" s="1098"/>
      <c r="BJ18" s="1098"/>
      <c r="BK18" s="1098"/>
      <c r="BL18" s="1098"/>
      <c r="BM18" s="1098"/>
      <c r="BN18" s="1098"/>
      <c r="BO18" s="1098"/>
      <c r="BP18" s="1098"/>
      <c r="BQ18" s="1098"/>
      <c r="BR18" s="1098"/>
      <c r="BS18" s="1098"/>
      <c r="BT18" s="1098"/>
      <c r="BU18" s="1098"/>
    </row>
    <row r="19" spans="1:73" x14ac:dyDescent="0.25">
      <c r="A19" s="1098"/>
      <c r="B19" s="1098"/>
      <c r="C19" s="1098"/>
      <c r="D19" s="1098"/>
      <c r="E19" s="1098"/>
      <c r="F19" s="1098"/>
      <c r="G19" s="1098"/>
      <c r="H19" s="1098"/>
      <c r="I19" s="1098"/>
      <c r="J19" s="1098"/>
      <c r="K19" s="1098"/>
      <c r="L19" s="1098"/>
      <c r="M19" s="1098"/>
      <c r="N19" s="1098"/>
      <c r="O19" s="1098"/>
      <c r="P19" s="1098"/>
      <c r="Q19" s="1098"/>
      <c r="R19" s="1098"/>
      <c r="S19" s="1098"/>
      <c r="T19" s="1098"/>
      <c r="U19" s="1098"/>
      <c r="V19" s="1461">
        <f t="shared" si="4"/>
        <v>0.25</v>
      </c>
      <c r="W19" s="1112">
        <f t="shared" ca="1" si="3"/>
        <v>1.540644117734481</v>
      </c>
      <c r="X19" s="1098"/>
      <c r="Y19" s="1098"/>
      <c r="Z19" s="1098"/>
      <c r="AA19" s="1098"/>
      <c r="AB19" s="1098"/>
      <c r="AC19" s="1098"/>
      <c r="AD19" s="1098"/>
      <c r="AE19" s="1098"/>
      <c r="AF19" s="1098"/>
      <c r="AG19" s="1098"/>
      <c r="AH19" s="1098"/>
      <c r="AI19" s="1098"/>
      <c r="AJ19" s="1098"/>
      <c r="AK19" s="1098"/>
      <c r="AL19" s="1098"/>
      <c r="AM19" s="1098"/>
      <c r="AN19" s="1098"/>
      <c r="AO19" s="1098"/>
      <c r="AP19" s="1098"/>
      <c r="AQ19" s="1098"/>
      <c r="AR19" s="1098"/>
      <c r="AS19" s="1098"/>
      <c r="AT19" s="1098"/>
      <c r="AU19" s="1098"/>
      <c r="AV19" s="1098"/>
      <c r="AW19" s="1098"/>
      <c r="AX19" s="1098"/>
      <c r="AY19" s="1098"/>
      <c r="AZ19" s="1098"/>
      <c r="BA19" s="1098"/>
      <c r="BB19" s="1098"/>
      <c r="BC19" s="1098"/>
      <c r="BD19" s="1098"/>
      <c r="BE19" s="1098"/>
      <c r="BF19" s="1098"/>
      <c r="BG19" s="1098"/>
      <c r="BH19" s="1098"/>
      <c r="BI19" s="1098"/>
      <c r="BJ19" s="1098"/>
      <c r="BK19" s="1098"/>
      <c r="BL19" s="1098"/>
      <c r="BM19" s="1098"/>
      <c r="BN19" s="1098"/>
      <c r="BO19" s="1098"/>
      <c r="BP19" s="1098"/>
      <c r="BQ19" s="1098"/>
      <c r="BR19" s="1098"/>
      <c r="BS19" s="1098"/>
      <c r="BT19" s="1098"/>
      <c r="BU19" s="1098"/>
    </row>
    <row r="20" spans="1:73" x14ac:dyDescent="0.25">
      <c r="A20" s="1098"/>
      <c r="B20" s="1098"/>
      <c r="C20" s="1098"/>
      <c r="D20" s="1098"/>
      <c r="E20" s="1098"/>
      <c r="F20" s="1098"/>
      <c r="G20" s="1098"/>
      <c r="H20" s="1098"/>
      <c r="I20" s="1098"/>
      <c r="J20" s="1098"/>
      <c r="K20" s="1098"/>
      <c r="L20" s="1098"/>
      <c r="M20" s="1098"/>
      <c r="N20" s="1098"/>
      <c r="O20" s="1098"/>
      <c r="P20" s="1098"/>
      <c r="Q20" s="1098"/>
      <c r="R20" s="1098"/>
      <c r="S20" s="1098"/>
      <c r="T20" s="1098"/>
      <c r="U20" s="1098"/>
      <c r="V20" s="1461">
        <f t="shared" si="4"/>
        <v>0.3</v>
      </c>
      <c r="W20" s="1112">
        <f t="shared" ca="1" si="3"/>
        <v>1.5451974336239365</v>
      </c>
      <c r="X20" s="1098"/>
      <c r="Y20" s="1098"/>
      <c r="Z20" s="1098"/>
      <c r="AA20" s="1098"/>
      <c r="AB20" s="1098"/>
      <c r="AC20" s="1098"/>
      <c r="AD20" s="1098"/>
      <c r="AE20" s="1098"/>
      <c r="AF20" s="1098"/>
      <c r="AG20" s="1098"/>
      <c r="AH20" s="1098"/>
      <c r="AI20" s="1098"/>
      <c r="AJ20" s="1098"/>
      <c r="AK20" s="1098"/>
      <c r="AL20" s="1098"/>
      <c r="AM20" s="1098"/>
      <c r="AN20" s="1098"/>
      <c r="AO20" s="1098"/>
      <c r="AP20" s="1098"/>
      <c r="AQ20" s="1098"/>
      <c r="AR20" s="1098"/>
      <c r="AS20" s="1098"/>
      <c r="AT20" s="1098"/>
      <c r="AU20" s="1098"/>
      <c r="AV20" s="1098"/>
      <c r="AW20" s="1098"/>
      <c r="AX20" s="1098"/>
      <c r="AY20" s="1098"/>
      <c r="AZ20" s="1098"/>
      <c r="BA20" s="1098"/>
      <c r="BB20" s="1098"/>
      <c r="BC20" s="1098"/>
      <c r="BD20" s="1098"/>
      <c r="BE20" s="1098"/>
      <c r="BF20" s="1098"/>
      <c r="BG20" s="1098"/>
      <c r="BH20" s="1098"/>
      <c r="BI20" s="1098"/>
      <c r="BJ20" s="1098"/>
      <c r="BK20" s="1098"/>
      <c r="BL20" s="1098"/>
      <c r="BM20" s="1098"/>
      <c r="BN20" s="1098"/>
      <c r="BO20" s="1098"/>
      <c r="BP20" s="1098"/>
      <c r="BQ20" s="1098"/>
      <c r="BR20" s="1098"/>
      <c r="BS20" s="1098"/>
      <c r="BT20" s="1098"/>
      <c r="BU20" s="1098"/>
    </row>
    <row r="21" spans="1:73" x14ac:dyDescent="0.25">
      <c r="A21" s="1098"/>
      <c r="B21" s="1098"/>
      <c r="C21" s="1098"/>
      <c r="D21" s="1098"/>
      <c r="E21" s="1098"/>
      <c r="F21" s="1098"/>
      <c r="G21" s="1098"/>
      <c r="H21" s="1098"/>
      <c r="I21" s="1098"/>
      <c r="J21" s="1098"/>
      <c r="K21" s="1098"/>
      <c r="L21" s="1098"/>
      <c r="M21" s="1098"/>
      <c r="N21" s="1098"/>
      <c r="O21" s="1098"/>
      <c r="P21" s="1098"/>
      <c r="Q21" s="1098"/>
      <c r="R21" s="1098"/>
      <c r="S21" s="1098"/>
      <c r="T21" s="1098"/>
      <c r="U21" s="1098"/>
      <c r="V21" s="1461">
        <f t="shared" si="4"/>
        <v>0.35</v>
      </c>
      <c r="W21" s="1112">
        <f t="shared" ca="1" si="3"/>
        <v>1.5489343393274928</v>
      </c>
      <c r="X21" s="1098"/>
      <c r="Y21" s="1098"/>
      <c r="Z21" s="1098"/>
      <c r="AA21" s="1098"/>
      <c r="AB21" s="1098"/>
      <c r="AC21" s="1098"/>
      <c r="AD21" s="1098"/>
      <c r="AE21" s="1098"/>
      <c r="AF21" s="1098"/>
      <c r="AG21" s="1098"/>
      <c r="AH21" s="1098"/>
      <c r="AI21" s="1098"/>
      <c r="AJ21" s="1098"/>
      <c r="AK21" s="1098"/>
      <c r="AL21" s="1098"/>
      <c r="AM21" s="1098"/>
      <c r="AN21" s="1098"/>
      <c r="AO21" s="1098"/>
      <c r="AP21" s="1098"/>
      <c r="AQ21" s="1098"/>
      <c r="AR21" s="1098"/>
      <c r="AS21" s="1098"/>
      <c r="AT21" s="1098"/>
      <c r="AU21" s="1098"/>
      <c r="AV21" s="1098"/>
      <c r="AW21" s="1098"/>
      <c r="AX21" s="1098"/>
      <c r="AY21" s="1098"/>
      <c r="AZ21" s="1098"/>
      <c r="BA21" s="1098"/>
      <c r="BB21" s="1098"/>
      <c r="BC21" s="1098"/>
      <c r="BD21" s="1098"/>
      <c r="BE21" s="1098"/>
      <c r="BF21" s="1098"/>
      <c r="BG21" s="1098"/>
      <c r="BH21" s="1098"/>
      <c r="BI21" s="1098"/>
      <c r="BJ21" s="1098"/>
      <c r="BK21" s="1098"/>
      <c r="BL21" s="1098"/>
      <c r="BM21" s="1098"/>
      <c r="BN21" s="1098"/>
      <c r="BO21" s="1098"/>
      <c r="BP21" s="1098"/>
      <c r="BQ21" s="1098"/>
      <c r="BR21" s="1098"/>
      <c r="BS21" s="1098"/>
      <c r="BT21" s="1098"/>
      <c r="BU21" s="1098"/>
    </row>
    <row r="22" spans="1:73" x14ac:dyDescent="0.25">
      <c r="A22" s="1098"/>
      <c r="B22" s="1098"/>
      <c r="C22" s="1098"/>
      <c r="D22" s="1098"/>
      <c r="E22" s="1098"/>
      <c r="F22" s="1098"/>
      <c r="G22" s="1098"/>
      <c r="H22" s="1098"/>
      <c r="I22" s="1098"/>
      <c r="J22" s="1098"/>
      <c r="K22" s="1098"/>
      <c r="L22" s="1098"/>
      <c r="M22" s="1098"/>
      <c r="N22" s="1098"/>
      <c r="O22" s="1098"/>
      <c r="P22" s="1098"/>
      <c r="Q22" s="1098"/>
      <c r="R22" s="1098"/>
      <c r="S22" s="1098"/>
      <c r="T22" s="1098"/>
      <c r="U22" s="1098"/>
      <c r="V22" s="1461">
        <f t="shared" si="4"/>
        <v>0.39999999999999997</v>
      </c>
      <c r="W22" s="1112">
        <f t="shared" ca="1" si="3"/>
        <v>1.5519721267797899</v>
      </c>
      <c r="X22" s="1098"/>
      <c r="Y22" s="1098"/>
      <c r="Z22" s="1098"/>
      <c r="AA22" s="1098"/>
      <c r="AB22" s="1098"/>
      <c r="AC22" s="1098"/>
      <c r="AD22" s="1098"/>
      <c r="AE22" s="1098"/>
      <c r="AF22" s="1098"/>
      <c r="AG22" s="1098"/>
      <c r="AH22" s="1098"/>
      <c r="AI22" s="1098"/>
      <c r="AJ22" s="1098"/>
      <c r="AK22" s="1098"/>
      <c r="AL22" s="1098"/>
      <c r="AM22" s="1098"/>
      <c r="AN22" s="1098"/>
      <c r="AO22" s="1098"/>
      <c r="AP22" s="1098"/>
      <c r="AQ22" s="1098"/>
      <c r="AR22" s="1098"/>
      <c r="AS22" s="1098"/>
      <c r="AT22" s="1098"/>
      <c r="AU22" s="1098"/>
      <c r="AV22" s="1098"/>
      <c r="AW22" s="1098"/>
      <c r="AX22" s="1098"/>
      <c r="AY22" s="1098"/>
      <c r="AZ22" s="1098"/>
      <c r="BA22" s="1098"/>
      <c r="BB22" s="1098"/>
      <c r="BC22" s="1098"/>
      <c r="BD22" s="1098"/>
      <c r="BE22" s="1098"/>
      <c r="BF22" s="1098"/>
      <c r="BG22" s="1098"/>
      <c r="BH22" s="1098"/>
      <c r="BI22" s="1098"/>
      <c r="BJ22" s="1098"/>
      <c r="BK22" s="1098"/>
      <c r="BL22" s="1098"/>
      <c r="BM22" s="1098"/>
      <c r="BN22" s="1098"/>
      <c r="BO22" s="1098"/>
      <c r="BP22" s="1098"/>
      <c r="BQ22" s="1098"/>
      <c r="BR22" s="1098"/>
      <c r="BS22" s="1098"/>
      <c r="BT22" s="1098"/>
      <c r="BU22" s="1098"/>
    </row>
    <row r="23" spans="1:73" x14ac:dyDescent="0.25">
      <c r="A23" s="1098"/>
      <c r="B23" s="1098"/>
      <c r="C23" s="1098"/>
      <c r="D23" s="1098"/>
      <c r="E23" s="1098"/>
      <c r="F23" s="1098"/>
      <c r="G23" s="1098"/>
      <c r="H23" s="1098"/>
      <c r="I23" s="1098"/>
      <c r="J23" s="1098"/>
      <c r="K23" s="1098"/>
      <c r="L23" s="1098"/>
      <c r="M23" s="1098"/>
      <c r="N23" s="1098"/>
      <c r="O23" s="1098"/>
      <c r="P23" s="1098"/>
      <c r="Q23" s="1098"/>
      <c r="R23" s="1098"/>
      <c r="S23" s="1098"/>
      <c r="T23" s="1098"/>
      <c r="U23" s="1098"/>
      <c r="V23" s="1461">
        <f t="shared" si="4"/>
        <v>0.44999999999999996</v>
      </c>
      <c r="W23" s="1112">
        <f t="shared" ca="1" si="3"/>
        <v>1.5554778222620977</v>
      </c>
      <c r="X23" s="1098"/>
      <c r="Y23" s="1098"/>
      <c r="Z23" s="1098"/>
      <c r="AA23" s="1098"/>
      <c r="AB23" s="1098"/>
      <c r="AC23" s="1098"/>
      <c r="AD23" s="1098"/>
      <c r="AE23" s="1098"/>
      <c r="AF23" s="1098"/>
      <c r="AG23" s="1098"/>
      <c r="AH23" s="1098"/>
      <c r="AI23" s="1098"/>
      <c r="AJ23" s="1098"/>
      <c r="AK23" s="1098"/>
      <c r="AL23" s="1098"/>
      <c r="AM23" s="1098"/>
      <c r="AN23" s="1098"/>
      <c r="AO23" s="1098"/>
      <c r="AP23" s="1098"/>
      <c r="AQ23" s="1098"/>
      <c r="AR23" s="1098"/>
      <c r="AS23" s="1098"/>
      <c r="AT23" s="1098"/>
      <c r="AU23" s="1098"/>
      <c r="AV23" s="1098"/>
      <c r="AW23" s="1098"/>
      <c r="AX23" s="1098"/>
      <c r="AY23" s="1098"/>
      <c r="AZ23" s="1098"/>
      <c r="BA23" s="1098"/>
      <c r="BB23" s="1098"/>
      <c r="BC23" s="1098"/>
      <c r="BD23" s="1098"/>
      <c r="BE23" s="1098"/>
      <c r="BF23" s="1098"/>
      <c r="BG23" s="1098"/>
      <c r="BH23" s="1098"/>
      <c r="BI23" s="1098"/>
      <c r="BJ23" s="1098"/>
      <c r="BK23" s="1098"/>
      <c r="BL23" s="1098"/>
      <c r="BM23" s="1098"/>
      <c r="BN23" s="1098"/>
      <c r="BO23" s="1098"/>
      <c r="BP23" s="1098"/>
      <c r="BQ23" s="1098"/>
      <c r="BR23" s="1098"/>
      <c r="BS23" s="1098"/>
      <c r="BT23" s="1098"/>
      <c r="BU23" s="1098"/>
    </row>
    <row r="24" spans="1:73" x14ac:dyDescent="0.25">
      <c r="A24" s="1098"/>
      <c r="B24" s="1098"/>
      <c r="C24" s="1098"/>
      <c r="D24" s="1098"/>
      <c r="E24" s="1098"/>
      <c r="F24" s="1098"/>
      <c r="G24" s="1098"/>
      <c r="H24" s="1098"/>
      <c r="I24" s="1098"/>
      <c r="J24" s="1098"/>
      <c r="K24" s="1098"/>
      <c r="L24" s="1098"/>
      <c r="M24" s="1098"/>
      <c r="N24" s="1098"/>
      <c r="O24" s="1098"/>
      <c r="P24" s="1098"/>
      <c r="Q24" s="1098"/>
      <c r="R24" s="1098"/>
      <c r="S24" s="1098"/>
      <c r="T24" s="1098"/>
      <c r="U24" s="1098"/>
      <c r="V24" s="1462">
        <f t="shared" si="4"/>
        <v>0.49999999999999994</v>
      </c>
      <c r="W24" s="1463">
        <f t="shared" ca="1" si="3"/>
        <v>1.5586809617958239</v>
      </c>
      <c r="X24" s="1098"/>
      <c r="Y24" s="1098"/>
      <c r="Z24" s="1098"/>
      <c r="AA24" s="1098"/>
      <c r="AB24" s="1098"/>
      <c r="AC24" s="1098"/>
      <c r="AD24" s="1098"/>
      <c r="AE24" s="1098"/>
      <c r="AF24" s="1098"/>
      <c r="AG24" s="1098"/>
      <c r="AH24" s="1098"/>
      <c r="AI24" s="1098"/>
      <c r="AJ24" s="1098"/>
      <c r="AK24" s="1098"/>
      <c r="AL24" s="1098"/>
      <c r="AM24" s="1098"/>
      <c r="AN24" s="1098"/>
      <c r="AO24" s="1098"/>
      <c r="AP24" s="1098"/>
      <c r="AQ24" s="1098"/>
      <c r="AR24" s="1098"/>
      <c r="AS24" s="1098"/>
      <c r="AT24" s="1098"/>
      <c r="AU24" s="1098"/>
      <c r="AV24" s="1098"/>
      <c r="AW24" s="1098"/>
      <c r="AX24" s="1098"/>
      <c r="AY24" s="1098"/>
      <c r="AZ24" s="1098"/>
      <c r="BA24" s="1098"/>
      <c r="BB24" s="1098"/>
      <c r="BC24" s="1098"/>
      <c r="BD24" s="1098"/>
      <c r="BE24" s="1098"/>
      <c r="BF24" s="1098"/>
      <c r="BG24" s="1098"/>
      <c r="BH24" s="1098"/>
      <c r="BI24" s="1098"/>
      <c r="BJ24" s="1098"/>
      <c r="BK24" s="1098"/>
      <c r="BL24" s="1098"/>
      <c r="BM24" s="1098"/>
      <c r="BN24" s="1098"/>
      <c r="BO24" s="1098"/>
      <c r="BP24" s="1098"/>
      <c r="BQ24" s="1098"/>
      <c r="BR24" s="1098"/>
      <c r="BS24" s="1098"/>
      <c r="BT24" s="1098"/>
      <c r="BU24" s="1098"/>
    </row>
    <row r="25" spans="1:73" x14ac:dyDescent="0.25">
      <c r="A25" s="1098"/>
      <c r="B25" s="1098"/>
      <c r="C25" s="1098"/>
      <c r="D25" s="1098"/>
      <c r="E25" s="1098"/>
      <c r="F25" s="1098"/>
      <c r="G25" s="1098"/>
      <c r="H25" s="1098"/>
      <c r="I25" s="1098"/>
      <c r="J25" s="1098"/>
      <c r="K25" s="1098"/>
      <c r="L25" s="1098"/>
      <c r="M25" s="1098"/>
      <c r="N25" s="1098"/>
      <c r="O25" s="1098"/>
      <c r="P25" s="1098"/>
      <c r="Q25" s="1098"/>
      <c r="R25" s="1098"/>
      <c r="S25" s="1098"/>
      <c r="T25" s="1098"/>
      <c r="U25" s="1098"/>
      <c r="V25" s="1461">
        <f t="shared" si="4"/>
        <v>0.54999999999999993</v>
      </c>
      <c r="W25" s="1112">
        <f t="shared" ca="1" si="3"/>
        <v>1.5624644035970687</v>
      </c>
      <c r="X25" s="1098"/>
      <c r="Y25" s="1098"/>
      <c r="Z25" s="1098"/>
      <c r="AA25" s="1098"/>
      <c r="AB25" s="1098"/>
      <c r="AC25" s="1098"/>
      <c r="AD25" s="1098"/>
      <c r="AE25" s="1098"/>
      <c r="AF25" s="1098"/>
      <c r="AG25" s="1098"/>
      <c r="AH25" s="1098"/>
      <c r="AI25" s="1098"/>
      <c r="AJ25" s="1098"/>
      <c r="AK25" s="1098"/>
      <c r="AL25" s="1098"/>
      <c r="AM25" s="1098"/>
      <c r="AN25" s="1098"/>
      <c r="AO25" s="1098"/>
      <c r="AP25" s="1098"/>
      <c r="AQ25" s="1098"/>
      <c r="AR25" s="1098"/>
      <c r="AS25" s="1098"/>
      <c r="AT25" s="1098"/>
      <c r="AU25" s="1098"/>
      <c r="AV25" s="1098"/>
      <c r="AW25" s="1098"/>
      <c r="AX25" s="1098"/>
      <c r="AY25" s="1098"/>
      <c r="AZ25" s="1098"/>
      <c r="BA25" s="1098"/>
      <c r="BB25" s="1098"/>
      <c r="BC25" s="1098"/>
      <c r="BD25" s="1098"/>
      <c r="BE25" s="1098"/>
      <c r="BF25" s="1098"/>
      <c r="BG25" s="1098"/>
      <c r="BH25" s="1098"/>
      <c r="BI25" s="1098"/>
      <c r="BJ25" s="1098"/>
      <c r="BK25" s="1098"/>
      <c r="BL25" s="1098"/>
      <c r="BM25" s="1098"/>
      <c r="BN25" s="1098"/>
      <c r="BO25" s="1098"/>
      <c r="BP25" s="1098"/>
      <c r="BQ25" s="1098"/>
      <c r="BR25" s="1098"/>
      <c r="BS25" s="1098"/>
      <c r="BT25" s="1098"/>
      <c r="BU25" s="1098"/>
    </row>
    <row r="26" spans="1:73" x14ac:dyDescent="0.25">
      <c r="A26" s="1098"/>
      <c r="B26" s="1098"/>
      <c r="C26" s="1098"/>
      <c r="D26" s="1098"/>
      <c r="E26" s="1098"/>
      <c r="F26" s="1098"/>
      <c r="G26" s="1098"/>
      <c r="H26" s="1098"/>
      <c r="I26" s="1098"/>
      <c r="J26" s="1098"/>
      <c r="K26" s="1098"/>
      <c r="L26" s="1098"/>
      <c r="M26" s="1098"/>
      <c r="N26" s="1098"/>
      <c r="O26" s="1098"/>
      <c r="P26" s="1098"/>
      <c r="Q26" s="1098"/>
      <c r="R26" s="1098"/>
      <c r="S26" s="1098"/>
      <c r="T26" s="1098"/>
      <c r="U26" s="1098"/>
      <c r="V26" s="1461">
        <f t="shared" si="4"/>
        <v>0.6</v>
      </c>
      <c r="W26" s="1112">
        <f t="shared" ca="1" si="3"/>
        <v>1.5650508279184281</v>
      </c>
      <c r="X26" s="1098"/>
      <c r="Y26" s="1098"/>
      <c r="Z26" s="1098"/>
      <c r="AA26" s="1098"/>
      <c r="AB26" s="1098"/>
      <c r="AC26" s="1098"/>
      <c r="AD26" s="1098"/>
      <c r="AE26" s="1098"/>
      <c r="AF26" s="1098"/>
      <c r="AG26" s="1098"/>
      <c r="AH26" s="1098"/>
      <c r="AI26" s="1098"/>
      <c r="AJ26" s="1098"/>
      <c r="AK26" s="1098"/>
      <c r="AL26" s="1098"/>
      <c r="AM26" s="1098"/>
      <c r="AN26" s="1098"/>
      <c r="AO26" s="1098"/>
      <c r="AP26" s="1098"/>
      <c r="AQ26" s="1098"/>
      <c r="AR26" s="1098"/>
      <c r="AS26" s="1098"/>
      <c r="AT26" s="1098"/>
      <c r="AU26" s="1098"/>
      <c r="AV26" s="1098"/>
      <c r="AW26" s="1098"/>
      <c r="AX26" s="1098"/>
      <c r="AY26" s="1098"/>
      <c r="AZ26" s="1098"/>
      <c r="BA26" s="1098"/>
      <c r="BB26" s="1098"/>
      <c r="BC26" s="1098"/>
      <c r="BD26" s="1098"/>
      <c r="BE26" s="1098"/>
      <c r="BF26" s="1098"/>
      <c r="BG26" s="1098"/>
      <c r="BH26" s="1098"/>
      <c r="BI26" s="1098"/>
      <c r="BJ26" s="1098"/>
      <c r="BK26" s="1098"/>
      <c r="BL26" s="1098"/>
      <c r="BM26" s="1098"/>
      <c r="BN26" s="1098"/>
      <c r="BO26" s="1098"/>
      <c r="BP26" s="1098"/>
      <c r="BQ26" s="1098"/>
      <c r="BR26" s="1098"/>
      <c r="BS26" s="1098"/>
      <c r="BT26" s="1098"/>
      <c r="BU26" s="1098"/>
    </row>
    <row r="27" spans="1:73" x14ac:dyDescent="0.25">
      <c r="A27" s="1098"/>
      <c r="B27" s="1098"/>
      <c r="C27" s="1098"/>
      <c r="D27" s="1098"/>
      <c r="E27" s="1098"/>
      <c r="F27" s="1098"/>
      <c r="G27" s="1098"/>
      <c r="H27" s="1098"/>
      <c r="I27" s="1098"/>
      <c r="J27" s="1098"/>
      <c r="K27" s="1098"/>
      <c r="L27" s="1098"/>
      <c r="M27" s="1098"/>
      <c r="N27" s="1098"/>
      <c r="O27" s="1098"/>
      <c r="P27" s="1098"/>
      <c r="Q27" s="1098"/>
      <c r="R27" s="1098"/>
      <c r="S27" s="1098"/>
      <c r="T27" s="1098"/>
      <c r="U27" s="1098"/>
      <c r="V27" s="1461">
        <f t="shared" si="4"/>
        <v>0.65</v>
      </c>
      <c r="W27" s="1112">
        <f t="shared" ca="1" si="3"/>
        <v>1.5681930135334037</v>
      </c>
      <c r="X27" s="1098"/>
      <c r="Y27" s="1098"/>
      <c r="Z27" s="1098"/>
      <c r="AA27" s="1098"/>
      <c r="AB27" s="1098"/>
      <c r="AC27" s="1098"/>
      <c r="AD27" s="1098"/>
      <c r="AE27" s="1098"/>
      <c r="AF27" s="1098"/>
      <c r="AG27" s="1098"/>
      <c r="AH27" s="1098"/>
      <c r="AI27" s="1098"/>
      <c r="AJ27" s="1098"/>
      <c r="AK27" s="1098"/>
      <c r="AL27" s="1098"/>
      <c r="AM27" s="1098"/>
      <c r="AN27" s="1098"/>
      <c r="AO27" s="1098"/>
      <c r="AP27" s="1098"/>
      <c r="AQ27" s="1098"/>
      <c r="AR27" s="1098"/>
      <c r="AS27" s="1098"/>
      <c r="AT27" s="1098"/>
      <c r="AU27" s="1098"/>
      <c r="AV27" s="1098"/>
      <c r="AW27" s="1098"/>
      <c r="AX27" s="1098"/>
      <c r="AY27" s="1098"/>
      <c r="AZ27" s="1098"/>
      <c r="BA27" s="1098"/>
      <c r="BB27" s="1098"/>
      <c r="BC27" s="1098"/>
      <c r="BD27" s="1098"/>
      <c r="BE27" s="1098"/>
      <c r="BF27" s="1098"/>
      <c r="BG27" s="1098"/>
      <c r="BH27" s="1098"/>
      <c r="BI27" s="1098"/>
      <c r="BJ27" s="1098"/>
      <c r="BK27" s="1098"/>
      <c r="BL27" s="1098"/>
      <c r="BM27" s="1098"/>
      <c r="BN27" s="1098"/>
      <c r="BO27" s="1098"/>
      <c r="BP27" s="1098"/>
      <c r="BQ27" s="1098"/>
      <c r="BR27" s="1098"/>
      <c r="BS27" s="1098"/>
      <c r="BT27" s="1098"/>
      <c r="BU27" s="1098"/>
    </row>
    <row r="28" spans="1:73" x14ac:dyDescent="0.25">
      <c r="A28" s="1098"/>
      <c r="B28" s="1098"/>
      <c r="C28" s="1098"/>
      <c r="D28" s="1098"/>
      <c r="E28" s="1098"/>
      <c r="F28" s="1098"/>
      <c r="G28" s="1098"/>
      <c r="H28" s="1098"/>
      <c r="I28" s="1098"/>
      <c r="J28" s="1098"/>
      <c r="K28" s="1098"/>
      <c r="L28" s="1098"/>
      <c r="M28" s="1098"/>
      <c r="N28" s="1098"/>
      <c r="O28" s="1098"/>
      <c r="P28" s="1098"/>
      <c r="Q28" s="1098"/>
      <c r="R28" s="1098"/>
      <c r="S28" s="1098"/>
      <c r="T28" s="1098"/>
      <c r="U28" s="1098"/>
      <c r="V28" s="1461">
        <f t="shared" si="4"/>
        <v>0.70000000000000007</v>
      </c>
      <c r="W28" s="1112">
        <f t="shared" ca="1" si="3"/>
        <v>1.5712698408025121</v>
      </c>
      <c r="X28" s="1098"/>
      <c r="Y28" s="1098"/>
      <c r="Z28" s="1098"/>
      <c r="AA28" s="1098"/>
      <c r="AB28" s="1098"/>
      <c r="AC28" s="1098"/>
      <c r="AD28" s="1098"/>
      <c r="AE28" s="1098"/>
      <c r="AF28" s="1098"/>
      <c r="AG28" s="1098"/>
      <c r="AH28" s="1098"/>
      <c r="AI28" s="1098"/>
      <c r="AJ28" s="1098"/>
      <c r="AK28" s="1098"/>
      <c r="AL28" s="1098"/>
      <c r="AM28" s="1098"/>
      <c r="AN28" s="1098"/>
      <c r="AO28" s="1098"/>
      <c r="AP28" s="1098"/>
      <c r="AQ28" s="1098"/>
      <c r="AR28" s="1098"/>
      <c r="AS28" s="1098"/>
      <c r="AT28" s="1098"/>
      <c r="AU28" s="1098"/>
      <c r="AV28" s="1098"/>
      <c r="AW28" s="1098"/>
      <c r="AX28" s="1098"/>
      <c r="AY28" s="1098"/>
      <c r="AZ28" s="1098"/>
      <c r="BA28" s="1098"/>
      <c r="BB28" s="1098"/>
      <c r="BC28" s="1098"/>
      <c r="BD28" s="1098"/>
      <c r="BE28" s="1098"/>
      <c r="BF28" s="1098"/>
      <c r="BG28" s="1098"/>
      <c r="BH28" s="1098"/>
      <c r="BI28" s="1098"/>
      <c r="BJ28" s="1098"/>
      <c r="BK28" s="1098"/>
      <c r="BL28" s="1098"/>
      <c r="BM28" s="1098"/>
      <c r="BN28" s="1098"/>
      <c r="BO28" s="1098"/>
      <c r="BP28" s="1098"/>
      <c r="BQ28" s="1098"/>
      <c r="BR28" s="1098"/>
      <c r="BS28" s="1098"/>
      <c r="BT28" s="1098"/>
      <c r="BU28" s="1098"/>
    </row>
    <row r="29" spans="1:73" x14ac:dyDescent="0.25">
      <c r="A29" s="1098"/>
      <c r="B29" s="1098"/>
      <c r="C29" s="1098"/>
      <c r="D29" s="1098"/>
      <c r="E29" s="1098"/>
      <c r="F29" s="1098"/>
      <c r="G29" s="1098"/>
      <c r="H29" s="1098"/>
      <c r="I29" s="1098"/>
      <c r="J29" s="1098"/>
      <c r="K29" s="1098"/>
      <c r="L29" s="1098"/>
      <c r="M29" s="1098"/>
      <c r="N29" s="1098"/>
      <c r="O29" s="1098"/>
      <c r="P29" s="1098"/>
      <c r="Q29" s="1098"/>
      <c r="R29" s="1098"/>
      <c r="S29" s="1098"/>
      <c r="T29" s="1098"/>
      <c r="U29" s="1098"/>
      <c r="V29" s="1461">
        <f t="shared" si="4"/>
        <v>0.75000000000000011</v>
      </c>
      <c r="W29" s="1112">
        <f t="shared" ca="1" si="3"/>
        <v>1.5754352197878059</v>
      </c>
      <c r="X29" s="1098"/>
      <c r="Y29" s="1098"/>
      <c r="Z29" s="1098"/>
      <c r="AA29" s="1098"/>
      <c r="AB29" s="1098"/>
      <c r="AC29" s="1098"/>
      <c r="AD29" s="1098"/>
      <c r="AE29" s="1098"/>
      <c r="AF29" s="1098"/>
      <c r="AG29" s="1098"/>
      <c r="AH29" s="1098"/>
      <c r="AI29" s="1098"/>
      <c r="AJ29" s="1098"/>
      <c r="AK29" s="1098"/>
      <c r="AL29" s="1098"/>
      <c r="AM29" s="1098"/>
      <c r="AN29" s="1098"/>
      <c r="AO29" s="1098"/>
      <c r="AP29" s="1098"/>
      <c r="AQ29" s="1098"/>
      <c r="AR29" s="1098"/>
      <c r="AS29" s="1098"/>
      <c r="AT29" s="1098"/>
      <c r="AU29" s="1098"/>
      <c r="AV29" s="1098"/>
      <c r="AW29" s="1098"/>
      <c r="AX29" s="1098"/>
      <c r="AY29" s="1098"/>
      <c r="AZ29" s="1098"/>
      <c r="BA29" s="1098"/>
      <c r="BB29" s="1098"/>
      <c r="BC29" s="1098"/>
      <c r="BD29" s="1098"/>
      <c r="BE29" s="1098"/>
      <c r="BF29" s="1098"/>
      <c r="BG29" s="1098"/>
      <c r="BH29" s="1098"/>
      <c r="BI29" s="1098"/>
      <c r="BJ29" s="1098"/>
      <c r="BK29" s="1098"/>
      <c r="BL29" s="1098"/>
      <c r="BM29" s="1098"/>
      <c r="BN29" s="1098"/>
      <c r="BO29" s="1098"/>
      <c r="BP29" s="1098"/>
      <c r="BQ29" s="1098"/>
      <c r="BR29" s="1098"/>
      <c r="BS29" s="1098"/>
      <c r="BT29" s="1098"/>
      <c r="BU29" s="1098"/>
    </row>
    <row r="30" spans="1:73" x14ac:dyDescent="0.25">
      <c r="A30" s="1098"/>
      <c r="B30" s="1098"/>
      <c r="C30" s="1098"/>
      <c r="D30" s="1098"/>
      <c r="E30" s="1098"/>
      <c r="F30" s="1099"/>
      <c r="G30" s="1098"/>
      <c r="H30" s="1098"/>
      <c r="I30" s="1098"/>
      <c r="J30" s="1098"/>
      <c r="K30" s="1098"/>
      <c r="L30" s="1098"/>
      <c r="M30" s="1098"/>
      <c r="N30" s="1098"/>
      <c r="O30" s="1098"/>
      <c r="P30" s="1098"/>
      <c r="Q30" s="1098"/>
      <c r="R30" s="1098"/>
      <c r="S30" s="1098"/>
      <c r="T30" s="1098"/>
      <c r="U30" s="1098"/>
      <c r="V30" s="1461">
        <f t="shared" si="4"/>
        <v>0.80000000000000016</v>
      </c>
      <c r="W30" s="1112">
        <f t="shared" ca="1" si="3"/>
        <v>1.5801665901335513</v>
      </c>
      <c r="X30" s="1098"/>
      <c r="Y30" s="1098"/>
      <c r="Z30" s="1098"/>
      <c r="AA30" s="1098"/>
      <c r="AB30" s="1098"/>
      <c r="AC30" s="1098"/>
      <c r="AD30" s="1098"/>
      <c r="AE30" s="1098"/>
      <c r="AF30" s="1098"/>
      <c r="AG30" s="1098"/>
      <c r="AH30" s="1098"/>
      <c r="AI30" s="1098"/>
      <c r="AJ30" s="1098"/>
      <c r="AK30" s="1098"/>
      <c r="AL30" s="1098"/>
      <c r="AM30" s="1098"/>
      <c r="AN30" s="1098"/>
      <c r="AO30" s="1098"/>
      <c r="AP30" s="1098"/>
      <c r="AQ30" s="1098"/>
      <c r="AR30" s="1098"/>
      <c r="AS30" s="1098"/>
      <c r="AT30" s="1098"/>
      <c r="AU30" s="1098"/>
      <c r="AV30" s="1098"/>
      <c r="AW30" s="1098"/>
      <c r="AX30" s="1098"/>
      <c r="AY30" s="1098"/>
      <c r="AZ30" s="1098"/>
      <c r="BA30" s="1098"/>
      <c r="BB30" s="1098"/>
      <c r="BC30" s="1098"/>
      <c r="BD30" s="1098"/>
      <c r="BE30" s="1098"/>
      <c r="BF30" s="1098"/>
      <c r="BG30" s="1098"/>
      <c r="BH30" s="1098"/>
      <c r="BI30" s="1098"/>
      <c r="BJ30" s="1098"/>
      <c r="BK30" s="1098"/>
      <c r="BL30" s="1098"/>
      <c r="BM30" s="1098"/>
      <c r="BN30" s="1098"/>
      <c r="BO30" s="1098"/>
      <c r="BP30" s="1098"/>
      <c r="BQ30" s="1098"/>
      <c r="BR30" s="1098"/>
      <c r="BS30" s="1098"/>
      <c r="BT30" s="1098"/>
      <c r="BU30" s="1098"/>
    </row>
    <row r="31" spans="1:73" x14ac:dyDescent="0.25">
      <c r="A31" s="1098"/>
      <c r="B31" s="1098"/>
      <c r="C31" s="1098"/>
      <c r="D31" s="1098"/>
      <c r="E31" s="1098"/>
      <c r="F31" s="1098"/>
      <c r="G31" s="1098"/>
      <c r="H31" s="1098"/>
      <c r="I31" s="1098"/>
      <c r="J31" s="1098"/>
      <c r="K31" s="1098"/>
      <c r="L31" s="1098"/>
      <c r="M31" s="1098"/>
      <c r="N31" s="1098"/>
      <c r="O31" s="1098"/>
      <c r="P31" s="1098"/>
      <c r="Q31" s="1098"/>
      <c r="R31" s="1098"/>
      <c r="S31" s="1098"/>
      <c r="T31" s="1098"/>
      <c r="U31" s="1098"/>
      <c r="V31" s="1461">
        <f t="shared" si="4"/>
        <v>0.8500000000000002</v>
      </c>
      <c r="W31" s="1112">
        <f t="shared" ca="1" si="3"/>
        <v>1.5849933356712869</v>
      </c>
      <c r="X31" s="1098"/>
      <c r="Y31" s="1098"/>
      <c r="Z31" s="1098"/>
      <c r="AA31" s="1098"/>
      <c r="AB31" s="1098"/>
      <c r="AC31" s="1098"/>
      <c r="AD31" s="1098"/>
      <c r="AE31" s="1098"/>
      <c r="AF31" s="1098"/>
      <c r="AG31" s="1098"/>
      <c r="AH31" s="1098"/>
      <c r="AI31" s="1098"/>
      <c r="AJ31" s="1098"/>
      <c r="AK31" s="1098"/>
      <c r="AL31" s="1098"/>
      <c r="AM31" s="1098"/>
      <c r="AN31" s="1098"/>
      <c r="AO31" s="1098"/>
      <c r="AP31" s="1098"/>
      <c r="AQ31" s="1098"/>
      <c r="AR31" s="1098"/>
      <c r="AS31" s="1098"/>
      <c r="AT31" s="1098"/>
      <c r="AU31" s="1098"/>
      <c r="AV31" s="1098"/>
      <c r="AW31" s="1098"/>
      <c r="AX31" s="1098"/>
      <c r="AY31" s="1098"/>
      <c r="AZ31" s="1098"/>
      <c r="BA31" s="1098"/>
      <c r="BB31" s="1098"/>
      <c r="BC31" s="1098"/>
      <c r="BD31" s="1098"/>
      <c r="BE31" s="1098"/>
      <c r="BF31" s="1098"/>
      <c r="BG31" s="1098"/>
      <c r="BH31" s="1098"/>
      <c r="BI31" s="1098"/>
      <c r="BJ31" s="1098"/>
      <c r="BK31" s="1098"/>
      <c r="BL31" s="1098"/>
      <c r="BM31" s="1098"/>
      <c r="BN31" s="1098"/>
      <c r="BO31" s="1098"/>
      <c r="BP31" s="1098"/>
      <c r="BQ31" s="1098"/>
      <c r="BR31" s="1098"/>
      <c r="BS31" s="1098"/>
      <c r="BT31" s="1098"/>
      <c r="BU31" s="1098"/>
    </row>
    <row r="32" spans="1:73" x14ac:dyDescent="0.25">
      <c r="A32" s="1098"/>
      <c r="B32" s="1098"/>
      <c r="C32" s="1098"/>
      <c r="D32" s="1098"/>
      <c r="E32" s="1098"/>
      <c r="F32" s="1098"/>
      <c r="G32" s="1098"/>
      <c r="H32" s="1098"/>
      <c r="I32" s="1098"/>
      <c r="J32" s="1098"/>
      <c r="K32" s="1098"/>
      <c r="L32" s="1098"/>
      <c r="M32" s="1098"/>
      <c r="N32" s="1098"/>
      <c r="O32" s="1098"/>
      <c r="P32" s="1098"/>
      <c r="Q32" s="1098"/>
      <c r="R32" s="1098"/>
      <c r="S32" s="1098"/>
      <c r="T32" s="1098"/>
      <c r="U32" s="1098"/>
      <c r="V32" s="1461">
        <f t="shared" si="4"/>
        <v>0.90000000000000024</v>
      </c>
      <c r="W32" s="1112">
        <f t="shared" ca="1" si="3"/>
        <v>1.5915350215860216</v>
      </c>
      <c r="X32" s="1098"/>
      <c r="Y32" s="1098"/>
      <c r="Z32" s="1098"/>
      <c r="AA32" s="1098"/>
      <c r="AB32" s="1098"/>
      <c r="AC32" s="1098"/>
      <c r="AD32" s="1098"/>
      <c r="AE32" s="1098"/>
      <c r="AF32" s="1098"/>
      <c r="AG32" s="1098"/>
      <c r="AH32" s="1098"/>
      <c r="AI32" s="1098"/>
      <c r="AJ32" s="1098"/>
      <c r="AK32" s="1098"/>
      <c r="AL32" s="1098"/>
      <c r="AM32" s="1098"/>
      <c r="AN32" s="1098"/>
      <c r="AO32" s="1098"/>
      <c r="AP32" s="1098"/>
      <c r="AQ32" s="1098"/>
      <c r="AR32" s="1098"/>
      <c r="AS32" s="1098"/>
      <c r="AT32" s="1098"/>
      <c r="AU32" s="1098"/>
      <c r="AV32" s="1098"/>
      <c r="AW32" s="1098"/>
      <c r="AX32" s="1098"/>
      <c r="AY32" s="1098"/>
      <c r="AZ32" s="1098"/>
      <c r="BA32" s="1098"/>
      <c r="BB32" s="1098"/>
      <c r="BC32" s="1098"/>
      <c r="BD32" s="1098"/>
      <c r="BE32" s="1098"/>
      <c r="BF32" s="1098"/>
      <c r="BG32" s="1098"/>
      <c r="BH32" s="1098"/>
      <c r="BI32" s="1098"/>
      <c r="BJ32" s="1098"/>
      <c r="BK32" s="1098"/>
      <c r="BL32" s="1098"/>
      <c r="BM32" s="1098"/>
      <c r="BN32" s="1098"/>
      <c r="BO32" s="1098"/>
      <c r="BP32" s="1098"/>
      <c r="BQ32" s="1098"/>
      <c r="BR32" s="1098"/>
      <c r="BS32" s="1098"/>
      <c r="BT32" s="1098"/>
      <c r="BU32" s="1098"/>
    </row>
    <row r="33" spans="1:73" x14ac:dyDescent="0.25">
      <c r="A33" s="1098"/>
      <c r="B33" s="1098"/>
      <c r="C33" s="1098"/>
      <c r="D33" s="1098"/>
      <c r="E33" s="1098"/>
      <c r="F33" s="1098"/>
      <c r="G33" s="1098"/>
      <c r="H33" s="1098"/>
      <c r="I33" s="1098"/>
      <c r="J33" s="1098"/>
      <c r="K33" s="1098"/>
      <c r="L33" s="1098"/>
      <c r="M33" s="1098"/>
      <c r="N33" s="1098"/>
      <c r="O33" s="1098"/>
      <c r="P33" s="1098"/>
      <c r="Q33" s="1098"/>
      <c r="R33" s="1098"/>
      <c r="S33" s="1098"/>
      <c r="T33" s="1098"/>
      <c r="U33" s="1098"/>
      <c r="V33" s="1462">
        <f t="shared" si="4"/>
        <v>0.95000000000000029</v>
      </c>
      <c r="W33" s="1463">
        <f t="shared" ca="1" si="3"/>
        <v>1.600879183025685</v>
      </c>
      <c r="X33" s="1098"/>
      <c r="Y33" s="1098"/>
      <c r="Z33" s="1098"/>
      <c r="AA33" s="1098"/>
      <c r="AB33" s="1098"/>
      <c r="AC33" s="1098"/>
      <c r="AD33" s="1098"/>
      <c r="AE33" s="1098"/>
      <c r="AF33" s="1098"/>
      <c r="AG33" s="1098"/>
      <c r="AH33" s="1098"/>
      <c r="AI33" s="1098"/>
      <c r="AJ33" s="1098"/>
      <c r="AK33" s="1098"/>
      <c r="AL33" s="1098"/>
      <c r="AM33" s="1098"/>
      <c r="AN33" s="1098"/>
      <c r="AO33" s="1098"/>
      <c r="AP33" s="1098"/>
      <c r="AQ33" s="1098"/>
      <c r="AR33" s="1098"/>
      <c r="AS33" s="1098"/>
      <c r="AT33" s="1098"/>
      <c r="AU33" s="1098"/>
      <c r="AV33" s="1098"/>
      <c r="AW33" s="1098"/>
      <c r="AX33" s="1098"/>
      <c r="AY33" s="1098"/>
      <c r="AZ33" s="1098"/>
      <c r="BA33" s="1098"/>
      <c r="BB33" s="1098"/>
      <c r="BC33" s="1098"/>
      <c r="BD33" s="1098"/>
      <c r="BE33" s="1098"/>
      <c r="BF33" s="1098"/>
      <c r="BG33" s="1098"/>
      <c r="BH33" s="1098"/>
      <c r="BI33" s="1098"/>
      <c r="BJ33" s="1098"/>
      <c r="BK33" s="1098"/>
      <c r="BL33" s="1098"/>
      <c r="BM33" s="1098"/>
      <c r="BN33" s="1098"/>
      <c r="BO33" s="1098"/>
      <c r="BP33" s="1098"/>
      <c r="BQ33" s="1098"/>
      <c r="BR33" s="1098"/>
      <c r="BS33" s="1098"/>
      <c r="BT33" s="1098"/>
      <c r="BU33" s="1098"/>
    </row>
    <row r="34" spans="1:73" x14ac:dyDescent="0.25">
      <c r="A34" s="1098"/>
      <c r="B34" s="1098"/>
      <c r="C34" s="1098"/>
      <c r="D34" s="1098"/>
      <c r="E34" s="1098"/>
      <c r="F34" s="1098"/>
      <c r="G34" s="1098"/>
      <c r="H34" s="1098"/>
      <c r="I34" s="1098"/>
      <c r="J34" s="1098"/>
      <c r="K34" s="1098"/>
      <c r="L34" s="1098"/>
      <c r="M34" s="1098"/>
      <c r="N34" s="1098"/>
      <c r="O34" s="1098"/>
      <c r="P34" s="1098"/>
      <c r="Q34" s="1098"/>
      <c r="R34" s="1098"/>
      <c r="S34" s="1098"/>
      <c r="T34" s="1098"/>
      <c r="U34" s="1098"/>
      <c r="V34" s="1461">
        <v>1</v>
      </c>
      <c r="W34" s="1112">
        <f ca="1">+MAX(OFFSET($B$251:$B$2250,0,$C$194))*$C$198</f>
        <v>1.6447487673590528</v>
      </c>
      <c r="X34" s="1098"/>
      <c r="Y34" s="1098"/>
      <c r="Z34" s="1098"/>
      <c r="AA34" s="1098"/>
      <c r="AB34" s="1098"/>
      <c r="AC34" s="1098"/>
      <c r="AD34" s="1098"/>
      <c r="AE34" s="1098"/>
      <c r="AF34" s="1098"/>
      <c r="AG34" s="1098"/>
      <c r="AH34" s="1098"/>
      <c r="AI34" s="1098"/>
      <c r="AJ34" s="1098"/>
      <c r="AK34" s="1098"/>
      <c r="AL34" s="1098"/>
      <c r="AM34" s="1098"/>
      <c r="AN34" s="1098"/>
      <c r="AO34" s="1098"/>
      <c r="AP34" s="1098"/>
      <c r="AQ34" s="1098"/>
      <c r="AR34" s="1098"/>
      <c r="AS34" s="1098"/>
      <c r="AT34" s="1098"/>
      <c r="AU34" s="1098"/>
      <c r="AV34" s="1098"/>
      <c r="AW34" s="1098"/>
      <c r="AX34" s="1098"/>
      <c r="AY34" s="1098"/>
      <c r="AZ34" s="1098"/>
      <c r="BA34" s="1098"/>
      <c r="BB34" s="1098"/>
      <c r="BC34" s="1098"/>
      <c r="BD34" s="1098"/>
      <c r="BE34" s="1098"/>
      <c r="BF34" s="1098"/>
      <c r="BG34" s="1098"/>
      <c r="BH34" s="1098"/>
      <c r="BI34" s="1098"/>
      <c r="BJ34" s="1098"/>
      <c r="BK34" s="1098"/>
      <c r="BL34" s="1098"/>
      <c r="BM34" s="1098"/>
      <c r="BN34" s="1098"/>
      <c r="BO34" s="1098"/>
      <c r="BP34" s="1098"/>
      <c r="BQ34" s="1098"/>
      <c r="BR34" s="1098"/>
      <c r="BS34" s="1098"/>
      <c r="BT34" s="1098"/>
      <c r="BU34" s="1098"/>
    </row>
    <row r="35" spans="1:73" ht="13" x14ac:dyDescent="0.3">
      <c r="A35" s="1098"/>
      <c r="B35" s="1098"/>
      <c r="C35" s="1098"/>
      <c r="D35" s="1098"/>
      <c r="E35" s="1098"/>
      <c r="F35" s="1098"/>
      <c r="G35" s="1098"/>
      <c r="H35" s="1098"/>
      <c r="I35" s="1098"/>
      <c r="J35" s="1098"/>
      <c r="K35" s="1098"/>
      <c r="L35" s="1098"/>
      <c r="M35" s="1233"/>
      <c r="N35" s="1098"/>
      <c r="O35" s="1098"/>
      <c r="P35" s="1098"/>
      <c r="Q35" s="1098"/>
      <c r="R35" s="1098"/>
      <c r="S35" s="1098"/>
      <c r="T35" s="1098"/>
      <c r="U35" s="1098"/>
      <c r="V35" s="1098"/>
      <c r="W35" s="1098"/>
      <c r="X35" s="1098"/>
      <c r="Y35" s="1098"/>
      <c r="Z35" s="1098"/>
      <c r="AA35" s="1098"/>
      <c r="AB35" s="1098"/>
      <c r="AC35" s="1098"/>
      <c r="AD35" s="1098"/>
      <c r="AE35" s="1098"/>
      <c r="AF35" s="1098"/>
      <c r="AG35" s="1098"/>
      <c r="AH35" s="1098"/>
      <c r="AI35" s="1098"/>
      <c r="AJ35" s="1098"/>
      <c r="AK35" s="1098"/>
      <c r="AL35" s="1098"/>
      <c r="AM35" s="1098"/>
      <c r="AN35" s="1098"/>
      <c r="AO35" s="1098"/>
      <c r="AP35" s="1098"/>
      <c r="AQ35" s="1098"/>
      <c r="AR35" s="1098"/>
      <c r="AS35" s="1098"/>
      <c r="AT35" s="1098"/>
      <c r="AU35" s="1098"/>
      <c r="AV35" s="1098"/>
      <c r="AW35" s="1098"/>
      <c r="AX35" s="1098"/>
      <c r="AY35" s="1098"/>
      <c r="AZ35" s="1098"/>
      <c r="BA35" s="1098"/>
      <c r="BB35" s="1098"/>
      <c r="BC35" s="1098"/>
      <c r="BD35" s="1098"/>
      <c r="BE35" s="1098"/>
      <c r="BF35" s="1098"/>
      <c r="BG35" s="1098"/>
      <c r="BH35" s="1098"/>
      <c r="BI35" s="1098"/>
      <c r="BJ35" s="1098"/>
      <c r="BK35" s="1098"/>
      <c r="BL35" s="1098"/>
      <c r="BM35" s="1098"/>
      <c r="BN35" s="1098"/>
      <c r="BO35" s="1098"/>
      <c r="BP35" s="1098"/>
      <c r="BQ35" s="1098"/>
      <c r="BR35" s="1098"/>
      <c r="BS35" s="1098"/>
      <c r="BT35" s="1098"/>
      <c r="BU35" s="1098"/>
    </row>
    <row r="36" spans="1:73" x14ac:dyDescent="0.25">
      <c r="A36" s="1098"/>
      <c r="B36" s="1098"/>
      <c r="C36" s="1098"/>
      <c r="D36" s="1098"/>
      <c r="E36" s="1098"/>
      <c r="F36" s="1098"/>
      <c r="G36" s="1098"/>
      <c r="H36" s="1098"/>
      <c r="I36" s="1098"/>
      <c r="J36" s="1098"/>
      <c r="K36" s="1098"/>
      <c r="L36" s="1098"/>
      <c r="M36" s="1098"/>
      <c r="N36" s="1098"/>
      <c r="O36" s="1098"/>
      <c r="P36" s="1098"/>
      <c r="Q36" s="1098"/>
      <c r="R36" s="1098"/>
      <c r="S36" s="1098"/>
      <c r="T36" s="1098"/>
      <c r="U36" s="1098"/>
      <c r="V36" s="1098"/>
      <c r="W36" s="1098"/>
      <c r="X36" s="1098"/>
      <c r="Y36" s="1098"/>
      <c r="Z36" s="1098"/>
      <c r="AA36" s="1098"/>
      <c r="AB36" s="1098"/>
      <c r="AC36" s="1098"/>
      <c r="AD36" s="1098"/>
      <c r="AE36" s="1098"/>
      <c r="AF36" s="1098"/>
      <c r="AG36" s="1098"/>
      <c r="AH36" s="1098"/>
      <c r="AI36" s="1098"/>
      <c r="AJ36" s="1098"/>
      <c r="AK36" s="1098"/>
      <c r="AL36" s="1098"/>
      <c r="AM36" s="1098"/>
      <c r="AN36" s="1098"/>
      <c r="AO36" s="1098"/>
      <c r="AP36" s="1098"/>
      <c r="AQ36" s="1098"/>
      <c r="AR36" s="1098"/>
      <c r="AS36" s="1098"/>
      <c r="AT36" s="1098"/>
      <c r="AU36" s="1098"/>
      <c r="AV36" s="1098"/>
      <c r="AW36" s="1098"/>
      <c r="AX36" s="1098"/>
      <c r="AY36" s="1098"/>
      <c r="AZ36" s="1098"/>
      <c r="BA36" s="1098"/>
      <c r="BB36" s="1098"/>
      <c r="BC36" s="1098"/>
      <c r="BD36" s="1098"/>
      <c r="BE36" s="1098"/>
      <c r="BF36" s="1098"/>
      <c r="BG36" s="1098"/>
      <c r="BH36" s="1098"/>
      <c r="BI36" s="1098"/>
      <c r="BJ36" s="1098"/>
      <c r="BK36" s="1098"/>
      <c r="BL36" s="1098"/>
      <c r="BM36" s="1098"/>
      <c r="BN36" s="1098"/>
      <c r="BO36" s="1098"/>
      <c r="BP36" s="1098"/>
      <c r="BQ36" s="1098"/>
      <c r="BR36" s="1098"/>
      <c r="BS36" s="1098"/>
      <c r="BT36" s="1098"/>
      <c r="BU36" s="1098"/>
    </row>
    <row r="37" spans="1:73" x14ac:dyDescent="0.25">
      <c r="A37" s="1098"/>
      <c r="B37" s="1098"/>
      <c r="C37" s="1098"/>
      <c r="D37" s="1098"/>
      <c r="E37" s="1098"/>
      <c r="F37" s="1098"/>
      <c r="G37" s="1098"/>
      <c r="H37" s="1098"/>
      <c r="I37" s="1098"/>
      <c r="J37" s="1098"/>
      <c r="K37" s="1098"/>
      <c r="L37" s="1098"/>
      <c r="M37" s="1098"/>
      <c r="N37" s="1098"/>
      <c r="O37" s="1098"/>
      <c r="P37" s="1098"/>
      <c r="Q37" s="1098"/>
      <c r="R37" s="1098"/>
      <c r="S37" s="1098"/>
      <c r="T37" s="1098"/>
      <c r="U37" s="1098"/>
      <c r="V37" s="1098"/>
      <c r="W37" s="1098"/>
      <c r="X37" s="1098"/>
      <c r="Y37" s="1098"/>
      <c r="Z37" s="1098"/>
      <c r="AA37" s="1098"/>
      <c r="AB37" s="1098"/>
      <c r="AC37" s="1098"/>
      <c r="AD37" s="1098"/>
      <c r="AE37" s="1098"/>
      <c r="AF37" s="1098"/>
      <c r="AG37" s="1098"/>
      <c r="AH37" s="1098"/>
      <c r="AI37" s="1098"/>
      <c r="AJ37" s="1098"/>
      <c r="AK37" s="1098"/>
      <c r="AL37" s="1098"/>
      <c r="AM37" s="1098"/>
      <c r="AN37" s="1098"/>
      <c r="AO37" s="1098"/>
      <c r="AP37" s="1098"/>
      <c r="AQ37" s="1098"/>
      <c r="AR37" s="1098"/>
      <c r="AS37" s="1098"/>
      <c r="AT37" s="1098"/>
      <c r="AU37" s="1098"/>
      <c r="AV37" s="1098"/>
      <c r="AW37" s="1098"/>
      <c r="AX37" s="1098"/>
      <c r="AY37" s="1098"/>
      <c r="AZ37" s="1098"/>
      <c r="BA37" s="1098"/>
      <c r="BB37" s="1098"/>
      <c r="BC37" s="1098"/>
      <c r="BD37" s="1098"/>
      <c r="BE37" s="1098"/>
      <c r="BF37" s="1098"/>
      <c r="BG37" s="1098"/>
      <c r="BH37" s="1098"/>
      <c r="BI37" s="1098"/>
      <c r="BJ37" s="1098"/>
      <c r="BK37" s="1098"/>
      <c r="BL37" s="1098"/>
      <c r="BM37" s="1098"/>
      <c r="BN37" s="1098"/>
      <c r="BO37" s="1098"/>
      <c r="BP37" s="1098"/>
      <c r="BQ37" s="1098"/>
      <c r="BR37" s="1098"/>
      <c r="BS37" s="1098"/>
      <c r="BT37" s="1098"/>
      <c r="BU37" s="1098"/>
    </row>
    <row r="38" spans="1:73" x14ac:dyDescent="0.25">
      <c r="A38" s="1098"/>
      <c r="B38" s="1098"/>
      <c r="C38" s="1098"/>
      <c r="D38" s="1098"/>
      <c r="E38" s="1098"/>
      <c r="F38" s="1098"/>
      <c r="G38" s="1098"/>
      <c r="H38" s="1098"/>
      <c r="I38" s="1098"/>
      <c r="J38" s="1098"/>
      <c r="K38" s="1098"/>
      <c r="L38" s="1098"/>
      <c r="M38" s="1098"/>
      <c r="N38" s="1098"/>
      <c r="O38" s="1098"/>
      <c r="P38" s="1098"/>
      <c r="Q38" s="1098"/>
      <c r="R38" s="1098"/>
      <c r="S38" s="1098"/>
      <c r="T38" s="1098"/>
      <c r="U38" s="1098"/>
      <c r="V38" s="1098"/>
      <c r="W38" s="1098"/>
      <c r="X38" s="1098"/>
      <c r="Y38" s="1098"/>
      <c r="Z38" s="1098"/>
      <c r="AA38" s="1098"/>
      <c r="AB38" s="1098"/>
      <c r="AC38" s="1098"/>
      <c r="AD38" s="1098"/>
      <c r="AE38" s="1098"/>
      <c r="AF38" s="1098"/>
      <c r="AG38" s="1098"/>
      <c r="AH38" s="1098"/>
      <c r="AI38" s="1098"/>
      <c r="AJ38" s="1098"/>
      <c r="AK38" s="1098"/>
      <c r="AL38" s="1098"/>
      <c r="AM38" s="1098"/>
      <c r="AN38" s="1098"/>
      <c r="AO38" s="1098"/>
      <c r="AP38" s="1098"/>
      <c r="AQ38" s="1098"/>
      <c r="AR38" s="1098"/>
      <c r="AS38" s="1098"/>
      <c r="AT38" s="1098"/>
      <c r="AU38" s="1098"/>
      <c r="AV38" s="1098"/>
      <c r="AW38" s="1098"/>
      <c r="AX38" s="1098"/>
      <c r="AY38" s="1098"/>
      <c r="AZ38" s="1098"/>
      <c r="BA38" s="1098"/>
      <c r="BB38" s="1098"/>
      <c r="BC38" s="1098"/>
      <c r="BD38" s="1098"/>
      <c r="BE38" s="1098"/>
      <c r="BF38" s="1098"/>
      <c r="BG38" s="1098"/>
      <c r="BH38" s="1098"/>
      <c r="BI38" s="1098"/>
      <c r="BJ38" s="1098"/>
      <c r="BK38" s="1098"/>
      <c r="BL38" s="1098"/>
      <c r="BM38" s="1098"/>
      <c r="BN38" s="1098"/>
      <c r="BO38" s="1098"/>
      <c r="BP38" s="1098"/>
      <c r="BQ38" s="1098"/>
      <c r="BR38" s="1098"/>
      <c r="BS38" s="1098"/>
      <c r="BT38" s="1098"/>
      <c r="BU38" s="1098"/>
    </row>
    <row r="39" spans="1:73" x14ac:dyDescent="0.25">
      <c r="A39" s="1098"/>
      <c r="B39" s="1098"/>
      <c r="C39" s="1098"/>
      <c r="D39" s="1098"/>
      <c r="E39" s="1098"/>
      <c r="F39" s="1098"/>
      <c r="G39" s="1098"/>
      <c r="H39" s="1098"/>
      <c r="I39" s="1098"/>
      <c r="J39" s="1098"/>
      <c r="K39" s="1098"/>
      <c r="L39" s="1098"/>
      <c r="M39" s="1098"/>
      <c r="N39" s="1098"/>
      <c r="O39" s="1098"/>
      <c r="P39" s="1098"/>
      <c r="Q39" s="1098"/>
      <c r="R39" s="1098"/>
      <c r="S39" s="1098"/>
      <c r="T39" s="1098"/>
      <c r="U39" s="1098"/>
      <c r="V39" s="1098"/>
      <c r="W39" s="1098"/>
      <c r="X39" s="1098"/>
      <c r="Y39" s="1098"/>
      <c r="Z39" s="1098"/>
      <c r="AA39" s="1098"/>
      <c r="AB39" s="1098"/>
      <c r="AC39" s="1098"/>
      <c r="AD39" s="1098"/>
      <c r="AE39" s="1098"/>
      <c r="AF39" s="1098"/>
      <c r="AG39" s="1098"/>
      <c r="AH39" s="1098"/>
      <c r="AI39" s="1098"/>
      <c r="AJ39" s="1098"/>
      <c r="AK39" s="1098"/>
      <c r="AL39" s="1098"/>
      <c r="AM39" s="1098"/>
      <c r="AN39" s="1098"/>
      <c r="AO39" s="1098"/>
      <c r="AP39" s="1098"/>
      <c r="AQ39" s="1098"/>
      <c r="AR39" s="1098"/>
      <c r="AS39" s="1098"/>
      <c r="AT39" s="1098"/>
      <c r="AU39" s="1098"/>
      <c r="AV39" s="1098"/>
      <c r="AW39" s="1098"/>
      <c r="AX39" s="1098"/>
      <c r="AY39" s="1098"/>
      <c r="AZ39" s="1098"/>
      <c r="BA39" s="1098"/>
      <c r="BB39" s="1098"/>
      <c r="BC39" s="1098"/>
      <c r="BD39" s="1098"/>
      <c r="BE39" s="1098"/>
      <c r="BF39" s="1098"/>
      <c r="BG39" s="1098"/>
      <c r="BH39" s="1098"/>
      <c r="BI39" s="1098"/>
      <c r="BJ39" s="1098"/>
      <c r="BK39" s="1098"/>
      <c r="BL39" s="1098"/>
      <c r="BM39" s="1098"/>
      <c r="BN39" s="1098"/>
      <c r="BO39" s="1098"/>
      <c r="BP39" s="1098"/>
      <c r="BQ39" s="1098"/>
      <c r="BR39" s="1098"/>
      <c r="BS39" s="1098"/>
      <c r="BT39" s="1098"/>
      <c r="BU39" s="1098"/>
    </row>
    <row r="40" spans="1:73" x14ac:dyDescent="0.25">
      <c r="A40" s="1098"/>
      <c r="B40" s="1098"/>
      <c r="C40" s="1098"/>
      <c r="D40" s="1098"/>
      <c r="E40" s="1098"/>
      <c r="F40" s="1098"/>
      <c r="G40" s="1098"/>
      <c r="H40" s="1098"/>
      <c r="I40" s="1098"/>
      <c r="J40" s="1098"/>
      <c r="K40" s="1098"/>
      <c r="L40" s="1098"/>
      <c r="M40" s="1098"/>
      <c r="N40" s="1098"/>
      <c r="O40" s="1098"/>
      <c r="P40" s="1098"/>
      <c r="Q40" s="1098"/>
      <c r="R40" s="1098"/>
      <c r="S40" s="1098"/>
      <c r="T40" s="1098"/>
      <c r="U40" s="1098"/>
      <c r="V40" s="1098"/>
      <c r="W40" s="1098"/>
      <c r="X40" s="1098"/>
      <c r="Y40" s="1098"/>
      <c r="Z40" s="1098"/>
      <c r="AA40" s="1098"/>
      <c r="AB40" s="1098"/>
      <c r="AC40" s="1098"/>
      <c r="AD40" s="1098"/>
      <c r="AE40" s="1098"/>
      <c r="AF40" s="1098"/>
      <c r="AG40" s="1098"/>
      <c r="AH40" s="1098"/>
      <c r="AI40" s="1098"/>
      <c r="AJ40" s="1098"/>
      <c r="AK40" s="1098"/>
      <c r="AL40" s="1098"/>
      <c r="AM40" s="1098"/>
      <c r="AN40" s="1098"/>
      <c r="AO40" s="1098"/>
      <c r="AP40" s="1098"/>
      <c r="AQ40" s="1098"/>
      <c r="AR40" s="1098"/>
      <c r="AS40" s="1098"/>
      <c r="AT40" s="1098"/>
      <c r="AU40" s="1098"/>
      <c r="AV40" s="1098"/>
      <c r="AW40" s="1098"/>
      <c r="AX40" s="1098"/>
      <c r="AY40" s="1098"/>
      <c r="AZ40" s="1098"/>
      <c r="BA40" s="1098"/>
      <c r="BB40" s="1098"/>
      <c r="BC40" s="1098"/>
      <c r="BD40" s="1098"/>
      <c r="BE40" s="1098"/>
      <c r="BF40" s="1098"/>
      <c r="BG40" s="1098"/>
      <c r="BH40" s="1098"/>
      <c r="BI40" s="1098"/>
      <c r="BJ40" s="1098"/>
      <c r="BK40" s="1098"/>
      <c r="BL40" s="1098"/>
      <c r="BM40" s="1098"/>
      <c r="BN40" s="1098"/>
      <c r="BO40" s="1098"/>
      <c r="BP40" s="1098"/>
      <c r="BQ40" s="1098"/>
      <c r="BR40" s="1098"/>
      <c r="BS40" s="1098"/>
      <c r="BT40" s="1098"/>
      <c r="BU40" s="1098"/>
    </row>
    <row r="41" spans="1:73" x14ac:dyDescent="0.25">
      <c r="A41" s="1098"/>
      <c r="B41" s="1098"/>
      <c r="C41" s="1098"/>
      <c r="D41" s="1098"/>
      <c r="E41" s="1098"/>
      <c r="F41" s="1098"/>
      <c r="G41" s="1098"/>
      <c r="H41" s="1098"/>
      <c r="I41" s="1098"/>
      <c r="J41" s="1098"/>
      <c r="K41" s="1098"/>
      <c r="L41" s="1098"/>
      <c r="M41" s="1098"/>
      <c r="N41" s="1098"/>
      <c r="O41" s="1098"/>
      <c r="P41" s="1098"/>
      <c r="Q41" s="1098"/>
      <c r="R41" s="1098"/>
      <c r="S41" s="1098"/>
      <c r="T41" s="1098"/>
      <c r="U41" s="1098"/>
      <c r="V41" s="1098"/>
      <c r="W41" s="1098"/>
      <c r="X41" s="1098"/>
      <c r="Y41" s="1098"/>
      <c r="Z41" s="1098"/>
      <c r="AA41" s="1098"/>
      <c r="AB41" s="1098"/>
      <c r="AC41" s="1098"/>
      <c r="AD41" s="1098"/>
      <c r="AE41" s="1098"/>
      <c r="AF41" s="1098"/>
      <c r="AG41" s="1098"/>
      <c r="AH41" s="1098"/>
      <c r="AI41" s="1098"/>
      <c r="AJ41" s="1098"/>
      <c r="AK41" s="1098"/>
      <c r="AL41" s="1098"/>
      <c r="AM41" s="1098"/>
      <c r="AN41" s="1098"/>
      <c r="AO41" s="1098"/>
      <c r="AP41" s="1098"/>
      <c r="AQ41" s="1098"/>
      <c r="AR41" s="1098"/>
      <c r="AS41" s="1098"/>
      <c r="AT41" s="1098"/>
      <c r="AU41" s="1098"/>
      <c r="AV41" s="1098"/>
      <c r="AW41" s="1098"/>
      <c r="AX41" s="1098"/>
      <c r="AY41" s="1098"/>
      <c r="AZ41" s="1098"/>
      <c r="BA41" s="1098"/>
      <c r="BB41" s="1098"/>
      <c r="BC41" s="1098"/>
      <c r="BD41" s="1098"/>
      <c r="BE41" s="1098"/>
      <c r="BF41" s="1098"/>
      <c r="BG41" s="1098"/>
      <c r="BH41" s="1098"/>
      <c r="BI41" s="1098"/>
      <c r="BJ41" s="1098"/>
      <c r="BK41" s="1098"/>
      <c r="BL41" s="1098"/>
      <c r="BM41" s="1098"/>
      <c r="BN41" s="1098"/>
      <c r="BO41" s="1098"/>
      <c r="BP41" s="1098"/>
      <c r="BQ41" s="1098"/>
      <c r="BR41" s="1098"/>
      <c r="BS41" s="1098"/>
      <c r="BT41" s="1098"/>
      <c r="BU41" s="1098"/>
    </row>
    <row r="42" spans="1:73" x14ac:dyDescent="0.25">
      <c r="A42" s="1098"/>
      <c r="B42" s="1098"/>
      <c r="C42" s="1098"/>
      <c r="D42" s="1098"/>
      <c r="E42" s="1098"/>
      <c r="F42" s="1098"/>
      <c r="G42" s="1098"/>
      <c r="H42" s="1098"/>
      <c r="I42" s="1098"/>
      <c r="J42" s="1098"/>
      <c r="K42" s="1098"/>
      <c r="L42" s="1098"/>
      <c r="M42" s="1098"/>
      <c r="N42" s="1098"/>
      <c r="O42" s="1098"/>
      <c r="P42" s="1098"/>
      <c r="Q42" s="1098"/>
      <c r="R42" s="1098"/>
      <c r="S42" s="1098"/>
      <c r="T42" s="1098"/>
      <c r="U42" s="1098"/>
      <c r="V42" s="1098"/>
      <c r="W42" s="1098"/>
      <c r="X42" s="1098"/>
      <c r="Y42" s="1098"/>
      <c r="Z42" s="1098"/>
      <c r="AA42" s="1098"/>
      <c r="AB42" s="1098"/>
      <c r="AC42" s="1098"/>
      <c r="AD42" s="1098"/>
      <c r="AE42" s="1098"/>
      <c r="AF42" s="1098"/>
      <c r="AG42" s="1098"/>
      <c r="AH42" s="1098"/>
      <c r="AI42" s="1098"/>
      <c r="AJ42" s="1098"/>
      <c r="AK42" s="1098"/>
      <c r="AL42" s="1098"/>
      <c r="AM42" s="1098"/>
      <c r="AN42" s="1098"/>
      <c r="AO42" s="1098"/>
      <c r="AP42" s="1098"/>
      <c r="AQ42" s="1098"/>
      <c r="AR42" s="1098"/>
      <c r="AS42" s="1098"/>
      <c r="AT42" s="1098"/>
      <c r="AU42" s="1098"/>
      <c r="AV42" s="1098"/>
      <c r="AW42" s="1098"/>
      <c r="AX42" s="1098"/>
      <c r="AY42" s="1098"/>
      <c r="AZ42" s="1098"/>
      <c r="BA42" s="1098"/>
      <c r="BB42" s="1098"/>
      <c r="BC42" s="1098"/>
      <c r="BD42" s="1098"/>
      <c r="BE42" s="1098"/>
      <c r="BF42" s="1098"/>
      <c r="BG42" s="1098"/>
      <c r="BH42" s="1098"/>
      <c r="BI42" s="1098"/>
      <c r="BJ42" s="1098"/>
      <c r="BK42" s="1098"/>
      <c r="BL42" s="1098"/>
      <c r="BM42" s="1098"/>
      <c r="BN42" s="1098"/>
      <c r="BO42" s="1098"/>
      <c r="BP42" s="1098"/>
      <c r="BQ42" s="1098"/>
      <c r="BR42" s="1098"/>
      <c r="BS42" s="1098"/>
      <c r="BT42" s="1098"/>
      <c r="BU42" s="1098"/>
    </row>
    <row r="43" spans="1:73" x14ac:dyDescent="0.25">
      <c r="A43" s="1098"/>
      <c r="B43" s="1098"/>
      <c r="C43" s="1098"/>
      <c r="D43" s="1098"/>
      <c r="E43" s="1098"/>
      <c r="F43" s="1098"/>
      <c r="G43" s="1098"/>
      <c r="H43" s="1098"/>
      <c r="I43" s="1098"/>
      <c r="J43" s="1098"/>
      <c r="K43" s="1098"/>
      <c r="L43" s="1098"/>
      <c r="M43" s="1098"/>
      <c r="N43" s="1098"/>
      <c r="O43" s="1098"/>
      <c r="P43" s="1098"/>
      <c r="Q43" s="1098"/>
      <c r="R43" s="1098"/>
      <c r="S43" s="1098"/>
      <c r="T43" s="1098"/>
      <c r="U43" s="1098"/>
      <c r="V43" s="1098"/>
      <c r="W43" s="1098"/>
      <c r="X43" s="1098"/>
      <c r="Y43" s="1098"/>
      <c r="Z43" s="1098"/>
      <c r="AA43" s="1098"/>
      <c r="AB43" s="1098"/>
      <c r="AC43" s="1098"/>
      <c r="AD43" s="1098"/>
      <c r="AE43" s="1098"/>
      <c r="AF43" s="1098"/>
      <c r="AG43" s="1098"/>
      <c r="AH43" s="1098"/>
      <c r="AI43" s="1098"/>
      <c r="AJ43" s="1098"/>
      <c r="AK43" s="1098"/>
      <c r="AL43" s="1098"/>
      <c r="AM43" s="1098"/>
      <c r="AN43" s="1098"/>
      <c r="AO43" s="1098"/>
      <c r="AP43" s="1098"/>
      <c r="AQ43" s="1098"/>
      <c r="AR43" s="1098"/>
      <c r="AS43" s="1098"/>
      <c r="AT43" s="1098"/>
      <c r="AU43" s="1098"/>
      <c r="AV43" s="1098"/>
      <c r="AW43" s="1098"/>
      <c r="AX43" s="1098"/>
      <c r="AY43" s="1098"/>
      <c r="AZ43" s="1098"/>
      <c r="BA43" s="1098"/>
      <c r="BB43" s="1098"/>
      <c r="BC43" s="1098"/>
      <c r="BD43" s="1098"/>
      <c r="BE43" s="1098"/>
      <c r="BF43" s="1098"/>
      <c r="BG43" s="1098"/>
      <c r="BH43" s="1098"/>
      <c r="BI43" s="1098"/>
      <c r="BJ43" s="1098"/>
      <c r="BK43" s="1098"/>
      <c r="BL43" s="1098"/>
      <c r="BM43" s="1098"/>
      <c r="BN43" s="1098"/>
      <c r="BO43" s="1098"/>
      <c r="BP43" s="1098"/>
      <c r="BQ43" s="1098"/>
      <c r="BR43" s="1098"/>
      <c r="BS43" s="1098"/>
      <c r="BT43" s="1098"/>
      <c r="BU43" s="1098"/>
    </row>
    <row r="44" spans="1:73" x14ac:dyDescent="0.25">
      <c r="A44" s="1098"/>
      <c r="B44" s="1098"/>
      <c r="C44" s="1098"/>
      <c r="D44" s="1098"/>
      <c r="E44" s="1098"/>
      <c r="F44" s="1098"/>
      <c r="G44" s="1098"/>
      <c r="H44" s="1098"/>
      <c r="I44" s="1098"/>
      <c r="J44" s="1098"/>
      <c r="K44" s="1098"/>
      <c r="L44" s="1098"/>
      <c r="M44" s="1098"/>
      <c r="N44" s="1098"/>
      <c r="O44" s="1098"/>
      <c r="P44" s="1098"/>
      <c r="Q44" s="1098"/>
      <c r="R44" s="1098"/>
      <c r="S44" s="1098"/>
      <c r="T44" s="1098"/>
      <c r="U44" s="1098"/>
      <c r="V44" s="1098"/>
      <c r="W44" s="1098"/>
      <c r="X44" s="1098"/>
      <c r="Y44" s="1098"/>
      <c r="Z44" s="1098"/>
      <c r="AA44" s="1098"/>
      <c r="AB44" s="1098"/>
      <c r="AC44" s="1098"/>
      <c r="AD44" s="1098"/>
      <c r="AE44" s="1098"/>
      <c r="AF44" s="1098"/>
      <c r="AG44" s="1098"/>
      <c r="AH44" s="1098"/>
      <c r="AI44" s="1098"/>
      <c r="AJ44" s="1098"/>
      <c r="AK44" s="1098"/>
      <c r="AL44" s="1098"/>
      <c r="AM44" s="1098"/>
      <c r="AN44" s="1098"/>
      <c r="AO44" s="1098"/>
      <c r="AP44" s="1098"/>
      <c r="AQ44" s="1098"/>
      <c r="AR44" s="1098"/>
      <c r="AS44" s="1098"/>
      <c r="AT44" s="1098"/>
      <c r="AU44" s="1098"/>
      <c r="AV44" s="1098"/>
      <c r="AW44" s="1098"/>
      <c r="AX44" s="1098"/>
      <c r="AY44" s="1098"/>
      <c r="AZ44" s="1098"/>
      <c r="BA44" s="1098"/>
      <c r="BB44" s="1098"/>
      <c r="BC44" s="1098"/>
      <c r="BD44" s="1098"/>
      <c r="BE44" s="1098"/>
      <c r="BF44" s="1098"/>
      <c r="BG44" s="1098"/>
      <c r="BH44" s="1098"/>
      <c r="BI44" s="1098"/>
      <c r="BJ44" s="1098"/>
      <c r="BK44" s="1098"/>
      <c r="BL44" s="1098"/>
      <c r="BM44" s="1098"/>
      <c r="BN44" s="1098"/>
      <c r="BO44" s="1098"/>
      <c r="BP44" s="1098"/>
      <c r="BQ44" s="1098"/>
      <c r="BR44" s="1098"/>
      <c r="BS44" s="1098"/>
      <c r="BT44" s="1098"/>
      <c r="BU44" s="1098"/>
    </row>
    <row r="45" spans="1:73" ht="13.5" thickBot="1" x14ac:dyDescent="0.35">
      <c r="A45" s="1098"/>
      <c r="B45" s="1196" t="s">
        <v>1322</v>
      </c>
      <c r="C45" s="1196"/>
      <c r="D45" s="1196"/>
      <c r="E45" s="1196"/>
      <c r="F45" s="1196"/>
      <c r="G45" s="1196"/>
      <c r="H45" s="1196"/>
      <c r="I45" s="1196"/>
      <c r="J45" s="1196"/>
      <c r="K45" s="1196"/>
      <c r="L45" s="1196"/>
      <c r="M45" s="1196"/>
      <c r="N45" s="1196"/>
      <c r="O45" s="1196"/>
      <c r="P45" s="1196"/>
      <c r="Q45" s="1196"/>
      <c r="R45" s="1196"/>
      <c r="S45" s="1196"/>
      <c r="T45" s="1196"/>
      <c r="U45" s="1196"/>
      <c r="V45" s="1196"/>
      <c r="W45" s="1196"/>
      <c r="X45" s="1196"/>
      <c r="Y45" s="1098"/>
      <c r="Z45" s="1098"/>
      <c r="AA45" s="1098"/>
      <c r="AB45" s="1098"/>
      <c r="AC45" s="1098"/>
      <c r="AD45" s="1098"/>
      <c r="AE45" s="1098"/>
      <c r="AF45" s="1098"/>
      <c r="AG45" s="1098"/>
      <c r="AH45" s="1098"/>
      <c r="AI45" s="1098"/>
      <c r="AJ45" s="1098"/>
      <c r="AK45" s="1098"/>
      <c r="AL45" s="1098"/>
      <c r="AM45" s="1098"/>
      <c r="AN45" s="1098"/>
      <c r="AO45" s="1098"/>
      <c r="AP45" s="1098"/>
      <c r="AQ45" s="1098"/>
      <c r="AR45" s="1098"/>
      <c r="AS45" s="1098"/>
      <c r="AT45" s="1098"/>
      <c r="AU45" s="1098"/>
      <c r="AV45" s="1098"/>
      <c r="AW45" s="1098"/>
      <c r="AX45" s="1098"/>
      <c r="AY45" s="1098"/>
      <c r="AZ45" s="1098"/>
      <c r="BA45" s="1098"/>
      <c r="BB45" s="1098"/>
      <c r="BC45" s="1098"/>
      <c r="BD45" s="1098"/>
      <c r="BE45" s="1098"/>
      <c r="BF45" s="1098"/>
      <c r="BG45" s="1098"/>
      <c r="BH45" s="1098"/>
      <c r="BI45" s="1098"/>
      <c r="BJ45" s="1098"/>
      <c r="BK45" s="1098"/>
      <c r="BL45" s="1098"/>
      <c r="BM45" s="1098"/>
      <c r="BN45" s="1098"/>
      <c r="BO45" s="1098"/>
      <c r="BP45" s="1098"/>
      <c r="BQ45" s="1098"/>
      <c r="BR45" s="1098"/>
      <c r="BS45" s="1098"/>
      <c r="BT45" s="1098"/>
      <c r="BU45" s="1098"/>
    </row>
    <row r="46" spans="1:73" ht="13" thickTop="1" x14ac:dyDescent="0.25">
      <c r="A46" s="1098"/>
      <c r="B46" s="1098"/>
      <c r="C46" s="1098"/>
      <c r="D46" s="1098"/>
      <c r="E46" s="1098"/>
      <c r="F46" s="1098"/>
      <c r="G46" s="1098"/>
      <c r="H46" s="1098"/>
      <c r="I46" s="1098"/>
      <c r="J46" s="1098"/>
      <c r="K46" s="1098"/>
      <c r="L46" s="1098"/>
      <c r="M46" s="1098"/>
      <c r="N46" s="1098"/>
      <c r="O46" s="1098"/>
      <c r="P46" s="1098"/>
      <c r="Q46" s="1098"/>
      <c r="R46" s="1098"/>
      <c r="S46" s="1098"/>
      <c r="T46" s="1098"/>
      <c r="U46" s="1098"/>
      <c r="V46" s="1098"/>
      <c r="W46" s="1098"/>
      <c r="X46" s="1098"/>
      <c r="Y46" s="1098"/>
      <c r="Z46" s="1098"/>
      <c r="AA46" s="1098"/>
      <c r="AB46" s="1098"/>
      <c r="AC46" s="1098"/>
      <c r="AD46" s="1098"/>
      <c r="AE46" s="1098"/>
      <c r="AF46" s="1098"/>
      <c r="AG46" s="1098"/>
      <c r="AH46" s="1098"/>
      <c r="AI46" s="1098"/>
      <c r="AJ46" s="1098"/>
      <c r="AK46" s="1098"/>
      <c r="AL46" s="1098"/>
      <c r="AM46" s="1098"/>
      <c r="AN46" s="1098"/>
      <c r="AO46" s="1098"/>
      <c r="AP46" s="1098"/>
      <c r="AQ46" s="1098"/>
      <c r="AR46" s="1098"/>
      <c r="AS46" s="1098"/>
      <c r="AT46" s="1098"/>
      <c r="AU46" s="1098"/>
      <c r="AV46" s="1098"/>
      <c r="AW46" s="1098"/>
      <c r="AX46" s="1098"/>
      <c r="AY46" s="1098"/>
      <c r="AZ46" s="1098"/>
      <c r="BA46" s="1098"/>
      <c r="BB46" s="1098"/>
      <c r="BC46" s="1098"/>
      <c r="BD46" s="1098"/>
      <c r="BE46" s="1098"/>
      <c r="BF46" s="1098"/>
      <c r="BG46" s="1098"/>
      <c r="BH46" s="1098"/>
      <c r="BI46" s="1098"/>
      <c r="BJ46" s="1098"/>
      <c r="BK46" s="1098"/>
      <c r="BL46" s="1098"/>
      <c r="BM46" s="1098"/>
      <c r="BN46" s="1098"/>
      <c r="BO46" s="1098"/>
      <c r="BP46" s="1098"/>
      <c r="BQ46" s="1098"/>
      <c r="BR46" s="1098"/>
      <c r="BS46" s="1098"/>
      <c r="BT46" s="1098"/>
      <c r="BU46" s="1098"/>
    </row>
    <row r="47" spans="1:73" x14ac:dyDescent="0.25">
      <c r="A47" s="1098"/>
      <c r="B47" s="1113" t="s">
        <v>1153</v>
      </c>
      <c r="C47" s="1098"/>
      <c r="D47" s="1098"/>
      <c r="E47" s="1098"/>
      <c r="F47" s="1098"/>
      <c r="G47" s="1098"/>
      <c r="H47" s="1098"/>
      <c r="I47" s="1098"/>
      <c r="J47" s="1098"/>
      <c r="K47" s="1098"/>
      <c r="L47" s="1098"/>
      <c r="M47" s="1098"/>
      <c r="N47" s="1098"/>
      <c r="O47" s="1098"/>
      <c r="P47" s="1098"/>
      <c r="Q47" s="1098"/>
      <c r="R47" s="1098"/>
      <c r="S47" s="1098"/>
      <c r="T47" s="1098"/>
      <c r="U47" s="1098"/>
      <c r="V47" s="1098"/>
      <c r="W47" s="1098"/>
      <c r="X47" s="1098"/>
      <c r="Y47" s="1098"/>
      <c r="Z47" s="1098"/>
      <c r="AA47" s="1098"/>
      <c r="AB47" s="1098"/>
      <c r="AC47" s="1098"/>
      <c r="AD47" s="1098"/>
      <c r="AE47" s="1098"/>
      <c r="AF47" s="1098"/>
      <c r="AG47" s="1098"/>
      <c r="AH47" s="1098"/>
      <c r="AI47" s="1098"/>
      <c r="AJ47" s="1098"/>
      <c r="AK47" s="1098"/>
      <c r="AL47" s="1098"/>
      <c r="AM47" s="1098"/>
      <c r="AN47" s="1098"/>
      <c r="AO47" s="1098"/>
      <c r="AP47" s="1098"/>
      <c r="AQ47" s="1098"/>
      <c r="AR47" s="1098"/>
      <c r="AS47" s="1098"/>
      <c r="AT47" s="1098"/>
      <c r="AU47" s="1098"/>
      <c r="AV47" s="1098"/>
      <c r="AW47" s="1098"/>
      <c r="AX47" s="1098"/>
      <c r="AY47" s="1098"/>
      <c r="AZ47" s="1098"/>
      <c r="BA47" s="1098"/>
      <c r="BB47" s="1098"/>
      <c r="BC47" s="1098"/>
      <c r="BD47" s="1098"/>
      <c r="BE47" s="1098"/>
      <c r="BF47" s="1098"/>
      <c r="BG47" s="1098"/>
      <c r="BH47" s="1098"/>
      <c r="BI47" s="1098"/>
      <c r="BJ47" s="1098"/>
      <c r="BK47" s="1098"/>
      <c r="BL47" s="1098"/>
      <c r="BM47" s="1098"/>
      <c r="BN47" s="1098"/>
      <c r="BO47" s="1098"/>
      <c r="BP47" s="1098"/>
      <c r="BQ47" s="1098"/>
      <c r="BR47" s="1098"/>
      <c r="BS47" s="1098"/>
      <c r="BT47" s="1098"/>
      <c r="BU47" s="1098"/>
    </row>
    <row r="48" spans="1:73" x14ac:dyDescent="0.25">
      <c r="A48" s="1098"/>
      <c r="B48" s="1101">
        <v>1</v>
      </c>
      <c r="C48" s="1103">
        <f t="shared" ref="C48:E48" ca="1" si="5">+OFFSET(C50,$B$48,0)</f>
        <v>1</v>
      </c>
      <c r="D48" s="1103">
        <f t="shared" ca="1" si="5"/>
        <v>1</v>
      </c>
      <c r="E48" s="1103">
        <f t="shared" ca="1" si="5"/>
        <v>1</v>
      </c>
      <c r="F48" s="1103">
        <f ca="1">+OFFSET(F50,$B$48,0)</f>
        <v>1</v>
      </c>
      <c r="G48" s="1103">
        <f ca="1">+OFFSET(G50,$B$48,0)</f>
        <v>1</v>
      </c>
      <c r="H48" s="1103">
        <f ca="1">+OFFSET(H50,$B$48,0)</f>
        <v>1</v>
      </c>
      <c r="I48" s="1103">
        <f ca="1">+OFFSET(I50,$B$48,0)</f>
        <v>1</v>
      </c>
      <c r="J48" s="1098"/>
      <c r="K48" s="1115">
        <f ca="1">+'Cash Flow Analysis'!F118</f>
        <v>1.5582197865293927</v>
      </c>
      <c r="L48" s="1115">
        <f ca="1">+'Cash Flow Analysis'!Q118</f>
        <v>0</v>
      </c>
      <c r="M48" s="1115">
        <f ca="1">+'Cash Flow Analysis'!L118</f>
        <v>1.5603382608962266E-3</v>
      </c>
      <c r="N48" s="1115">
        <f ca="1">+'Cash Flow Analysis'!H117</f>
        <v>0.1435766003247316</v>
      </c>
      <c r="O48" s="1115">
        <f ca="1">+'Cash Flow Analysis'!I117</f>
        <v>0.12137220296106475</v>
      </c>
      <c r="P48" s="1115">
        <f ca="1">+'Cash Flow Analysis'!J117</f>
        <v>1.5685799462749842E-2</v>
      </c>
      <c r="Q48" s="1115">
        <f ca="1">+'Cash Flow Analysis'!K117</f>
        <v>8.987958215351488E-4</v>
      </c>
      <c r="R48" s="1115">
        <f ca="1">+'Cash Flow Analysis'!M117</f>
        <v>1.5567912435341155E-3</v>
      </c>
      <c r="S48" s="1115">
        <f ca="1">+'Cash Flow Analysis'!N117</f>
        <v>0.11952400105681882</v>
      </c>
      <c r="T48" s="1115">
        <f ca="1">+'Cash Flow Analysis'!O117</f>
        <v>0.82524955783637077</v>
      </c>
      <c r="U48" s="1115">
        <f ca="1">+'Cash Flow Analysis'!P117</f>
        <v>0</v>
      </c>
      <c r="V48" s="1115">
        <f ca="1">+'Cash Flow Analysis'!R117</f>
        <v>0.20561571448089225</v>
      </c>
      <c r="W48" s="1115">
        <f ca="1">+'Cash Flow Analysis'!S117</f>
        <v>9.432006620325277E-2</v>
      </c>
      <c r="X48" s="1115">
        <f ca="1">+'Cash Flow Analysis'!X117</f>
        <v>2.7743522830533017E-2</v>
      </c>
      <c r="Y48" s="1115">
        <f ca="1">+'Cash Flow Analysis'!Z117</f>
        <v>4.2370725688043549E-3</v>
      </c>
      <c r="Z48" s="1098"/>
      <c r="AA48" s="1098"/>
      <c r="AB48" s="1098"/>
      <c r="AC48" s="1098"/>
      <c r="AD48" s="1098"/>
      <c r="AE48" s="1098"/>
      <c r="AF48" s="1098"/>
      <c r="AG48" s="1098"/>
      <c r="AH48" s="1098"/>
      <c r="AI48" s="1098"/>
      <c r="AJ48" s="1098"/>
      <c r="AK48" s="1098"/>
      <c r="AL48" s="1098"/>
      <c r="AM48" s="1098"/>
      <c r="AN48" s="1098"/>
      <c r="AO48" s="1098"/>
      <c r="AP48" s="1098"/>
      <c r="AQ48" s="1098"/>
      <c r="AR48" s="1098"/>
      <c r="AS48" s="1098"/>
      <c r="AT48" s="1098"/>
      <c r="AU48" s="1098"/>
      <c r="AV48" s="1098"/>
      <c r="AW48" s="1098"/>
      <c r="AX48" s="1098"/>
      <c r="AY48" s="1098"/>
      <c r="AZ48" s="1098"/>
      <c r="BA48" s="1098"/>
      <c r="BB48" s="1098"/>
      <c r="BC48" s="1098"/>
      <c r="BD48" s="1098"/>
      <c r="BE48" s="1098"/>
      <c r="BF48" s="1098"/>
      <c r="BG48" s="1098"/>
      <c r="BH48" s="1098"/>
      <c r="BI48" s="1098"/>
      <c r="BJ48" s="1098"/>
      <c r="BK48" s="1098"/>
      <c r="BL48" s="1098"/>
      <c r="BM48" s="1098"/>
      <c r="BN48" s="1098"/>
      <c r="BO48" s="1098"/>
      <c r="BP48" s="1098"/>
      <c r="BQ48" s="1098"/>
      <c r="BR48" s="1098"/>
      <c r="BS48" s="1098"/>
      <c r="BT48" s="1098"/>
      <c r="BU48" s="1098"/>
    </row>
    <row r="49" spans="1:73" ht="13" x14ac:dyDescent="0.3">
      <c r="A49" s="1098"/>
      <c r="B49" s="1100"/>
      <c r="C49" s="1100"/>
      <c r="D49" s="1100"/>
      <c r="E49" s="1100"/>
      <c r="F49" s="1100"/>
      <c r="G49" s="1100"/>
      <c r="H49" s="1100"/>
      <c r="I49" s="1100"/>
      <c r="J49" s="1100"/>
      <c r="K49" s="1100"/>
      <c r="L49" s="1100"/>
      <c r="M49" s="1100"/>
      <c r="N49" s="1098"/>
      <c r="O49" s="1098"/>
      <c r="P49" s="1098"/>
      <c r="Q49" s="1098"/>
      <c r="R49" s="1098"/>
      <c r="S49" s="1098"/>
      <c r="T49" s="1098"/>
      <c r="U49" s="1098"/>
      <c r="V49" s="1098"/>
      <c r="W49" s="1098"/>
      <c r="X49" s="1098"/>
      <c r="Y49" s="1098"/>
      <c r="Z49" s="1098"/>
      <c r="AA49" s="1098"/>
      <c r="AB49" s="1098"/>
      <c r="AC49" s="1098"/>
      <c r="AD49" s="1098"/>
      <c r="AE49" s="1098"/>
      <c r="AF49" s="1098"/>
      <c r="AG49" s="1098"/>
      <c r="AH49" s="1098"/>
      <c r="AI49" s="1098"/>
      <c r="AJ49" s="1098"/>
      <c r="AK49" s="1098"/>
      <c r="AL49" s="1098"/>
      <c r="AM49" s="1098"/>
      <c r="AN49" s="1098"/>
      <c r="AO49" s="1098"/>
      <c r="AP49" s="1098"/>
      <c r="AQ49" s="1098"/>
      <c r="AR49" s="1098"/>
      <c r="AS49" s="1098"/>
      <c r="AT49" s="1098"/>
      <c r="AU49" s="1098"/>
      <c r="AV49" s="1098"/>
      <c r="AW49" s="1098"/>
      <c r="AX49" s="1098"/>
      <c r="AY49" s="1098"/>
      <c r="AZ49" s="1098"/>
      <c r="BA49" s="1098"/>
      <c r="BB49" s="1098"/>
      <c r="BC49" s="1098"/>
      <c r="BD49" s="1098"/>
      <c r="BE49" s="1098"/>
      <c r="BF49" s="1098"/>
      <c r="BG49" s="1098"/>
      <c r="BH49" s="1098"/>
      <c r="BI49" s="1098"/>
      <c r="BJ49" s="1098"/>
      <c r="BK49" s="1098"/>
      <c r="BL49" s="1098"/>
      <c r="BM49" s="1098"/>
      <c r="BN49" s="1098"/>
      <c r="BO49" s="1098"/>
      <c r="BP49" s="1098"/>
      <c r="BQ49" s="1098"/>
      <c r="BR49" s="1098"/>
      <c r="BS49" s="1098"/>
      <c r="BT49" s="1098"/>
      <c r="BU49" s="1098"/>
    </row>
    <row r="50" spans="1:73" ht="52" x14ac:dyDescent="0.3">
      <c r="A50" s="1098"/>
      <c r="B50" s="1109" t="s">
        <v>1137</v>
      </c>
      <c r="C50" s="1109" t="s">
        <v>1323</v>
      </c>
      <c r="D50" s="1109" t="s">
        <v>1324</v>
      </c>
      <c r="E50" s="1109" t="s">
        <v>1325</v>
      </c>
      <c r="F50" s="1109" t="s">
        <v>1326</v>
      </c>
      <c r="G50" s="1109" t="s">
        <v>1327</v>
      </c>
      <c r="H50" s="1109" t="s">
        <v>1343</v>
      </c>
      <c r="I50" s="1109" t="s">
        <v>1342</v>
      </c>
      <c r="J50" s="1098"/>
      <c r="K50" s="1109" t="s">
        <v>1344</v>
      </c>
      <c r="L50" s="1109" t="s">
        <v>1328</v>
      </c>
      <c r="M50" s="1109" t="s">
        <v>1329</v>
      </c>
      <c r="N50" s="1109" t="s">
        <v>1330</v>
      </c>
      <c r="O50" s="1109" t="s">
        <v>1331</v>
      </c>
      <c r="P50" s="1109" t="s">
        <v>1332</v>
      </c>
      <c r="Q50" s="1109" t="s">
        <v>1333</v>
      </c>
      <c r="R50" s="1109" t="s">
        <v>1334</v>
      </c>
      <c r="S50" s="1109" t="s">
        <v>1335</v>
      </c>
      <c r="T50" s="1109" t="s">
        <v>1336</v>
      </c>
      <c r="U50" s="1109" t="s">
        <v>1337</v>
      </c>
      <c r="V50" s="1109" t="s">
        <v>1338</v>
      </c>
      <c r="W50" s="1109" t="s">
        <v>1339</v>
      </c>
      <c r="X50" s="1109" t="s">
        <v>1340</v>
      </c>
      <c r="Y50" s="1109" t="s">
        <v>1341</v>
      </c>
      <c r="Z50" s="1098"/>
      <c r="AA50" s="1098"/>
      <c r="AB50" s="1098"/>
      <c r="AC50" s="1098"/>
      <c r="AD50" s="1098"/>
      <c r="AE50" s="1098"/>
      <c r="AF50" s="1098"/>
      <c r="AG50" s="1098"/>
      <c r="AH50" s="1098"/>
      <c r="AI50" s="1098"/>
      <c r="AJ50" s="1098"/>
      <c r="AK50" s="1098"/>
      <c r="AL50" s="1098"/>
      <c r="AM50" s="1098"/>
      <c r="AN50" s="1098"/>
      <c r="AO50" s="1098"/>
      <c r="AP50" s="1098"/>
      <c r="AQ50" s="1098"/>
      <c r="AR50" s="1098"/>
      <c r="AS50" s="1098"/>
      <c r="AT50" s="1098"/>
      <c r="AU50" s="1098"/>
      <c r="AV50" s="1098"/>
      <c r="AW50" s="1098"/>
      <c r="AX50" s="1098"/>
      <c r="AY50" s="1098"/>
      <c r="AZ50" s="1098"/>
      <c r="BA50" s="1098"/>
      <c r="BB50" s="1098"/>
      <c r="BC50" s="1098"/>
      <c r="BD50" s="1098"/>
      <c r="BE50" s="1098"/>
      <c r="BF50" s="1098"/>
      <c r="BG50" s="1098"/>
      <c r="BH50" s="1098"/>
      <c r="BI50" s="1098"/>
      <c r="BJ50" s="1098"/>
      <c r="BK50" s="1098"/>
      <c r="BL50" s="1098"/>
      <c r="BM50" s="1098"/>
      <c r="BN50" s="1098"/>
      <c r="BO50" s="1098"/>
      <c r="BP50" s="1098"/>
      <c r="BQ50" s="1098"/>
      <c r="BR50" s="1098"/>
      <c r="BS50" s="1098"/>
      <c r="BT50" s="1098"/>
      <c r="BU50" s="1098"/>
    </row>
    <row r="51" spans="1:73" x14ac:dyDescent="0.25">
      <c r="A51" s="1098"/>
      <c r="B51" s="1110">
        <v>1</v>
      </c>
      <c r="C51" s="1103">
        <v>1</v>
      </c>
      <c r="D51" s="1103">
        <v>1</v>
      </c>
      <c r="E51" s="1103">
        <v>1</v>
      </c>
      <c r="F51" s="1103">
        <v>1</v>
      </c>
      <c r="G51" s="1103">
        <v>1</v>
      </c>
      <c r="H51" s="1103">
        <v>1</v>
      </c>
      <c r="I51" s="1103">
        <v>1</v>
      </c>
      <c r="J51" s="1098"/>
      <c r="K51" s="1116">
        <v>1.5582197865293927</v>
      </c>
      <c r="L51" s="1117">
        <v>0</v>
      </c>
      <c r="M51" s="1117">
        <v>1.5603382608962266E-3</v>
      </c>
      <c r="N51" s="1117">
        <v>0.1435766003247316</v>
      </c>
      <c r="O51" s="1117">
        <v>0.12137220296106475</v>
      </c>
      <c r="P51" s="1117">
        <v>1.5685799462749842E-2</v>
      </c>
      <c r="Q51" s="1117">
        <v>8.987958215351488E-4</v>
      </c>
      <c r="R51" s="1117">
        <v>1.5567912435341155E-3</v>
      </c>
      <c r="S51" s="1117">
        <v>0.11952400105681882</v>
      </c>
      <c r="T51" s="1117">
        <v>0.82524955783637077</v>
      </c>
      <c r="U51" s="1117">
        <v>0</v>
      </c>
      <c r="V51" s="1117">
        <v>0.20561571448089225</v>
      </c>
      <c r="W51" s="1117">
        <v>9.432006620325277E-2</v>
      </c>
      <c r="X51" s="1117">
        <v>2.7743522830533017E-2</v>
      </c>
      <c r="Y51" s="1117">
        <v>4.2370725688043549E-3</v>
      </c>
      <c r="Z51" s="1232"/>
      <c r="AA51" s="1098"/>
      <c r="AB51" s="1098"/>
      <c r="AC51" s="1098"/>
      <c r="AD51" s="1098"/>
      <c r="AE51" s="1098"/>
      <c r="AF51" s="1098"/>
      <c r="AG51" s="1098"/>
      <c r="AH51" s="1098"/>
      <c r="AI51" s="1098"/>
      <c r="AJ51" s="1098"/>
      <c r="AK51" s="1098"/>
      <c r="AL51" s="1098"/>
      <c r="AM51" s="1098"/>
      <c r="AN51" s="1098"/>
      <c r="AO51" s="1098"/>
      <c r="AP51" s="1098"/>
      <c r="AQ51" s="1098"/>
      <c r="AR51" s="1098"/>
      <c r="AS51" s="1098"/>
      <c r="AT51" s="1098"/>
      <c r="AU51" s="1098"/>
      <c r="AV51" s="1098"/>
      <c r="AW51" s="1098"/>
      <c r="AX51" s="1098"/>
      <c r="AY51" s="1098"/>
      <c r="AZ51" s="1098"/>
      <c r="BA51" s="1098"/>
      <c r="BB51" s="1098"/>
      <c r="BC51" s="1098"/>
      <c r="BD51" s="1098"/>
      <c r="BE51" s="1098"/>
      <c r="BF51" s="1098"/>
      <c r="BG51" s="1098"/>
      <c r="BH51" s="1098"/>
      <c r="BI51" s="1098"/>
      <c r="BJ51" s="1098"/>
      <c r="BK51" s="1098"/>
      <c r="BL51" s="1098"/>
      <c r="BM51" s="1098"/>
      <c r="BN51" s="1098"/>
      <c r="BO51" s="1098"/>
      <c r="BP51" s="1098"/>
      <c r="BQ51" s="1098"/>
      <c r="BR51" s="1098"/>
      <c r="BS51" s="1098"/>
      <c r="BT51" s="1098"/>
      <c r="BU51" s="1098"/>
    </row>
    <row r="52" spans="1:73" x14ac:dyDescent="0.25">
      <c r="A52" s="1098"/>
      <c r="B52" s="1118">
        <f>+B51+1</f>
        <v>2</v>
      </c>
      <c r="C52" s="1119">
        <f>+F3</f>
        <v>1.05</v>
      </c>
      <c r="D52" s="1119">
        <v>1</v>
      </c>
      <c r="E52" s="1119">
        <v>1</v>
      </c>
      <c r="F52" s="1119">
        <v>1</v>
      </c>
      <c r="G52" s="1119">
        <v>1</v>
      </c>
      <c r="H52" s="1119">
        <v>1</v>
      </c>
      <c r="I52" s="1119">
        <v>1</v>
      </c>
      <c r="J52" s="1098"/>
      <c r="K52" s="1116">
        <v>1.5348626802275835</v>
      </c>
      <c r="L52" s="1117">
        <v>0</v>
      </c>
      <c r="M52" s="1117">
        <v>1.4912537006559169E-3</v>
      </c>
      <c r="N52" s="1117">
        <v>0.13722078643823177</v>
      </c>
      <c r="O52" s="1117">
        <v>0.11889909952028908</v>
      </c>
      <c r="P52" s="1117">
        <v>1.5556671558787196E-2</v>
      </c>
      <c r="Q52" s="1117">
        <v>8.559960205096654E-4</v>
      </c>
      <c r="R52" s="1117">
        <v>1.4878755888824771E-3</v>
      </c>
      <c r="S52" s="1117">
        <v>0.11409744775126834</v>
      </c>
      <c r="T52" s="1117">
        <v>0.82524955783637055</v>
      </c>
      <c r="U52" s="1117">
        <v>0</v>
      </c>
      <c r="V52" s="1117">
        <v>0.20158017267247702</v>
      </c>
      <c r="W52" s="1117">
        <v>9.0144728542419741E-2</v>
      </c>
      <c r="X52" s="1117">
        <v>2.7212091124119719E-2</v>
      </c>
      <c r="Y52" s="1117">
        <v>4.0495068748820475E-3</v>
      </c>
      <c r="Z52" s="1232"/>
      <c r="AA52" s="1098"/>
      <c r="AB52" s="1098"/>
      <c r="AC52" s="1098"/>
      <c r="AD52" s="1098"/>
      <c r="AE52" s="1098"/>
      <c r="AF52" s="1098"/>
      <c r="AG52" s="1098"/>
      <c r="AH52" s="1098"/>
      <c r="AI52" s="1098"/>
      <c r="AJ52" s="1098"/>
      <c r="AK52" s="1098"/>
      <c r="AL52" s="1098"/>
      <c r="AM52" s="1098"/>
      <c r="AN52" s="1098"/>
      <c r="AO52" s="1098"/>
      <c r="AP52" s="1098"/>
      <c r="AQ52" s="1098"/>
      <c r="AR52" s="1098"/>
      <c r="AS52" s="1098"/>
      <c r="AT52" s="1098"/>
      <c r="AU52" s="1098"/>
      <c r="AV52" s="1098"/>
      <c r="AW52" s="1098"/>
      <c r="AX52" s="1098"/>
      <c r="AY52" s="1098"/>
      <c r="AZ52" s="1098"/>
      <c r="BA52" s="1098"/>
      <c r="BB52" s="1098"/>
      <c r="BC52" s="1098"/>
      <c r="BD52" s="1098"/>
      <c r="BE52" s="1098"/>
      <c r="BF52" s="1098"/>
      <c r="BG52" s="1098"/>
      <c r="BH52" s="1098"/>
      <c r="BI52" s="1098"/>
      <c r="BJ52" s="1098"/>
      <c r="BK52" s="1098"/>
      <c r="BL52" s="1098"/>
      <c r="BM52" s="1098"/>
      <c r="BN52" s="1098"/>
      <c r="BO52" s="1098"/>
      <c r="BP52" s="1098"/>
      <c r="BQ52" s="1098"/>
      <c r="BR52" s="1098"/>
      <c r="BS52" s="1098"/>
      <c r="BT52" s="1098"/>
      <c r="BU52" s="1098"/>
    </row>
    <row r="53" spans="1:73" x14ac:dyDescent="0.25">
      <c r="A53" s="1098"/>
      <c r="B53" s="1118">
        <f t="shared" ref="B53:B70" si="6">+B52+1</f>
        <v>3</v>
      </c>
      <c r="C53" s="1119">
        <f>+G3</f>
        <v>0.95</v>
      </c>
      <c r="D53" s="1119">
        <v>1</v>
      </c>
      <c r="E53" s="1119">
        <v>1</v>
      </c>
      <c r="F53" s="1119">
        <v>1</v>
      </c>
      <c r="G53" s="1119">
        <v>1</v>
      </c>
      <c r="H53" s="1119">
        <v>1</v>
      </c>
      <c r="I53" s="1119">
        <v>1</v>
      </c>
      <c r="J53" s="1098"/>
      <c r="K53" s="1116">
        <v>1.5837982922296741</v>
      </c>
      <c r="L53" s="1117">
        <v>0</v>
      </c>
      <c r="M53" s="1117">
        <v>1.6361788102070348E-3</v>
      </c>
      <c r="N53" s="1117">
        <v>0.15055385219869918</v>
      </c>
      <c r="O53" s="1117">
        <v>0.12403020514642495</v>
      </c>
      <c r="P53" s="1117">
        <v>1.5827606294927837E-2</v>
      </c>
      <c r="Q53" s="1117">
        <v>9.4610086477384082E-4</v>
      </c>
      <c r="R53" s="1117">
        <v>1.6324451077206019E-3</v>
      </c>
      <c r="S53" s="1117">
        <v>0.12549555129032774</v>
      </c>
      <c r="T53" s="1117">
        <v>0.82524955783637044</v>
      </c>
      <c r="U53" s="1117">
        <v>0</v>
      </c>
      <c r="V53" s="1117">
        <v>0.21003533217222101</v>
      </c>
      <c r="W53" s="1117">
        <v>9.8903646377048182E-2</v>
      </c>
      <c r="X53" s="1117">
        <v>2.8317196303535606E-2</v>
      </c>
      <c r="Y53" s="1117">
        <v>4.4429774478303456E-3</v>
      </c>
      <c r="Z53" s="1232"/>
      <c r="AA53" s="1098"/>
      <c r="AB53" s="1098"/>
      <c r="AC53" s="1098"/>
      <c r="AD53" s="1098"/>
      <c r="AE53" s="1098"/>
      <c r="AF53" s="1098"/>
      <c r="AG53" s="1098"/>
      <c r="AH53" s="1098"/>
      <c r="AI53" s="1098"/>
      <c r="AJ53" s="1098"/>
      <c r="AK53" s="1098"/>
      <c r="AL53" s="1098"/>
      <c r="AM53" s="1098"/>
      <c r="AN53" s="1098"/>
      <c r="AO53" s="1098"/>
      <c r="AP53" s="1098"/>
      <c r="AQ53" s="1098"/>
      <c r="AR53" s="1098"/>
      <c r="AS53" s="1098"/>
      <c r="AT53" s="1098"/>
      <c r="AU53" s="1098"/>
      <c r="AV53" s="1098"/>
      <c r="AW53" s="1098"/>
      <c r="AX53" s="1098"/>
      <c r="AY53" s="1098"/>
      <c r="AZ53" s="1098"/>
      <c r="BA53" s="1098"/>
      <c r="BB53" s="1098"/>
      <c r="BC53" s="1098"/>
      <c r="BD53" s="1098"/>
      <c r="BE53" s="1098"/>
      <c r="BF53" s="1098"/>
      <c r="BG53" s="1098"/>
      <c r="BH53" s="1098"/>
      <c r="BI53" s="1098"/>
      <c r="BJ53" s="1098"/>
      <c r="BK53" s="1098"/>
      <c r="BL53" s="1098"/>
      <c r="BM53" s="1098"/>
      <c r="BN53" s="1098"/>
      <c r="BO53" s="1098"/>
      <c r="BP53" s="1098"/>
      <c r="BQ53" s="1098"/>
      <c r="BR53" s="1098"/>
      <c r="BS53" s="1098"/>
      <c r="BT53" s="1098"/>
      <c r="BU53" s="1098"/>
    </row>
    <row r="54" spans="1:73" x14ac:dyDescent="0.25">
      <c r="A54" s="1098"/>
      <c r="B54" s="1110">
        <f t="shared" si="6"/>
        <v>4</v>
      </c>
      <c r="C54" s="1103">
        <v>1</v>
      </c>
      <c r="D54" s="1103">
        <f>+F4</f>
        <v>1.05</v>
      </c>
      <c r="E54" s="1103">
        <v>1</v>
      </c>
      <c r="F54" s="1103">
        <v>1</v>
      </c>
      <c r="G54" s="1103">
        <v>1</v>
      </c>
      <c r="H54" s="1103">
        <v>1</v>
      </c>
      <c r="I54" s="1103">
        <v>1</v>
      </c>
      <c r="J54" s="1098"/>
      <c r="K54" s="1116">
        <v>1.5440945172151936</v>
      </c>
      <c r="L54" s="1117">
        <v>0</v>
      </c>
      <c r="M54" s="1117">
        <v>1.5177720394748549E-3</v>
      </c>
      <c r="N54" s="1117">
        <v>0.13965721111896354</v>
      </c>
      <c r="O54" s="1117">
        <v>0.11924128709371848</v>
      </c>
      <c r="P54" s="1117">
        <v>1.5619260240447509E-2</v>
      </c>
      <c r="Q54" s="1117">
        <v>8.8142492042780571E-4</v>
      </c>
      <c r="R54" s="1117">
        <v>1.5142935748210973E-3</v>
      </c>
      <c r="S54" s="1117">
        <v>0.11609376862927953</v>
      </c>
      <c r="T54" s="1117">
        <v>0.82524955783637055</v>
      </c>
      <c r="U54" s="1117">
        <v>0</v>
      </c>
      <c r="V54" s="1117">
        <v>0.20417015763647942</v>
      </c>
      <c r="W54" s="1117">
        <v>9.1745293931669136E-2</v>
      </c>
      <c r="X54" s="1117">
        <v>2.7318626348570359E-2</v>
      </c>
      <c r="Y54" s="1117">
        <v>4.1214079239202455E-3</v>
      </c>
      <c r="Z54" s="1232"/>
      <c r="AA54" s="1098"/>
      <c r="AB54" s="1098"/>
      <c r="AC54" s="1098"/>
      <c r="AD54" s="1098"/>
      <c r="AE54" s="1098"/>
      <c r="AF54" s="1098"/>
      <c r="AG54" s="1098"/>
      <c r="AH54" s="1098"/>
      <c r="AI54" s="1098"/>
      <c r="AJ54" s="1098"/>
      <c r="AK54" s="1098"/>
      <c r="AL54" s="1098"/>
      <c r="AM54" s="1098"/>
      <c r="AN54" s="1098"/>
      <c r="AO54" s="1098"/>
      <c r="AP54" s="1098"/>
      <c r="AQ54" s="1098"/>
      <c r="AR54" s="1098"/>
      <c r="AS54" s="1098"/>
      <c r="AT54" s="1098"/>
      <c r="AU54" s="1098"/>
      <c r="AV54" s="1098"/>
      <c r="AW54" s="1098"/>
      <c r="AX54" s="1098"/>
      <c r="AY54" s="1098"/>
      <c r="AZ54" s="1098"/>
      <c r="BA54" s="1098"/>
      <c r="BB54" s="1098"/>
      <c r="BC54" s="1098"/>
      <c r="BD54" s="1098"/>
      <c r="BE54" s="1098"/>
      <c r="BF54" s="1098"/>
      <c r="BG54" s="1098"/>
      <c r="BH54" s="1098"/>
      <c r="BI54" s="1098"/>
      <c r="BJ54" s="1098"/>
      <c r="BK54" s="1098"/>
      <c r="BL54" s="1098"/>
      <c r="BM54" s="1098"/>
      <c r="BN54" s="1098"/>
      <c r="BO54" s="1098"/>
      <c r="BP54" s="1098"/>
      <c r="BQ54" s="1098"/>
      <c r="BR54" s="1098"/>
      <c r="BS54" s="1098"/>
      <c r="BT54" s="1098"/>
      <c r="BU54" s="1098"/>
    </row>
    <row r="55" spans="1:73" x14ac:dyDescent="0.25">
      <c r="A55" s="1098"/>
      <c r="B55" s="1110">
        <f t="shared" si="6"/>
        <v>5</v>
      </c>
      <c r="C55" s="1103">
        <v>1</v>
      </c>
      <c r="D55" s="1103">
        <f>+G4</f>
        <v>0.95</v>
      </c>
      <c r="E55" s="1103">
        <v>1</v>
      </c>
      <c r="F55" s="1103">
        <v>1</v>
      </c>
      <c r="G55" s="1103">
        <v>1</v>
      </c>
      <c r="H55" s="1103">
        <v>1</v>
      </c>
      <c r="I55" s="1103">
        <v>1</v>
      </c>
      <c r="J55" s="1098"/>
      <c r="K55" s="1116">
        <v>1.5734415536126003</v>
      </c>
      <c r="L55" s="1117">
        <v>0</v>
      </c>
      <c r="M55" s="1117">
        <v>1.6062819276984263E-3</v>
      </c>
      <c r="N55" s="1117">
        <v>0.14780701898736265</v>
      </c>
      <c r="O55" s="1117">
        <v>0.12364442174887701</v>
      </c>
      <c r="P55" s="1117">
        <v>1.5757730679198067E-2</v>
      </c>
      <c r="Q55" s="1117">
        <v>9.1742718017115757E-4</v>
      </c>
      <c r="R55" s="1117">
        <v>1.6026613833450025E-3</v>
      </c>
      <c r="S55" s="1117">
        <v>0.12323789567528204</v>
      </c>
      <c r="T55" s="1117">
        <v>0.82524955783637088</v>
      </c>
      <c r="U55" s="1117">
        <v>0</v>
      </c>
      <c r="V55" s="1117">
        <v>0.20717271785771227</v>
      </c>
      <c r="W55" s="1117">
        <v>9.7099163684488357E-2</v>
      </c>
      <c r="X55" s="1117">
        <v>2.8197324539207081E-2</v>
      </c>
      <c r="Y55" s="1117">
        <v>4.361915968282064E-3</v>
      </c>
      <c r="Z55" s="1232"/>
      <c r="AA55" s="1098"/>
      <c r="AB55" s="1098"/>
      <c r="AC55" s="1098"/>
      <c r="AD55" s="1098"/>
      <c r="AE55" s="1098"/>
      <c r="AF55" s="1098"/>
      <c r="AG55" s="1098"/>
      <c r="AH55" s="1098"/>
      <c r="AI55" s="1098"/>
      <c r="AJ55" s="1098"/>
      <c r="AK55" s="1098"/>
      <c r="AL55" s="1098"/>
      <c r="AM55" s="1098"/>
      <c r="AN55" s="1098"/>
      <c r="AO55" s="1098"/>
      <c r="AP55" s="1098"/>
      <c r="AQ55" s="1098"/>
      <c r="AR55" s="1098"/>
      <c r="AS55" s="1098"/>
      <c r="AT55" s="1098"/>
      <c r="AU55" s="1098"/>
      <c r="AV55" s="1098"/>
      <c r="AW55" s="1098"/>
      <c r="AX55" s="1098"/>
      <c r="AY55" s="1098"/>
      <c r="AZ55" s="1098"/>
      <c r="BA55" s="1098"/>
      <c r="BB55" s="1098"/>
      <c r="BC55" s="1098"/>
      <c r="BD55" s="1098"/>
      <c r="BE55" s="1098"/>
      <c r="BF55" s="1098"/>
      <c r="BG55" s="1098"/>
      <c r="BH55" s="1098"/>
      <c r="BI55" s="1098"/>
      <c r="BJ55" s="1098"/>
      <c r="BK55" s="1098"/>
      <c r="BL55" s="1098"/>
      <c r="BM55" s="1098"/>
      <c r="BN55" s="1098"/>
      <c r="BO55" s="1098"/>
      <c r="BP55" s="1098"/>
      <c r="BQ55" s="1098"/>
      <c r="BR55" s="1098"/>
      <c r="BS55" s="1098"/>
      <c r="BT55" s="1098"/>
      <c r="BU55" s="1098"/>
    </row>
    <row r="56" spans="1:73" x14ac:dyDescent="0.25">
      <c r="A56" s="1098"/>
      <c r="B56" s="1118">
        <f t="shared" si="6"/>
        <v>6</v>
      </c>
      <c r="C56" s="1119">
        <v>1</v>
      </c>
      <c r="D56" s="1119">
        <v>1</v>
      </c>
      <c r="E56" s="1119">
        <f>+F5</f>
        <v>0.95</v>
      </c>
      <c r="F56" s="1119">
        <v>1</v>
      </c>
      <c r="G56" s="1119">
        <v>1</v>
      </c>
      <c r="H56" s="1119">
        <v>1</v>
      </c>
      <c r="I56" s="1119">
        <v>1</v>
      </c>
      <c r="J56" s="1098"/>
      <c r="K56" s="1116">
        <v>1.551049937139557</v>
      </c>
      <c r="L56" s="1117">
        <v>0</v>
      </c>
      <c r="M56" s="1117">
        <v>1.730147936704819E-3</v>
      </c>
      <c r="N56" s="1117">
        <v>0.13684298054419414</v>
      </c>
      <c r="O56" s="1117">
        <v>0.12151324734350721</v>
      </c>
      <c r="P56" s="1117">
        <v>1.513945234948154E-2</v>
      </c>
      <c r="Q56" s="1117">
        <v>8.5279214492318847E-4</v>
      </c>
      <c r="R56" s="1117">
        <v>1.7262149018467312E-3</v>
      </c>
      <c r="S56" s="1117">
        <v>0.11942802401294346</v>
      </c>
      <c r="T56" s="1117">
        <v>0.82859057540702719</v>
      </c>
      <c r="U56" s="1117">
        <v>0</v>
      </c>
      <c r="V56" s="1117">
        <v>0.20552806689413086</v>
      </c>
      <c r="W56" s="1117">
        <v>9.2663347110224212E-2</v>
      </c>
      <c r="X56" s="1117">
        <v>2.5797196451745236E-2</v>
      </c>
      <c r="Y56" s="1117">
        <v>4.6981879162373424E-3</v>
      </c>
      <c r="Z56" s="1232"/>
      <c r="AA56" s="1098"/>
      <c r="AB56" s="1098"/>
      <c r="AC56" s="1098"/>
      <c r="AD56" s="1098"/>
      <c r="AE56" s="1098"/>
      <c r="AF56" s="1098"/>
      <c r="AG56" s="1098"/>
      <c r="AH56" s="1098"/>
      <c r="AI56" s="1098"/>
      <c r="AJ56" s="1098"/>
      <c r="AK56" s="1098"/>
      <c r="AL56" s="1098"/>
      <c r="AM56" s="1098"/>
      <c r="AN56" s="1098"/>
      <c r="AO56" s="1098"/>
      <c r="AP56" s="1098"/>
      <c r="AQ56" s="1098"/>
      <c r="AR56" s="1098"/>
      <c r="AS56" s="1098"/>
      <c r="AT56" s="1098"/>
      <c r="AU56" s="1098"/>
      <c r="AV56" s="1098"/>
      <c r="AW56" s="1098"/>
      <c r="AX56" s="1098"/>
      <c r="AY56" s="1098"/>
      <c r="AZ56" s="1098"/>
      <c r="BA56" s="1098"/>
      <c r="BB56" s="1098"/>
      <c r="BC56" s="1098"/>
      <c r="BD56" s="1098"/>
      <c r="BE56" s="1098"/>
      <c r="BF56" s="1098"/>
      <c r="BG56" s="1098"/>
      <c r="BH56" s="1098"/>
      <c r="BI56" s="1098"/>
      <c r="BJ56" s="1098"/>
      <c r="BK56" s="1098"/>
      <c r="BL56" s="1098"/>
      <c r="BM56" s="1098"/>
      <c r="BN56" s="1098"/>
      <c r="BO56" s="1098"/>
      <c r="BP56" s="1098"/>
      <c r="BQ56" s="1098"/>
      <c r="BR56" s="1098"/>
      <c r="BS56" s="1098"/>
      <c r="BT56" s="1098"/>
      <c r="BU56" s="1098"/>
    </row>
    <row r="57" spans="1:73" x14ac:dyDescent="0.25">
      <c r="A57" s="1098"/>
      <c r="B57" s="1118">
        <f t="shared" si="6"/>
        <v>7</v>
      </c>
      <c r="C57" s="1119">
        <v>1</v>
      </c>
      <c r="D57" s="1119">
        <v>1</v>
      </c>
      <c r="E57" s="1119">
        <f>+G5</f>
        <v>1.05</v>
      </c>
      <c r="F57" s="1119">
        <v>1</v>
      </c>
      <c r="G57" s="1119">
        <v>1</v>
      </c>
      <c r="H57" s="1119">
        <v>1</v>
      </c>
      <c r="I57" s="1119">
        <v>1</v>
      </c>
      <c r="J57" s="1098"/>
      <c r="K57" s="1116">
        <v>1.565709003382735</v>
      </c>
      <c r="L57" s="1117">
        <v>0</v>
      </c>
      <c r="M57" s="1117">
        <v>1.4060627426016891E-3</v>
      </c>
      <c r="N57" s="1117">
        <v>0.15043687248607535</v>
      </c>
      <c r="O57" s="1117">
        <v>0.12123004842019204</v>
      </c>
      <c r="P57" s="1117">
        <v>1.6225702427426755E-2</v>
      </c>
      <c r="Q57" s="1117">
        <v>9.4597380273744056E-4</v>
      </c>
      <c r="R57" s="1117">
        <v>1.4028664299269226E-3</v>
      </c>
      <c r="S57" s="1117">
        <v>0.11962073353471103</v>
      </c>
      <c r="T57" s="1117">
        <v>0.82198924956172759</v>
      </c>
      <c r="U57" s="1117">
        <v>0</v>
      </c>
      <c r="V57" s="1117">
        <v>0.20570627486975962</v>
      </c>
      <c r="W57" s="1117">
        <v>9.598851124707479E-2</v>
      </c>
      <c r="X57" s="1117">
        <v>2.975069337823669E-2</v>
      </c>
      <c r="Y57" s="1117">
        <v>3.8181399674667446E-3</v>
      </c>
      <c r="Z57" s="1232"/>
      <c r="AA57" s="1098"/>
      <c r="AB57" s="1098"/>
      <c r="AC57" s="1098"/>
      <c r="AD57" s="1098"/>
      <c r="AE57" s="1098"/>
      <c r="AF57" s="1098"/>
      <c r="AG57" s="1098"/>
      <c r="AH57" s="1098"/>
      <c r="AI57" s="1098"/>
      <c r="AJ57" s="1098"/>
      <c r="AK57" s="1098"/>
      <c r="AL57" s="1098"/>
      <c r="AM57" s="1098"/>
      <c r="AN57" s="1098"/>
      <c r="AO57" s="1098"/>
      <c r="AP57" s="1098"/>
      <c r="AQ57" s="1098"/>
      <c r="AR57" s="1098"/>
      <c r="AS57" s="1098"/>
      <c r="AT57" s="1098"/>
      <c r="AU57" s="1098"/>
      <c r="AV57" s="1098"/>
      <c r="AW57" s="1098"/>
      <c r="AX57" s="1098"/>
      <c r="AY57" s="1098"/>
      <c r="AZ57" s="1098"/>
      <c r="BA57" s="1098"/>
      <c r="BB57" s="1098"/>
      <c r="BC57" s="1098"/>
      <c r="BD57" s="1098"/>
      <c r="BE57" s="1098"/>
      <c r="BF57" s="1098"/>
      <c r="BG57" s="1098"/>
      <c r="BH57" s="1098"/>
      <c r="BI57" s="1098"/>
      <c r="BJ57" s="1098"/>
      <c r="BK57" s="1098"/>
      <c r="BL57" s="1098"/>
      <c r="BM57" s="1098"/>
      <c r="BN57" s="1098"/>
      <c r="BO57" s="1098"/>
      <c r="BP57" s="1098"/>
      <c r="BQ57" s="1098"/>
      <c r="BR57" s="1098"/>
      <c r="BS57" s="1098"/>
      <c r="BT57" s="1098"/>
      <c r="BU57" s="1098"/>
    </row>
    <row r="58" spans="1:73" x14ac:dyDescent="0.25">
      <c r="A58" s="1098"/>
      <c r="B58" s="1110">
        <f t="shared" si="6"/>
        <v>8</v>
      </c>
      <c r="C58" s="1103">
        <v>1</v>
      </c>
      <c r="D58" s="1103">
        <v>1</v>
      </c>
      <c r="E58" s="1103">
        <v>1</v>
      </c>
      <c r="F58" s="1103">
        <f>+F6</f>
        <v>0.95</v>
      </c>
      <c r="G58" s="1103">
        <v>1</v>
      </c>
      <c r="H58" s="1103">
        <v>1</v>
      </c>
      <c r="I58" s="1103">
        <v>1</v>
      </c>
      <c r="J58" s="1098"/>
      <c r="K58" s="1116">
        <v>1.5080814671972416</v>
      </c>
      <c r="L58" s="1117">
        <v>0</v>
      </c>
      <c r="M58" s="1117">
        <v>1.5541232629696245E-3</v>
      </c>
      <c r="N58" s="1117">
        <v>0.14300341604133274</v>
      </c>
      <c r="O58" s="1117">
        <v>0.1178255006350936</v>
      </c>
      <c r="P58" s="1117">
        <v>1.5083323624036847E-2</v>
      </c>
      <c r="Q58" s="1117">
        <v>8.987958215351488E-4</v>
      </c>
      <c r="R58" s="1117">
        <v>1.5505762456075134E-3</v>
      </c>
      <c r="S58" s="1117">
        <v>0.11920824473815718</v>
      </c>
      <c r="T58" s="1117">
        <v>0.78398707994455208</v>
      </c>
      <c r="U58" s="1117">
        <v>0</v>
      </c>
      <c r="V58" s="1117">
        <v>0.20299802114330681</v>
      </c>
      <c r="W58" s="1117">
        <v>9.3943523093619447E-2</v>
      </c>
      <c r="X58" s="1117">
        <v>2.6916951779746991E-2</v>
      </c>
      <c r="Y58" s="1117">
        <v>4.2201573932216605E-3</v>
      </c>
      <c r="Z58" s="1232"/>
      <c r="AA58" s="1098"/>
      <c r="AB58" s="1098"/>
      <c r="AC58" s="1098"/>
      <c r="AD58" s="1098"/>
      <c r="AE58" s="1098"/>
      <c r="AF58" s="1098"/>
      <c r="AG58" s="1098"/>
      <c r="AH58" s="1098"/>
      <c r="AI58" s="1098"/>
      <c r="AJ58" s="1098"/>
      <c r="AK58" s="1098"/>
      <c r="AL58" s="1098"/>
      <c r="AM58" s="1098"/>
      <c r="AN58" s="1098"/>
      <c r="AO58" s="1098"/>
      <c r="AP58" s="1098"/>
      <c r="AQ58" s="1098"/>
      <c r="AR58" s="1098"/>
      <c r="AS58" s="1098"/>
      <c r="AT58" s="1098"/>
      <c r="AU58" s="1098"/>
      <c r="AV58" s="1098"/>
      <c r="AW58" s="1098"/>
      <c r="AX58" s="1098"/>
      <c r="AY58" s="1098"/>
      <c r="AZ58" s="1098"/>
      <c r="BA58" s="1098"/>
      <c r="BB58" s="1098"/>
      <c r="BC58" s="1098"/>
      <c r="BD58" s="1098"/>
      <c r="BE58" s="1098"/>
      <c r="BF58" s="1098"/>
      <c r="BG58" s="1098"/>
      <c r="BH58" s="1098"/>
      <c r="BI58" s="1098"/>
      <c r="BJ58" s="1098"/>
      <c r="BK58" s="1098"/>
      <c r="BL58" s="1098"/>
      <c r="BM58" s="1098"/>
      <c r="BN58" s="1098"/>
      <c r="BO58" s="1098"/>
      <c r="BP58" s="1098"/>
      <c r="BQ58" s="1098"/>
      <c r="BR58" s="1098"/>
      <c r="BS58" s="1098"/>
      <c r="BT58" s="1098"/>
      <c r="BU58" s="1098"/>
    </row>
    <row r="59" spans="1:73" x14ac:dyDescent="0.25">
      <c r="A59" s="1098"/>
      <c r="B59" s="1110">
        <f t="shared" si="6"/>
        <v>9</v>
      </c>
      <c r="C59" s="1103">
        <v>1</v>
      </c>
      <c r="D59" s="1103">
        <v>1</v>
      </c>
      <c r="E59" s="1103">
        <v>1</v>
      </c>
      <c r="F59" s="1103">
        <f>+G6</f>
        <v>1.05</v>
      </c>
      <c r="G59" s="1103">
        <v>1</v>
      </c>
      <c r="H59" s="1103">
        <v>1</v>
      </c>
      <c r="I59" s="1103">
        <v>1</v>
      </c>
      <c r="J59" s="1098"/>
      <c r="K59" s="1116">
        <v>1.6081327271971479</v>
      </c>
      <c r="L59" s="1117">
        <v>0</v>
      </c>
      <c r="M59" s="1117">
        <v>1.5660630009882162E-3</v>
      </c>
      <c r="N59" s="1117">
        <v>0.14410457009817701</v>
      </c>
      <c r="O59" s="1117">
        <v>0.12484724886135103</v>
      </c>
      <c r="P59" s="1117">
        <v>1.6287407507185974E-2</v>
      </c>
      <c r="Q59" s="1117">
        <v>8.987958215351488E-4</v>
      </c>
      <c r="R59" s="1117">
        <v>1.5625159836261046E-3</v>
      </c>
      <c r="S59" s="1117">
        <v>0.11981484956201374</v>
      </c>
      <c r="T59" s="1117">
        <v>0.86651203572818924</v>
      </c>
      <c r="U59" s="1117">
        <v>0</v>
      </c>
      <c r="V59" s="1117">
        <v>0.20819472633982319</v>
      </c>
      <c r="W59" s="1117">
        <v>9.4666906453488894E-2</v>
      </c>
      <c r="X59" s="1117">
        <v>2.8557080418569594E-2</v>
      </c>
      <c r="Y59" s="1117">
        <v>4.2526534241746853E-3</v>
      </c>
      <c r="Z59" s="1232"/>
      <c r="AA59" s="1098"/>
      <c r="AB59" s="1098"/>
      <c r="AC59" s="1098"/>
      <c r="AD59" s="1098"/>
      <c r="AE59" s="1098"/>
      <c r="AF59" s="1098"/>
      <c r="AG59" s="1098"/>
      <c r="AH59" s="1098"/>
      <c r="AI59" s="1098"/>
      <c r="AJ59" s="1098"/>
      <c r="AK59" s="1098"/>
      <c r="AL59" s="1098"/>
      <c r="AM59" s="1098"/>
      <c r="AN59" s="1098"/>
      <c r="AO59" s="1098"/>
      <c r="AP59" s="1098"/>
      <c r="AQ59" s="1098"/>
      <c r="AR59" s="1098"/>
      <c r="AS59" s="1098"/>
      <c r="AT59" s="1098"/>
      <c r="AU59" s="1098"/>
      <c r="AV59" s="1098"/>
      <c r="AW59" s="1098"/>
      <c r="AX59" s="1098"/>
      <c r="AY59" s="1098"/>
      <c r="AZ59" s="1098"/>
      <c r="BA59" s="1098"/>
      <c r="BB59" s="1098"/>
      <c r="BC59" s="1098"/>
      <c r="BD59" s="1098"/>
      <c r="BE59" s="1098"/>
      <c r="BF59" s="1098"/>
      <c r="BG59" s="1098"/>
      <c r="BH59" s="1098"/>
      <c r="BI59" s="1098"/>
      <c r="BJ59" s="1098"/>
      <c r="BK59" s="1098"/>
      <c r="BL59" s="1098"/>
      <c r="BM59" s="1098"/>
      <c r="BN59" s="1098"/>
      <c r="BO59" s="1098"/>
      <c r="BP59" s="1098"/>
      <c r="BQ59" s="1098"/>
      <c r="BR59" s="1098"/>
      <c r="BS59" s="1098"/>
      <c r="BT59" s="1098"/>
      <c r="BU59" s="1098"/>
    </row>
    <row r="60" spans="1:73" x14ac:dyDescent="0.25">
      <c r="A60" s="1098"/>
      <c r="B60" s="1118">
        <f t="shared" si="6"/>
        <v>10</v>
      </c>
      <c r="C60" s="1119">
        <v>1</v>
      </c>
      <c r="D60" s="1119">
        <v>1</v>
      </c>
      <c r="E60" s="1119">
        <v>1</v>
      </c>
      <c r="F60" s="1119">
        <v>1</v>
      </c>
      <c r="G60" s="1119">
        <f>+F7</f>
        <v>0.95</v>
      </c>
      <c r="H60" s="1119">
        <v>1</v>
      </c>
      <c r="I60" s="1119">
        <v>1</v>
      </c>
      <c r="J60" s="1098"/>
      <c r="K60" s="1116">
        <v>1.5559242505286783</v>
      </c>
      <c r="L60" s="1117">
        <v>0</v>
      </c>
      <c r="M60" s="1117">
        <v>1.5603382608962266E-3</v>
      </c>
      <c r="N60" s="1117">
        <v>0.1435766003247316</v>
      </c>
      <c r="O60" s="1117">
        <v>0.12137220296106475</v>
      </c>
      <c r="P60" s="1117">
        <v>1.5655048044414834E-2</v>
      </c>
      <c r="Q60" s="1117">
        <v>8.987958215351488E-4</v>
      </c>
      <c r="R60" s="1117">
        <v>1.5567912435341155E-3</v>
      </c>
      <c r="S60" s="1117">
        <v>0.11952400105681882</v>
      </c>
      <c r="T60" s="1117">
        <v>0.82524955783637077</v>
      </c>
      <c r="U60" s="1117">
        <v>0</v>
      </c>
      <c r="V60" s="1117">
        <v>0.20336158895463979</v>
      </c>
      <c r="W60" s="1117">
        <v>9.432006620325277E-2</v>
      </c>
      <c r="X60" s="1117">
        <v>2.7732863774406636E-2</v>
      </c>
      <c r="Y60" s="1117">
        <v>4.2370725688043549E-3</v>
      </c>
      <c r="Z60" s="1232"/>
      <c r="AA60" s="1098"/>
      <c r="AB60" s="1098"/>
      <c r="AC60" s="1098"/>
      <c r="AD60" s="1098"/>
      <c r="AE60" s="1098"/>
      <c r="AF60" s="1098"/>
      <c r="AG60" s="1098"/>
      <c r="AH60" s="1098"/>
      <c r="AI60" s="1098"/>
      <c r="AJ60" s="1098"/>
      <c r="AK60" s="1098"/>
      <c r="AL60" s="1098"/>
      <c r="AM60" s="1098"/>
      <c r="AN60" s="1098"/>
      <c r="AO60" s="1098"/>
      <c r="AP60" s="1098"/>
      <c r="AQ60" s="1098"/>
      <c r="AR60" s="1098"/>
      <c r="AS60" s="1098"/>
      <c r="AT60" s="1098"/>
      <c r="AU60" s="1098"/>
      <c r="AV60" s="1098"/>
      <c r="AW60" s="1098"/>
      <c r="AX60" s="1098"/>
      <c r="AY60" s="1098"/>
      <c r="AZ60" s="1098"/>
      <c r="BA60" s="1098"/>
      <c r="BB60" s="1098"/>
      <c r="BC60" s="1098"/>
      <c r="BD60" s="1098"/>
      <c r="BE60" s="1098"/>
      <c r="BF60" s="1098"/>
      <c r="BG60" s="1098"/>
      <c r="BH60" s="1098"/>
      <c r="BI60" s="1098"/>
      <c r="BJ60" s="1098"/>
      <c r="BK60" s="1098"/>
      <c r="BL60" s="1098"/>
      <c r="BM60" s="1098"/>
      <c r="BN60" s="1098"/>
      <c r="BO60" s="1098"/>
      <c r="BP60" s="1098"/>
      <c r="BQ60" s="1098"/>
      <c r="BR60" s="1098"/>
      <c r="BS60" s="1098"/>
      <c r="BT60" s="1098"/>
      <c r="BU60" s="1098"/>
    </row>
    <row r="61" spans="1:73" x14ac:dyDescent="0.25">
      <c r="A61" s="1098"/>
      <c r="B61" s="1118">
        <f t="shared" si="6"/>
        <v>11</v>
      </c>
      <c r="C61" s="1119">
        <v>1</v>
      </c>
      <c r="D61" s="1119">
        <v>1</v>
      </c>
      <c r="E61" s="1119">
        <v>1</v>
      </c>
      <c r="F61" s="1119">
        <v>1</v>
      </c>
      <c r="G61" s="1119">
        <f>+G6</f>
        <v>1.05</v>
      </c>
      <c r="H61" s="1119">
        <v>1</v>
      </c>
      <c r="I61" s="1119">
        <v>1</v>
      </c>
      <c r="J61" s="1098"/>
      <c r="K61" s="1116">
        <v>1.5605153225301063</v>
      </c>
      <c r="L61" s="1117">
        <v>0</v>
      </c>
      <c r="M61" s="1117">
        <v>1.5603382608962266E-3</v>
      </c>
      <c r="N61" s="1117">
        <v>0.1435766003247316</v>
      </c>
      <c r="O61" s="1117">
        <v>0.12137220296106475</v>
      </c>
      <c r="P61" s="1117">
        <v>1.5716550881084826E-2</v>
      </c>
      <c r="Q61" s="1117">
        <v>8.987958215351488E-4</v>
      </c>
      <c r="R61" s="1117">
        <v>1.5567912435341155E-3</v>
      </c>
      <c r="S61" s="1117">
        <v>0.11952400105681882</v>
      </c>
      <c r="T61" s="1117">
        <v>0.82524955783637077</v>
      </c>
      <c r="U61" s="1117">
        <v>0</v>
      </c>
      <c r="V61" s="1117">
        <v>0.20786984000714456</v>
      </c>
      <c r="W61" s="1117">
        <v>9.432006620325277E-2</v>
      </c>
      <c r="X61" s="1117">
        <v>2.7754181886659422E-2</v>
      </c>
      <c r="Y61" s="1117">
        <v>4.2370725688043549E-3</v>
      </c>
      <c r="Z61" s="1232"/>
      <c r="AA61" s="1098"/>
      <c r="AB61" s="1098"/>
      <c r="AC61" s="1098"/>
      <c r="AD61" s="1098"/>
      <c r="AE61" s="1098"/>
      <c r="AF61" s="1098"/>
      <c r="AG61" s="1098"/>
      <c r="AH61" s="1098"/>
      <c r="AI61" s="1098"/>
      <c r="AJ61" s="1098"/>
      <c r="AK61" s="1098"/>
      <c r="AL61" s="1098"/>
      <c r="AM61" s="1098"/>
      <c r="AN61" s="1098"/>
      <c r="AO61" s="1098"/>
      <c r="AP61" s="1098"/>
      <c r="AQ61" s="1098"/>
      <c r="AR61" s="1098"/>
      <c r="AS61" s="1098"/>
      <c r="AT61" s="1098"/>
      <c r="AU61" s="1098"/>
      <c r="AV61" s="1098"/>
      <c r="AW61" s="1098"/>
      <c r="AX61" s="1098"/>
      <c r="AY61" s="1098"/>
      <c r="AZ61" s="1098"/>
      <c r="BA61" s="1098"/>
      <c r="BB61" s="1098"/>
      <c r="BC61" s="1098"/>
      <c r="BD61" s="1098"/>
      <c r="BE61" s="1098"/>
      <c r="BF61" s="1098"/>
      <c r="BG61" s="1098"/>
      <c r="BH61" s="1098"/>
      <c r="BI61" s="1098"/>
      <c r="BJ61" s="1098"/>
      <c r="BK61" s="1098"/>
      <c r="BL61" s="1098"/>
      <c r="BM61" s="1098"/>
      <c r="BN61" s="1098"/>
      <c r="BO61" s="1098"/>
      <c r="BP61" s="1098"/>
      <c r="BQ61" s="1098"/>
      <c r="BR61" s="1098"/>
      <c r="BS61" s="1098"/>
      <c r="BT61" s="1098"/>
      <c r="BU61" s="1098"/>
    </row>
    <row r="62" spans="1:73" x14ac:dyDescent="0.25">
      <c r="A62" s="1098"/>
      <c r="B62" s="1110">
        <f t="shared" si="6"/>
        <v>12</v>
      </c>
      <c r="C62" s="1103">
        <v>1</v>
      </c>
      <c r="D62" s="1103">
        <v>1</v>
      </c>
      <c r="E62" s="1103">
        <v>1</v>
      </c>
      <c r="F62" s="1103">
        <v>1</v>
      </c>
      <c r="G62" s="1103">
        <v>1</v>
      </c>
      <c r="H62" s="1103">
        <f>+F8</f>
        <v>0.95</v>
      </c>
      <c r="I62" s="1103">
        <v>1</v>
      </c>
      <c r="J62" s="1098"/>
      <c r="K62" s="1116">
        <v>1.5419997659953315</v>
      </c>
      <c r="L62" s="1117">
        <v>0</v>
      </c>
      <c r="M62" s="1117">
        <v>1.4823213478514154E-3</v>
      </c>
      <c r="N62" s="1117">
        <v>0.13638141395062564</v>
      </c>
      <c r="O62" s="1117">
        <v>0.12137220296106475</v>
      </c>
      <c r="P62" s="1117">
        <v>1.5631707515553917E-2</v>
      </c>
      <c r="Q62" s="1117">
        <v>8.987958215351488E-4</v>
      </c>
      <c r="R62" s="1117">
        <v>1.4787743304893036E-3</v>
      </c>
      <c r="S62" s="1117">
        <v>0.1155603097495482</v>
      </c>
      <c r="T62" s="1117">
        <v>0.82524955783637077</v>
      </c>
      <c r="U62" s="1117">
        <v>0</v>
      </c>
      <c r="V62" s="1117">
        <v>0.20561571448089225</v>
      </c>
      <c r="W62" s="1117">
        <v>8.9593317877860595E-2</v>
      </c>
      <c r="X62" s="1117">
        <v>2.7675556569476258E-2</v>
      </c>
      <c r="Y62" s="1117">
        <v>4.0247362497648521E-3</v>
      </c>
      <c r="Z62" s="1232"/>
      <c r="AA62" s="1098"/>
      <c r="AB62" s="1098"/>
      <c r="AC62" s="1098"/>
      <c r="AD62" s="1098"/>
      <c r="AE62" s="1098"/>
      <c r="AF62" s="1098"/>
      <c r="AG62" s="1098"/>
      <c r="AH62" s="1098"/>
      <c r="AI62" s="1098"/>
      <c r="AJ62" s="1098"/>
      <c r="AK62" s="1098"/>
      <c r="AL62" s="1098"/>
      <c r="AM62" s="1098"/>
      <c r="AN62" s="1098"/>
      <c r="AO62" s="1098"/>
      <c r="AP62" s="1098"/>
      <c r="AQ62" s="1098"/>
      <c r="AR62" s="1098"/>
      <c r="AS62" s="1098"/>
      <c r="AT62" s="1098"/>
      <c r="AU62" s="1098"/>
      <c r="AV62" s="1098"/>
      <c r="AW62" s="1098"/>
      <c r="AX62" s="1098"/>
      <c r="AY62" s="1098"/>
      <c r="AZ62" s="1098"/>
      <c r="BA62" s="1098"/>
      <c r="BB62" s="1098"/>
      <c r="BC62" s="1098"/>
      <c r="BD62" s="1098"/>
      <c r="BE62" s="1098"/>
      <c r="BF62" s="1098"/>
      <c r="BG62" s="1098"/>
      <c r="BH62" s="1098"/>
      <c r="BI62" s="1098"/>
      <c r="BJ62" s="1098"/>
      <c r="BK62" s="1098"/>
      <c r="BL62" s="1098"/>
      <c r="BM62" s="1098"/>
      <c r="BN62" s="1098"/>
      <c r="BO62" s="1098"/>
      <c r="BP62" s="1098"/>
      <c r="BQ62" s="1098"/>
      <c r="BR62" s="1098"/>
      <c r="BS62" s="1098"/>
      <c r="BT62" s="1098"/>
      <c r="BU62" s="1098"/>
    </row>
    <row r="63" spans="1:73" x14ac:dyDescent="0.25">
      <c r="A63" s="1098"/>
      <c r="B63" s="1110">
        <f t="shared" si="6"/>
        <v>13</v>
      </c>
      <c r="C63" s="1103">
        <v>1</v>
      </c>
      <c r="D63" s="1103">
        <v>1</v>
      </c>
      <c r="E63" s="1103">
        <v>1</v>
      </c>
      <c r="F63" s="1103">
        <v>1</v>
      </c>
      <c r="G63" s="1103">
        <v>1</v>
      </c>
      <c r="H63" s="1103">
        <f>+G8</f>
        <v>1.05</v>
      </c>
      <c r="I63" s="1103">
        <v>1</v>
      </c>
      <c r="J63" s="1098"/>
      <c r="K63" s="1116">
        <v>1.574439807063454</v>
      </c>
      <c r="L63" s="1117">
        <v>0</v>
      </c>
      <c r="M63" s="1117">
        <v>1.638355173941038E-3</v>
      </c>
      <c r="N63" s="1117">
        <v>0.15077178669883767</v>
      </c>
      <c r="O63" s="1117">
        <v>0.12137220296106475</v>
      </c>
      <c r="P63" s="1117">
        <v>1.5739891409945753E-2</v>
      </c>
      <c r="Q63" s="1117">
        <v>8.987958215351488E-4</v>
      </c>
      <c r="R63" s="1117">
        <v>1.6348081565789267E-3</v>
      </c>
      <c r="S63" s="1117">
        <v>0.1234876923640896</v>
      </c>
      <c r="T63" s="1117">
        <v>0.82524955783637077</v>
      </c>
      <c r="U63" s="1117">
        <v>0</v>
      </c>
      <c r="V63" s="1117">
        <v>0.20561571448089225</v>
      </c>
      <c r="W63" s="1117">
        <v>9.9046814528644889E-2</v>
      </c>
      <c r="X63" s="1117">
        <v>2.7811489091589866E-2</v>
      </c>
      <c r="Y63" s="1117">
        <v>4.4494088878438585E-3</v>
      </c>
      <c r="Z63" s="1232"/>
      <c r="AA63" s="1098"/>
      <c r="AB63" s="1098"/>
      <c r="AC63" s="1098"/>
      <c r="AD63" s="1098"/>
      <c r="AE63" s="1098"/>
      <c r="AF63" s="1098"/>
      <c r="AG63" s="1098"/>
      <c r="AH63" s="1098"/>
      <c r="AI63" s="1098"/>
      <c r="AJ63" s="1098"/>
      <c r="AK63" s="1098"/>
      <c r="AL63" s="1098"/>
      <c r="AM63" s="1098"/>
      <c r="AN63" s="1098"/>
      <c r="AO63" s="1098"/>
      <c r="AP63" s="1098"/>
      <c r="AQ63" s="1098"/>
      <c r="AR63" s="1098"/>
      <c r="AS63" s="1098"/>
      <c r="AT63" s="1098"/>
      <c r="AU63" s="1098"/>
      <c r="AV63" s="1098"/>
      <c r="AW63" s="1098"/>
      <c r="AX63" s="1098"/>
      <c r="AY63" s="1098"/>
      <c r="AZ63" s="1098"/>
      <c r="BA63" s="1098"/>
      <c r="BB63" s="1098"/>
      <c r="BC63" s="1098"/>
      <c r="BD63" s="1098"/>
      <c r="BE63" s="1098"/>
      <c r="BF63" s="1098"/>
      <c r="BG63" s="1098"/>
      <c r="BH63" s="1098"/>
      <c r="BI63" s="1098"/>
      <c r="BJ63" s="1098"/>
      <c r="BK63" s="1098"/>
      <c r="BL63" s="1098"/>
      <c r="BM63" s="1098"/>
      <c r="BN63" s="1098"/>
      <c r="BO63" s="1098"/>
      <c r="BP63" s="1098"/>
      <c r="BQ63" s="1098"/>
      <c r="BR63" s="1098"/>
      <c r="BS63" s="1098"/>
      <c r="BT63" s="1098"/>
      <c r="BU63" s="1098"/>
    </row>
    <row r="64" spans="1:73" x14ac:dyDescent="0.25">
      <c r="A64" s="1098"/>
      <c r="B64" s="1118">
        <f t="shared" si="6"/>
        <v>14</v>
      </c>
      <c r="C64" s="1103">
        <v>1</v>
      </c>
      <c r="D64" s="1103">
        <v>1</v>
      </c>
      <c r="E64" s="1103">
        <v>1</v>
      </c>
      <c r="F64" s="1103">
        <v>1</v>
      </c>
      <c r="G64" s="1103">
        <v>1</v>
      </c>
      <c r="H64" s="1103">
        <v>1</v>
      </c>
      <c r="I64" s="1103">
        <f>+F9</f>
        <v>0.95</v>
      </c>
      <c r="J64" s="1098"/>
      <c r="K64" s="1116">
        <v>1.5521337610311308</v>
      </c>
      <c r="L64" s="1117">
        <v>0</v>
      </c>
      <c r="M64" s="1117">
        <v>1.5603382608962266E-3</v>
      </c>
      <c r="N64" s="1117">
        <v>0.1435766003247316</v>
      </c>
      <c r="O64" s="1117">
        <v>0.12137220296106475</v>
      </c>
      <c r="P64" s="1117">
        <v>1.5604243086980222E-2</v>
      </c>
      <c r="Q64" s="1117">
        <v>8.987958215351488E-4</v>
      </c>
      <c r="R64" s="1117">
        <v>1.5567912435341155E-3</v>
      </c>
      <c r="S64" s="1117">
        <v>0.11354780100397795</v>
      </c>
      <c r="T64" s="1117">
        <v>0.82524955783637077</v>
      </c>
      <c r="U64" s="1117">
        <v>0</v>
      </c>
      <c r="V64" s="1117">
        <v>0.20561571448089225</v>
      </c>
      <c r="W64" s="1117">
        <v>9.432006620325277E-2</v>
      </c>
      <c r="X64" s="1117">
        <v>2.7715253760881676E-2</v>
      </c>
      <c r="Y64" s="1117">
        <v>4.2370725688043549E-3</v>
      </c>
      <c r="Z64" s="1232"/>
      <c r="AA64" s="1098"/>
      <c r="AB64" s="1098"/>
      <c r="AC64" s="1098"/>
      <c r="AD64" s="1098"/>
      <c r="AE64" s="1098"/>
      <c r="AF64" s="1098"/>
      <c r="AG64" s="1098"/>
      <c r="AH64" s="1098"/>
      <c r="AI64" s="1098"/>
      <c r="AJ64" s="1098"/>
      <c r="AK64" s="1098"/>
      <c r="AL64" s="1098"/>
      <c r="AM64" s="1098"/>
      <c r="AN64" s="1098"/>
      <c r="AO64" s="1098"/>
      <c r="AP64" s="1098"/>
      <c r="AQ64" s="1098"/>
      <c r="AR64" s="1098"/>
      <c r="AS64" s="1098"/>
      <c r="AT64" s="1098"/>
      <c r="AU64" s="1098"/>
      <c r="AV64" s="1098"/>
      <c r="AW64" s="1098"/>
      <c r="AX64" s="1098"/>
      <c r="AY64" s="1098"/>
      <c r="AZ64" s="1098"/>
      <c r="BA64" s="1098"/>
      <c r="BB64" s="1098"/>
      <c r="BC64" s="1098"/>
      <c r="BD64" s="1098"/>
      <c r="BE64" s="1098"/>
      <c r="BF64" s="1098"/>
      <c r="BG64" s="1098"/>
      <c r="BH64" s="1098"/>
      <c r="BI64" s="1098"/>
      <c r="BJ64" s="1098"/>
      <c r="BK64" s="1098"/>
      <c r="BL64" s="1098"/>
      <c r="BM64" s="1098"/>
      <c r="BN64" s="1098"/>
      <c r="BO64" s="1098"/>
      <c r="BP64" s="1098"/>
      <c r="BQ64" s="1098"/>
      <c r="BR64" s="1098"/>
      <c r="BS64" s="1098"/>
      <c r="BT64" s="1098"/>
      <c r="BU64" s="1098"/>
    </row>
    <row r="65" spans="1:73" ht="13" thickBot="1" x14ac:dyDescent="0.3">
      <c r="A65" s="1098"/>
      <c r="B65" s="1221">
        <f t="shared" si="6"/>
        <v>15</v>
      </c>
      <c r="C65" s="1222">
        <v>1</v>
      </c>
      <c r="D65" s="1222">
        <v>1</v>
      </c>
      <c r="E65" s="1222">
        <v>1</v>
      </c>
      <c r="F65" s="1222">
        <v>1</v>
      </c>
      <c r="G65" s="1222">
        <v>1</v>
      </c>
      <c r="H65" s="1222">
        <v>1</v>
      </c>
      <c r="I65" s="1222">
        <f>+G9</f>
        <v>1.05</v>
      </c>
      <c r="J65" s="1223"/>
      <c r="K65" s="1224">
        <v>1.5643058120276547</v>
      </c>
      <c r="L65" s="1225">
        <v>0</v>
      </c>
      <c r="M65" s="1225">
        <v>1.5603382608962266E-3</v>
      </c>
      <c r="N65" s="1225">
        <v>0.1435766003247316</v>
      </c>
      <c r="O65" s="1225">
        <v>0.12137220296106475</v>
      </c>
      <c r="P65" s="1225">
        <v>1.5767355838519452E-2</v>
      </c>
      <c r="Q65" s="1225">
        <v>8.987958215351488E-4</v>
      </c>
      <c r="R65" s="1225">
        <v>1.5567912435341155E-3</v>
      </c>
      <c r="S65" s="1225">
        <v>0.12550020110965976</v>
      </c>
      <c r="T65" s="1225">
        <v>0.82524955783637077</v>
      </c>
      <c r="U65" s="1225">
        <v>0</v>
      </c>
      <c r="V65" s="1225">
        <v>0.20561571448089225</v>
      </c>
      <c r="W65" s="1225">
        <v>9.432006620325277E-2</v>
      </c>
      <c r="X65" s="1225">
        <v>2.7771791900184448E-2</v>
      </c>
      <c r="Y65" s="1225">
        <v>4.2370725688043549E-3</v>
      </c>
      <c r="Z65" s="1232"/>
      <c r="AA65" s="1098"/>
      <c r="AB65" s="1098"/>
      <c r="AC65" s="1098"/>
      <c r="AD65" s="1098"/>
      <c r="AE65" s="1098"/>
      <c r="AF65" s="1098"/>
      <c r="AG65" s="1098"/>
      <c r="AH65" s="1098"/>
      <c r="AI65" s="1098"/>
      <c r="AJ65" s="1098"/>
      <c r="AK65" s="1098"/>
      <c r="AL65" s="1098"/>
      <c r="AM65" s="1098"/>
      <c r="AN65" s="1098"/>
      <c r="AO65" s="1098"/>
      <c r="AP65" s="1098"/>
      <c r="AQ65" s="1098"/>
      <c r="AR65" s="1098"/>
      <c r="AS65" s="1098"/>
      <c r="AT65" s="1098"/>
      <c r="AU65" s="1098"/>
      <c r="AV65" s="1098"/>
      <c r="AW65" s="1098"/>
      <c r="AX65" s="1098"/>
      <c r="AY65" s="1098"/>
      <c r="AZ65" s="1098"/>
      <c r="BA65" s="1098"/>
      <c r="BB65" s="1098"/>
      <c r="BC65" s="1098"/>
      <c r="BD65" s="1098"/>
      <c r="BE65" s="1098"/>
      <c r="BF65" s="1098"/>
      <c r="BG65" s="1098"/>
      <c r="BH65" s="1098"/>
      <c r="BI65" s="1098"/>
      <c r="BJ65" s="1098"/>
      <c r="BK65" s="1098"/>
      <c r="BL65" s="1098"/>
      <c r="BM65" s="1098"/>
      <c r="BN65" s="1098"/>
      <c r="BO65" s="1098"/>
      <c r="BP65" s="1098"/>
      <c r="BQ65" s="1098"/>
      <c r="BR65" s="1098"/>
      <c r="BS65" s="1098"/>
      <c r="BT65" s="1098"/>
      <c r="BU65" s="1098"/>
    </row>
    <row r="66" spans="1:73" ht="13" thickTop="1" x14ac:dyDescent="0.25">
      <c r="A66" s="1098"/>
      <c r="B66" s="1217">
        <f t="shared" si="6"/>
        <v>16</v>
      </c>
      <c r="C66" s="1218">
        <f>(C$72=1)*$F$3
+(C$72=2)
+(C$72=3)
+(C$72=4)
+(C$72=5)</f>
        <v>1</v>
      </c>
      <c r="D66" s="1218">
        <v>1</v>
      </c>
      <c r="E66" s="1218">
        <v>1</v>
      </c>
      <c r="F66" s="1218">
        <f>(F$72=1)*$F$6
+(F$72=2)
+(F$72=3)
+(F$72=4)
+(F$72=5)</f>
        <v>0.95</v>
      </c>
      <c r="G66" s="1218">
        <f>(G$72=1)*$F$7
+(G$72=2)
+(G$72=3)
+(G$72=4)
+(G$72=5)</f>
        <v>1</v>
      </c>
      <c r="H66" s="1218">
        <f>(H$72=1)*$F$8
+(H$72=2)
+(H$72=3)
+(H$72=4)
+(H$72=5)</f>
        <v>1</v>
      </c>
      <c r="I66" s="1218">
        <f>(I$72=1)*$F$9
+(I$72=2)
+(I$72=3)
+(I$72=4)
+(I$72=5)</f>
        <v>1</v>
      </c>
      <c r="J66" s="1098"/>
      <c r="K66" s="1219">
        <v>1.5080814671972416</v>
      </c>
      <c r="L66" s="1220">
        <v>0</v>
      </c>
      <c r="M66" s="1220">
        <v>1.5541232629696245E-3</v>
      </c>
      <c r="N66" s="1220">
        <v>0.14300341604133274</v>
      </c>
      <c r="O66" s="1220">
        <v>0.1178255006350936</v>
      </c>
      <c r="P66" s="1220">
        <v>1.5083323624036847E-2</v>
      </c>
      <c r="Q66" s="1220">
        <v>8.987958215351488E-4</v>
      </c>
      <c r="R66" s="1220">
        <v>1.5505762456075134E-3</v>
      </c>
      <c r="S66" s="1220">
        <v>0.11920824473815718</v>
      </c>
      <c r="T66" s="1220">
        <v>0.78398707994455208</v>
      </c>
      <c r="U66" s="1220">
        <v>0</v>
      </c>
      <c r="V66" s="1220">
        <v>0.20299802114330681</v>
      </c>
      <c r="W66" s="1220">
        <v>9.3943523093619447E-2</v>
      </c>
      <c r="X66" s="1220">
        <v>2.6916951779746991E-2</v>
      </c>
      <c r="Y66" s="1220">
        <v>4.2201573932216605E-3</v>
      </c>
      <c r="Z66" s="1232"/>
      <c r="AA66" s="1098"/>
      <c r="AB66" s="1098"/>
      <c r="AC66" s="1098"/>
      <c r="AD66" s="1098"/>
      <c r="AE66" s="1098"/>
      <c r="AF66" s="1098"/>
      <c r="AG66" s="1098"/>
      <c r="AH66" s="1098"/>
      <c r="AI66" s="1098"/>
      <c r="AJ66" s="1098"/>
      <c r="AK66" s="1098"/>
      <c r="AL66" s="1098"/>
      <c r="AM66" s="1098"/>
      <c r="AN66" s="1098"/>
      <c r="AO66" s="1098"/>
      <c r="AP66" s="1098"/>
      <c r="AQ66" s="1098"/>
      <c r="AR66" s="1098"/>
      <c r="AS66" s="1098"/>
      <c r="AT66" s="1098"/>
      <c r="AU66" s="1098"/>
      <c r="AV66" s="1098"/>
      <c r="AW66" s="1098"/>
      <c r="AX66" s="1098"/>
      <c r="AY66" s="1098"/>
      <c r="AZ66" s="1098"/>
      <c r="BA66" s="1098"/>
      <c r="BB66" s="1098"/>
      <c r="BC66" s="1098"/>
      <c r="BD66" s="1098"/>
      <c r="BE66" s="1098"/>
      <c r="BF66" s="1098"/>
      <c r="BG66" s="1098"/>
      <c r="BH66" s="1098"/>
      <c r="BI66" s="1098"/>
      <c r="BJ66" s="1098"/>
      <c r="BK66" s="1098"/>
      <c r="BL66" s="1098"/>
      <c r="BM66" s="1098"/>
      <c r="BN66" s="1098"/>
      <c r="BO66" s="1098"/>
      <c r="BP66" s="1098"/>
      <c r="BQ66" s="1098"/>
      <c r="BR66" s="1098"/>
      <c r="BS66" s="1098"/>
      <c r="BT66" s="1098"/>
      <c r="BU66" s="1098"/>
    </row>
    <row r="67" spans="1:73" x14ac:dyDescent="0.25">
      <c r="A67" s="1098"/>
      <c r="B67" s="1110">
        <f t="shared" si="6"/>
        <v>17</v>
      </c>
      <c r="C67" s="1218">
        <f>(C$72=1)*$F$3
+(C$72=2)*$F$3
+(C$72=3)
+(C$72=4)
+(C$72=5)</f>
        <v>1.05</v>
      </c>
      <c r="D67" s="1103">
        <v>1</v>
      </c>
      <c r="E67" s="1103">
        <v>1</v>
      </c>
      <c r="F67" s="1218">
        <f>(F$72=1)*$F$6
+(F$72=2)*$F$6
+(F$72=3)
+(F$72=4)
+(F$72=5)</f>
        <v>0.95</v>
      </c>
      <c r="G67" s="1218">
        <f>(G$72=1)*$F$7
+(G$72=2)*$F$7
+(G$72=3)
+(G$72=4)
+(G$72=5)</f>
        <v>1</v>
      </c>
      <c r="H67" s="1218">
        <f>(H$72=1)*$F$8
+(H$72=2)*$F$8
+(H$72=3)
+(H$72=4)
+(H$72=5)</f>
        <v>1</v>
      </c>
      <c r="I67" s="1218">
        <f>(I$72=1)*$F$9
+(I$72=2)*$F$9
+(I$72=3)
+(I$72=4)
+(I$72=5)</f>
        <v>1</v>
      </c>
      <c r="J67" s="1098"/>
      <c r="K67" s="1116">
        <v>1.4849455982621349</v>
      </c>
      <c r="L67" s="1117">
        <v>0</v>
      </c>
      <c r="M67" s="1117">
        <v>1.4855269712035048E-3</v>
      </c>
      <c r="N67" s="1117">
        <v>0.13669263319406894</v>
      </c>
      <c r="O67" s="1117">
        <v>0.11542154428818409</v>
      </c>
      <c r="P67" s="1117">
        <v>1.4955051627891068E-2</v>
      </c>
      <c r="Q67" s="1117">
        <v>8.559960205096654E-4</v>
      </c>
      <c r="R67" s="1117">
        <v>1.4821488594300653E-3</v>
      </c>
      <c r="S67" s="1117">
        <v>0.11380649817554532</v>
      </c>
      <c r="T67" s="1117">
        <v>0.78398707994455208</v>
      </c>
      <c r="U67" s="1117">
        <v>0</v>
      </c>
      <c r="V67" s="1117">
        <v>0.19900039086431734</v>
      </c>
      <c r="W67" s="1117">
        <v>8.9797767764394423E-2</v>
      </c>
      <c r="X67" s="1117">
        <v>2.6398093889316337E-2</v>
      </c>
      <c r="Y67" s="1117">
        <v>4.0339206051284377E-3</v>
      </c>
      <c r="Z67" s="1232"/>
      <c r="AA67" s="1098"/>
      <c r="AB67" s="1098"/>
      <c r="AC67" s="1098"/>
      <c r="AD67" s="1098"/>
      <c r="AE67" s="1098"/>
      <c r="AF67" s="1098"/>
      <c r="AG67" s="1098"/>
      <c r="AH67" s="1098"/>
      <c r="AI67" s="1098"/>
      <c r="AJ67" s="1098"/>
      <c r="AK67" s="1098"/>
      <c r="AL67" s="1098"/>
      <c r="AM67" s="1098"/>
      <c r="AN67" s="1098"/>
      <c r="AO67" s="1098"/>
      <c r="AP67" s="1098"/>
      <c r="AQ67" s="1098"/>
      <c r="AR67" s="1098"/>
      <c r="AS67" s="1098"/>
      <c r="AT67" s="1098"/>
      <c r="AU67" s="1098"/>
      <c r="AV67" s="1098"/>
      <c r="AW67" s="1098"/>
      <c r="AX67" s="1098"/>
      <c r="AY67" s="1098"/>
      <c r="AZ67" s="1098"/>
      <c r="BA67" s="1098"/>
      <c r="BB67" s="1098"/>
      <c r="BC67" s="1098"/>
      <c r="BD67" s="1098"/>
      <c r="BE67" s="1098"/>
      <c r="BF67" s="1098"/>
      <c r="BG67" s="1098"/>
      <c r="BH67" s="1098"/>
      <c r="BI67" s="1098"/>
      <c r="BJ67" s="1098"/>
      <c r="BK67" s="1098"/>
      <c r="BL67" s="1098"/>
      <c r="BM67" s="1098"/>
      <c r="BN67" s="1098"/>
      <c r="BO67" s="1098"/>
      <c r="BP67" s="1098"/>
      <c r="BQ67" s="1098"/>
      <c r="BR67" s="1098"/>
      <c r="BS67" s="1098"/>
      <c r="BT67" s="1098"/>
      <c r="BU67" s="1098"/>
    </row>
    <row r="68" spans="1:73" x14ac:dyDescent="0.25">
      <c r="A68" s="1098"/>
      <c r="B68" s="1118">
        <f t="shared" si="6"/>
        <v>18</v>
      </c>
      <c r="C68" s="1218">
        <f>(C$72=1)*$F$3
+(C$72=2)*$F$3
+(C$72=3)*$F$3
+(C$72=4)
+(C$72=5)</f>
        <v>1.05</v>
      </c>
      <c r="D68" s="1103">
        <v>1</v>
      </c>
      <c r="E68" s="1103">
        <v>1</v>
      </c>
      <c r="F68" s="1218">
        <f>(F$72=1)*$F$6
+(F$72=2)*$F$6
+(F$72=3)*$F$6
+(F$72=4)
+(F$72=5)</f>
        <v>0.95</v>
      </c>
      <c r="G68" s="1218">
        <f>(G$72=1)*$F$7
+(G$72=2)*$F$7
+(G$72=3)*$F$7
+(G$72=4)
+(G$72=5)</f>
        <v>1</v>
      </c>
      <c r="H68" s="1218">
        <f>(H$72=1)*$F$8
+(H$72=2)*$F$8
+(H$72=3)*$F$8
+(H$72=4)
+(H$72=5)</f>
        <v>0.95</v>
      </c>
      <c r="I68" s="1218">
        <f>(I$72=1)*$F$9
+(I$72=2)*$F$9
+(I$72=3)*$F$9
+(I$72=4)
+(I$72=5)</f>
        <v>1</v>
      </c>
      <c r="J68" s="1098"/>
      <c r="K68" s="1116">
        <v>1.4695032556748413</v>
      </c>
      <c r="L68" s="1117">
        <v>0</v>
      </c>
      <c r="M68" s="1117">
        <v>1.4112506226433294E-3</v>
      </c>
      <c r="N68" s="1117">
        <v>0.12984242405068031</v>
      </c>
      <c r="O68" s="1117">
        <v>0.11542154428818409</v>
      </c>
      <c r="P68" s="1117">
        <v>1.4903553149325089E-2</v>
      </c>
      <c r="Q68" s="1117">
        <v>8.559960205096654E-4</v>
      </c>
      <c r="R68" s="1117">
        <v>1.4078725108698901E-3</v>
      </c>
      <c r="S68" s="1117">
        <v>0.11003284826254928</v>
      </c>
      <c r="T68" s="1117">
        <v>0.78398707994455208</v>
      </c>
      <c r="U68" s="1117">
        <v>0</v>
      </c>
      <c r="V68" s="1117">
        <v>0.19900039086431734</v>
      </c>
      <c r="W68" s="1117">
        <v>8.5297646028337101E-2</v>
      </c>
      <c r="X68" s="1117">
        <v>2.63333863086192E-2</v>
      </c>
      <c r="Y68" s="1117">
        <v>3.8317648695393646E-3</v>
      </c>
      <c r="Z68" s="1232"/>
      <c r="AA68" s="1098"/>
      <c r="AB68" s="1098"/>
      <c r="AC68" s="1098"/>
      <c r="AD68" s="1098"/>
      <c r="AE68" s="1098"/>
      <c r="AF68" s="1098"/>
      <c r="AG68" s="1098"/>
      <c r="AH68" s="1098"/>
      <c r="AI68" s="1098"/>
      <c r="AJ68" s="1098"/>
      <c r="AK68" s="1098"/>
      <c r="AL68" s="1098"/>
      <c r="AM68" s="1098"/>
      <c r="AN68" s="1098"/>
      <c r="AO68" s="1098"/>
      <c r="AP68" s="1098"/>
      <c r="AQ68" s="1098"/>
      <c r="AR68" s="1098"/>
      <c r="AS68" s="1098"/>
      <c r="AT68" s="1098"/>
      <c r="AU68" s="1098"/>
      <c r="AV68" s="1098"/>
      <c r="AW68" s="1098"/>
      <c r="AX68" s="1098"/>
      <c r="AY68" s="1098"/>
      <c r="AZ68" s="1098"/>
      <c r="BA68" s="1098"/>
      <c r="BB68" s="1098"/>
      <c r="BC68" s="1098"/>
      <c r="BD68" s="1098"/>
      <c r="BE68" s="1098"/>
      <c r="BF68" s="1098"/>
      <c r="BG68" s="1098"/>
      <c r="BH68" s="1098"/>
      <c r="BI68" s="1098"/>
      <c r="BJ68" s="1098"/>
      <c r="BK68" s="1098"/>
      <c r="BL68" s="1098"/>
      <c r="BM68" s="1098"/>
      <c r="BN68" s="1098"/>
      <c r="BO68" s="1098"/>
      <c r="BP68" s="1098"/>
      <c r="BQ68" s="1098"/>
      <c r="BR68" s="1098"/>
      <c r="BS68" s="1098"/>
      <c r="BT68" s="1098"/>
      <c r="BU68" s="1098"/>
    </row>
    <row r="69" spans="1:73" x14ac:dyDescent="0.25">
      <c r="A69" s="1098"/>
      <c r="B69" s="1118">
        <f t="shared" si="6"/>
        <v>19</v>
      </c>
      <c r="C69" s="1218">
        <f>(C$72=1)*$F$3
+(C$72=2)*$F$3
+(C$72=3)*$F$3
+(C$72=4)*$F$3
+(C$72=5)</f>
        <v>1.05</v>
      </c>
      <c r="D69" s="1103">
        <v>1</v>
      </c>
      <c r="E69" s="1103">
        <v>1</v>
      </c>
      <c r="F69" s="1218">
        <f>(F$72=1)*$F$6
+(F$72=2)*$F$6
+(F$72=3)*$F$6
+(F$72=4)*$F$6
+(F$72=5)</f>
        <v>0.95</v>
      </c>
      <c r="G69" s="1218">
        <f>(G$72=1)*$F$7
+(G$72=2)*$F$7
+(G$72=3)*$F$7
+(G$72=4)*$F$7
+(G$72=5)</f>
        <v>1</v>
      </c>
      <c r="H69" s="1218">
        <f>(H$72=1)*$F$8
+(H$72=2)*$F$8
+(H$72=3)*$F$8
+(H$72=4)*$F$8
+(H$72=5)</f>
        <v>0.95</v>
      </c>
      <c r="I69" s="1218">
        <f>(I$72=1)*$F$9
+(I$72=2)*$F$9
+(I$72=3)*$F$9
+(I$72=4)*$F$9
+(I$72=5)</f>
        <v>0.95</v>
      </c>
      <c r="J69" s="1098"/>
      <c r="K69" s="1116">
        <v>1.4639005088269184</v>
      </c>
      <c r="L69" s="1117">
        <v>0</v>
      </c>
      <c r="M69" s="1117">
        <v>1.4112506226433294E-3</v>
      </c>
      <c r="N69" s="1117">
        <v>0.12984242405068031</v>
      </c>
      <c r="O69" s="1117">
        <v>0.11542154428818409</v>
      </c>
      <c r="P69" s="1117">
        <v>1.4828472996045786E-2</v>
      </c>
      <c r="Q69" s="1117">
        <v>8.559960205096654E-4</v>
      </c>
      <c r="R69" s="1117">
        <v>1.4078725108698901E-3</v>
      </c>
      <c r="S69" s="1117">
        <v>0.10453120584942177</v>
      </c>
      <c r="T69" s="1117">
        <v>0.78398707994455208</v>
      </c>
      <c r="U69" s="1117">
        <v>0</v>
      </c>
      <c r="V69" s="1117">
        <v>0.19900039086431734</v>
      </c>
      <c r="W69" s="1117">
        <v>8.5297646028337101E-2</v>
      </c>
      <c r="X69" s="1117">
        <v>2.6307362027102751E-2</v>
      </c>
      <c r="Y69" s="1117">
        <v>3.8317648695393646E-3</v>
      </c>
      <c r="Z69" s="1232"/>
      <c r="AA69" s="1098"/>
      <c r="AB69" s="1098"/>
      <c r="AC69" s="1098"/>
      <c r="AD69" s="1098"/>
      <c r="AE69" s="1098"/>
      <c r="AF69" s="1098"/>
      <c r="AG69" s="1098"/>
      <c r="AH69" s="1098"/>
      <c r="AI69" s="1098"/>
      <c r="AJ69" s="1098"/>
      <c r="AK69" s="1098"/>
      <c r="AL69" s="1098"/>
      <c r="AM69" s="1098"/>
      <c r="AN69" s="1098"/>
      <c r="AO69" s="1098"/>
      <c r="AP69" s="1098"/>
      <c r="AQ69" s="1098"/>
      <c r="AR69" s="1098"/>
      <c r="AS69" s="1098"/>
      <c r="AT69" s="1098"/>
      <c r="AU69" s="1098"/>
      <c r="AV69" s="1098"/>
      <c r="AW69" s="1098"/>
      <c r="AX69" s="1098"/>
      <c r="AY69" s="1098"/>
      <c r="AZ69" s="1098"/>
      <c r="BA69" s="1098"/>
      <c r="BB69" s="1098"/>
      <c r="BC69" s="1098"/>
      <c r="BD69" s="1098"/>
      <c r="BE69" s="1098"/>
      <c r="BF69" s="1098"/>
      <c r="BG69" s="1098"/>
      <c r="BH69" s="1098"/>
      <c r="BI69" s="1098"/>
      <c r="BJ69" s="1098"/>
      <c r="BK69" s="1098"/>
      <c r="BL69" s="1098"/>
      <c r="BM69" s="1098"/>
      <c r="BN69" s="1098"/>
      <c r="BO69" s="1098"/>
      <c r="BP69" s="1098"/>
      <c r="BQ69" s="1098"/>
      <c r="BR69" s="1098"/>
      <c r="BS69" s="1098"/>
      <c r="BT69" s="1098"/>
      <c r="BU69" s="1098"/>
    </row>
    <row r="70" spans="1:73" x14ac:dyDescent="0.25">
      <c r="A70" s="1098"/>
      <c r="B70" s="1110">
        <f t="shared" si="6"/>
        <v>20</v>
      </c>
      <c r="C70" s="1218">
        <f>(C$72=1)*$F$3
+(C$72=2)*$F$3
+(C$72=3)*$F$3
+(C$72=4)*$F$3
+(C$72=5)*$F$3</f>
        <v>1.05</v>
      </c>
      <c r="D70" s="1103">
        <v>1</v>
      </c>
      <c r="E70" s="1103">
        <v>1</v>
      </c>
      <c r="F70" s="1218">
        <f>(F$72=1)*$F$6
+(F$72=2)*$F$6
+(F$72=3)*$F$6
+(F$72=4)*$F$6
+(F$72=5)*$F$6</f>
        <v>0.95</v>
      </c>
      <c r="G70" s="1218">
        <f>(G$72=1)*$F$7
+(G$72=2)*$F$7
+(G$72=3)*$F$7
+(G$72=4)*$F$7
+(G$72=5)*$F$7</f>
        <v>0.95</v>
      </c>
      <c r="H70" s="1218">
        <f>(H$72=1)*$F$8
+(H$72=2)*$F$8
+(H$72=3)*$F$8
+(H$72=4)*$F$8
+(H$72=5)*$F$8</f>
        <v>0.95</v>
      </c>
      <c r="I70" s="1218">
        <f>(I$72=1)*$F$9
+(I$72=2)*$F$9
+(I$72=3)*$F$9
+(I$72=4)*$F$9
+(I$72=5)*$F$9</f>
        <v>0.95</v>
      </c>
      <c r="J70" s="1098"/>
      <c r="K70" s="1116">
        <v>1.4616049728262039</v>
      </c>
      <c r="L70" s="1117">
        <v>0</v>
      </c>
      <c r="M70" s="1117">
        <v>1.4112506226433294E-3</v>
      </c>
      <c r="N70" s="1117">
        <v>0.12984242405068031</v>
      </c>
      <c r="O70" s="1117">
        <v>0.11542154428818409</v>
      </c>
      <c r="P70" s="1117">
        <v>1.4797721577710787E-2</v>
      </c>
      <c r="Q70" s="1117">
        <v>8.559960205096654E-4</v>
      </c>
      <c r="R70" s="1117">
        <v>1.4078725108698901E-3</v>
      </c>
      <c r="S70" s="1117">
        <v>0.10453120584942177</v>
      </c>
      <c r="T70" s="1117">
        <v>0.78398707994455208</v>
      </c>
      <c r="U70" s="1117">
        <v>0</v>
      </c>
      <c r="V70" s="1117">
        <v>0.19674626533806486</v>
      </c>
      <c r="W70" s="1117">
        <v>8.5297646028337101E-2</v>
      </c>
      <c r="X70" s="1117">
        <v>2.6296702970976374E-2</v>
      </c>
      <c r="Y70" s="1117">
        <v>3.8317648695393646E-3</v>
      </c>
      <c r="Z70" s="1232"/>
      <c r="AA70" s="1098"/>
      <c r="AB70" s="1098"/>
      <c r="AC70" s="1098"/>
      <c r="AD70" s="1098"/>
      <c r="AE70" s="1098"/>
      <c r="AF70" s="1098"/>
      <c r="AG70" s="1098"/>
      <c r="AH70" s="1098"/>
      <c r="AI70" s="1098"/>
      <c r="AJ70" s="1098"/>
      <c r="AK70" s="1098"/>
      <c r="AL70" s="1098"/>
      <c r="AM70" s="1098"/>
      <c r="AN70" s="1098"/>
      <c r="AO70" s="1098"/>
      <c r="AP70" s="1098"/>
      <c r="AQ70" s="1098"/>
      <c r="AR70" s="1098"/>
      <c r="AS70" s="1098"/>
      <c r="AT70" s="1098"/>
      <c r="AU70" s="1098"/>
      <c r="AV70" s="1098"/>
      <c r="AW70" s="1098"/>
      <c r="AX70" s="1098"/>
      <c r="AY70" s="1098"/>
      <c r="AZ70" s="1098"/>
      <c r="BA70" s="1098"/>
      <c r="BB70" s="1098"/>
      <c r="BC70" s="1098"/>
      <c r="BD70" s="1098"/>
      <c r="BE70" s="1098"/>
      <c r="BF70" s="1098"/>
      <c r="BG70" s="1098"/>
      <c r="BH70" s="1098"/>
      <c r="BI70" s="1098"/>
      <c r="BJ70" s="1098"/>
      <c r="BK70" s="1098"/>
      <c r="BL70" s="1098"/>
      <c r="BM70" s="1098"/>
      <c r="BN70" s="1098"/>
      <c r="BO70" s="1098"/>
      <c r="BP70" s="1098"/>
      <c r="BQ70" s="1098"/>
      <c r="BR70" s="1098"/>
      <c r="BS70" s="1098"/>
      <c r="BT70" s="1098"/>
      <c r="BU70" s="1098"/>
    </row>
    <row r="71" spans="1:73" x14ac:dyDescent="0.25">
      <c r="A71" s="1098"/>
      <c r="B71" s="1098"/>
      <c r="C71" s="1098"/>
      <c r="D71" s="1098"/>
      <c r="E71" s="1098"/>
      <c r="F71" s="1098"/>
      <c r="G71" s="1098"/>
      <c r="H71" s="1098"/>
      <c r="I71" s="1098"/>
      <c r="J71" s="1098"/>
      <c r="K71" s="1098"/>
      <c r="L71" s="1098"/>
      <c r="M71" s="1098"/>
      <c r="N71" s="1098"/>
      <c r="O71" s="1098"/>
      <c r="P71" s="1098"/>
      <c r="Q71" s="1098"/>
      <c r="R71" s="1098"/>
      <c r="S71" s="1098"/>
      <c r="T71" s="1098"/>
      <c r="U71" s="1098"/>
      <c r="V71" s="1098"/>
      <c r="W71" s="1098"/>
      <c r="X71" s="1098"/>
      <c r="Y71" s="1098"/>
      <c r="Z71" s="1098"/>
      <c r="AA71" s="1098"/>
      <c r="AB71" s="1098"/>
      <c r="AC71" s="1098"/>
      <c r="AD71" s="1098"/>
      <c r="AE71" s="1098"/>
      <c r="AF71" s="1098"/>
      <c r="AG71" s="1098"/>
      <c r="AH71" s="1098"/>
      <c r="AI71" s="1098"/>
      <c r="AJ71" s="1098"/>
      <c r="AK71" s="1098"/>
      <c r="AL71" s="1098"/>
      <c r="AM71" s="1098"/>
      <c r="AN71" s="1098"/>
      <c r="AO71" s="1098"/>
      <c r="AP71" s="1098"/>
      <c r="AQ71" s="1098"/>
      <c r="AR71" s="1098"/>
      <c r="AS71" s="1098"/>
      <c r="AT71" s="1098"/>
      <c r="AU71" s="1098"/>
      <c r="AV71" s="1098"/>
      <c r="AW71" s="1098"/>
      <c r="AX71" s="1098"/>
      <c r="AY71" s="1098"/>
      <c r="AZ71" s="1098"/>
      <c r="BA71" s="1098"/>
      <c r="BB71" s="1098"/>
      <c r="BC71" s="1098"/>
      <c r="BD71" s="1098"/>
      <c r="BE71" s="1098"/>
      <c r="BF71" s="1098"/>
      <c r="BG71" s="1098"/>
      <c r="BH71" s="1098"/>
      <c r="BI71" s="1098"/>
      <c r="BJ71" s="1098"/>
      <c r="BK71" s="1098"/>
      <c r="BL71" s="1098"/>
      <c r="BM71" s="1098"/>
      <c r="BN71" s="1098"/>
      <c r="BO71" s="1098"/>
      <c r="BP71" s="1098"/>
      <c r="BQ71" s="1098"/>
      <c r="BR71" s="1098"/>
      <c r="BS71" s="1098"/>
      <c r="BT71" s="1098"/>
      <c r="BU71" s="1098"/>
    </row>
    <row r="72" spans="1:73" x14ac:dyDescent="0.25">
      <c r="A72" s="1098"/>
      <c r="B72" s="1226" t="s">
        <v>1183</v>
      </c>
      <c r="C72" s="1102">
        <f>6-RANK($N$101,($N$101,$N$104:$N$107))</f>
        <v>2</v>
      </c>
      <c r="D72" s="1227"/>
      <c r="E72" s="1227"/>
      <c r="F72" s="1102">
        <f>6-RANK($N$104,($N$101,$N$104:$N$107))</f>
        <v>1</v>
      </c>
      <c r="G72" s="1102">
        <f>6-RANK($N$105,($N$101,$N$104:$N$107))</f>
        <v>5</v>
      </c>
      <c r="H72" s="1102">
        <f>6-RANK($N$106,($N$101,$N$104:$N$107))</f>
        <v>3</v>
      </c>
      <c r="I72" s="1102">
        <f>6-RANK($N$107,($N$101,$N$104:$N$107))</f>
        <v>4</v>
      </c>
      <c r="J72" s="1098"/>
      <c r="K72" s="1098"/>
      <c r="L72" s="1098"/>
      <c r="M72" s="1098"/>
      <c r="N72" s="1098"/>
      <c r="O72" s="1098"/>
      <c r="P72" s="1098"/>
      <c r="Q72" s="1098"/>
      <c r="R72" s="1098"/>
      <c r="S72" s="1098"/>
      <c r="T72" s="1098"/>
      <c r="U72" s="1098"/>
      <c r="V72" s="1098"/>
      <c r="W72" s="1098"/>
      <c r="X72" s="1098"/>
      <c r="Y72" s="1098"/>
      <c r="Z72" s="1098"/>
      <c r="AA72" s="1098"/>
      <c r="AB72" s="1098"/>
      <c r="AC72" s="1098"/>
      <c r="AD72" s="1098"/>
      <c r="AE72" s="1098"/>
      <c r="AF72" s="1098"/>
      <c r="AG72" s="1098"/>
      <c r="AH72" s="1098"/>
      <c r="AI72" s="1098"/>
      <c r="AJ72" s="1098"/>
      <c r="AK72" s="1098"/>
      <c r="AL72" s="1098"/>
      <c r="AM72" s="1098"/>
      <c r="AN72" s="1098"/>
      <c r="AO72" s="1098"/>
      <c r="AP72" s="1098"/>
      <c r="AQ72" s="1098"/>
      <c r="AR72" s="1098"/>
      <c r="AS72" s="1098"/>
      <c r="AT72" s="1098"/>
      <c r="AU72" s="1098"/>
      <c r="AV72" s="1098"/>
      <c r="AW72" s="1098"/>
      <c r="AX72" s="1098"/>
      <c r="AY72" s="1098"/>
      <c r="AZ72" s="1098"/>
      <c r="BA72" s="1098"/>
      <c r="BB72" s="1098"/>
      <c r="BC72" s="1098"/>
      <c r="BD72" s="1098"/>
      <c r="BE72" s="1098"/>
      <c r="BF72" s="1098"/>
      <c r="BG72" s="1098"/>
      <c r="BH72" s="1098"/>
      <c r="BI72" s="1098"/>
      <c r="BJ72" s="1098"/>
      <c r="BK72" s="1098"/>
      <c r="BL72" s="1098"/>
      <c r="BM72" s="1098"/>
      <c r="BN72" s="1098"/>
      <c r="BO72" s="1098"/>
      <c r="BP72" s="1098"/>
      <c r="BQ72" s="1098"/>
      <c r="BR72" s="1098"/>
      <c r="BS72" s="1098"/>
      <c r="BT72" s="1098"/>
      <c r="BU72" s="1098"/>
    </row>
    <row r="73" spans="1:73" x14ac:dyDescent="0.25">
      <c r="A73" s="1098"/>
      <c r="B73" s="1098"/>
      <c r="C73" s="1098"/>
      <c r="D73" s="1098"/>
      <c r="E73" s="1098"/>
      <c r="F73" s="1098"/>
      <c r="G73" s="1098"/>
      <c r="H73" s="1098"/>
      <c r="I73" s="1098"/>
      <c r="J73" s="1098"/>
      <c r="K73" s="1098"/>
      <c r="L73" s="1098"/>
      <c r="M73" s="1098"/>
      <c r="N73" s="1098"/>
      <c r="O73" s="1098"/>
      <c r="P73" s="1098"/>
      <c r="Q73" s="1098"/>
      <c r="R73" s="1098"/>
      <c r="S73" s="1098"/>
      <c r="T73" s="1098"/>
      <c r="U73" s="1098"/>
      <c r="V73" s="1098"/>
      <c r="W73" s="1098"/>
      <c r="X73" s="1098"/>
      <c r="Y73" s="1098"/>
      <c r="Z73" s="1098"/>
      <c r="AA73" s="1098"/>
      <c r="AB73" s="1098"/>
      <c r="AC73" s="1098"/>
      <c r="AD73" s="1098"/>
      <c r="AE73" s="1098"/>
      <c r="AF73" s="1098"/>
      <c r="AG73" s="1098"/>
      <c r="AH73" s="1098"/>
      <c r="AI73" s="1098"/>
      <c r="AJ73" s="1098"/>
      <c r="AK73" s="1098"/>
      <c r="AL73" s="1098"/>
      <c r="AM73" s="1098"/>
      <c r="AN73" s="1098"/>
      <c r="AO73" s="1098"/>
      <c r="AP73" s="1098"/>
      <c r="AQ73" s="1098"/>
      <c r="AR73" s="1098"/>
      <c r="AS73" s="1098"/>
      <c r="AT73" s="1098"/>
      <c r="AU73" s="1098"/>
      <c r="AV73" s="1098"/>
      <c r="AW73" s="1098"/>
      <c r="AX73" s="1098"/>
      <c r="AY73" s="1098"/>
      <c r="AZ73" s="1098"/>
      <c r="BA73" s="1098"/>
      <c r="BB73" s="1098"/>
      <c r="BC73" s="1098"/>
      <c r="BD73" s="1098"/>
      <c r="BE73" s="1098"/>
      <c r="BF73" s="1098"/>
      <c r="BG73" s="1098"/>
      <c r="BH73" s="1098"/>
      <c r="BI73" s="1098"/>
      <c r="BJ73" s="1098"/>
      <c r="BK73" s="1098"/>
      <c r="BL73" s="1098"/>
      <c r="BM73" s="1098"/>
      <c r="BN73" s="1098"/>
      <c r="BO73" s="1098"/>
      <c r="BP73" s="1098"/>
      <c r="BQ73" s="1098"/>
      <c r="BR73" s="1098"/>
      <c r="BS73" s="1098"/>
      <c r="BT73" s="1098"/>
      <c r="BU73" s="1098"/>
    </row>
    <row r="74" spans="1:73" ht="13" x14ac:dyDescent="0.3">
      <c r="A74" s="1098"/>
      <c r="B74" s="1100" t="s">
        <v>1147</v>
      </c>
      <c r="C74" s="1098"/>
      <c r="D74" s="1098"/>
      <c r="E74" s="1098"/>
      <c r="F74" s="1098"/>
      <c r="G74" s="1098"/>
      <c r="H74" s="1098"/>
      <c r="I74" s="1098"/>
      <c r="J74" s="1098"/>
      <c r="K74" s="1098"/>
      <c r="L74" s="1098"/>
      <c r="M74" s="1098"/>
      <c r="N74" s="1098"/>
      <c r="O74" s="1098"/>
      <c r="P74" s="1098"/>
      <c r="Q74" s="1098"/>
      <c r="R74" s="1098"/>
      <c r="S74" s="1098"/>
      <c r="T74" s="1098"/>
      <c r="U74" s="1098"/>
      <c r="V74" s="1098"/>
      <c r="W74" s="1098"/>
      <c r="X74" s="1098"/>
      <c r="Y74" s="1098"/>
      <c r="Z74" s="1098"/>
      <c r="AA74" s="1098"/>
      <c r="AB74" s="1098"/>
      <c r="AC74" s="1098"/>
      <c r="AD74" s="1098"/>
      <c r="AE74" s="1098"/>
      <c r="AF74" s="1098"/>
      <c r="AG74" s="1098"/>
      <c r="AH74" s="1098"/>
      <c r="AI74" s="1098"/>
      <c r="AJ74" s="1098"/>
      <c r="AK74" s="1098"/>
      <c r="AL74" s="1098"/>
      <c r="AM74" s="1098"/>
      <c r="AN74" s="1098"/>
      <c r="AO74" s="1098"/>
      <c r="AP74" s="1098"/>
      <c r="AQ74" s="1098"/>
      <c r="AR74" s="1098"/>
      <c r="AS74" s="1098"/>
      <c r="AT74" s="1098"/>
      <c r="AU74" s="1098"/>
      <c r="AV74" s="1098"/>
      <c r="AW74" s="1098"/>
      <c r="AX74" s="1098"/>
      <c r="AY74" s="1098"/>
      <c r="AZ74" s="1098"/>
      <c r="BA74" s="1098"/>
      <c r="BB74" s="1098"/>
      <c r="BC74" s="1098"/>
      <c r="BD74" s="1098"/>
      <c r="BE74" s="1098"/>
      <c r="BF74" s="1098"/>
      <c r="BG74" s="1098"/>
      <c r="BH74" s="1098"/>
      <c r="BI74" s="1098"/>
      <c r="BJ74" s="1098"/>
      <c r="BK74" s="1098"/>
      <c r="BL74" s="1098"/>
      <c r="BM74" s="1098"/>
      <c r="BN74" s="1098"/>
      <c r="BO74" s="1098"/>
      <c r="BP74" s="1098"/>
      <c r="BQ74" s="1098"/>
      <c r="BR74" s="1098"/>
      <c r="BS74" s="1098"/>
      <c r="BT74" s="1098"/>
      <c r="BU74" s="1098"/>
    </row>
    <row r="75" spans="1:73" x14ac:dyDescent="0.25">
      <c r="A75" s="1098"/>
      <c r="B75" s="1098"/>
      <c r="C75" s="1098"/>
      <c r="D75" s="1098"/>
      <c r="E75" s="1098"/>
      <c r="F75" s="1098"/>
      <c r="G75" s="1098"/>
      <c r="H75" s="1098"/>
      <c r="I75" s="1098"/>
      <c r="J75" s="1098"/>
      <c r="K75" s="1098"/>
      <c r="L75" s="1098"/>
      <c r="M75" s="1098"/>
      <c r="N75" s="1098"/>
      <c r="O75" s="1098"/>
      <c r="P75" s="1098"/>
      <c r="Q75" s="1098"/>
      <c r="R75" s="1098"/>
      <c r="S75" s="1098"/>
      <c r="T75" s="1098"/>
      <c r="U75" s="1098"/>
      <c r="V75" s="1098"/>
      <c r="W75" s="1098"/>
      <c r="X75" s="1098"/>
      <c r="Y75" s="1098"/>
      <c r="Z75" s="1098"/>
      <c r="AA75" s="1098"/>
      <c r="AB75" s="1098"/>
      <c r="AC75" s="1098"/>
      <c r="AD75" s="1098"/>
      <c r="AE75" s="1098"/>
      <c r="AF75" s="1098"/>
      <c r="AG75" s="1098"/>
      <c r="AH75" s="1098"/>
      <c r="AI75" s="1098"/>
      <c r="AJ75" s="1098"/>
      <c r="AK75" s="1098"/>
      <c r="AL75" s="1098"/>
      <c r="AM75" s="1098"/>
      <c r="AN75" s="1098"/>
      <c r="AO75" s="1098"/>
      <c r="AP75" s="1098"/>
      <c r="AQ75" s="1098"/>
      <c r="AR75" s="1098"/>
      <c r="AS75" s="1098"/>
      <c r="AT75" s="1098"/>
      <c r="AU75" s="1098"/>
      <c r="AV75" s="1098"/>
      <c r="AW75" s="1098"/>
      <c r="AX75" s="1098"/>
      <c r="AY75" s="1098"/>
      <c r="AZ75" s="1098"/>
      <c r="BA75" s="1098"/>
      <c r="BB75" s="1098"/>
      <c r="BC75" s="1098"/>
      <c r="BD75" s="1098"/>
      <c r="BE75" s="1098"/>
      <c r="BF75" s="1098"/>
      <c r="BG75" s="1098"/>
      <c r="BH75" s="1098"/>
      <c r="BI75" s="1098"/>
      <c r="BJ75" s="1098"/>
      <c r="BK75" s="1098"/>
      <c r="BL75" s="1098"/>
      <c r="BM75" s="1098"/>
      <c r="BN75" s="1098"/>
      <c r="BO75" s="1098"/>
      <c r="BP75" s="1098"/>
      <c r="BQ75" s="1098"/>
      <c r="BR75" s="1098"/>
      <c r="BS75" s="1098"/>
      <c r="BT75" s="1098"/>
      <c r="BU75" s="1098"/>
    </row>
    <row r="76" spans="1:73" ht="52" x14ac:dyDescent="0.3">
      <c r="A76" s="1098"/>
      <c r="B76" s="1109" t="s">
        <v>1144</v>
      </c>
      <c r="C76" s="1109" t="s">
        <v>1145</v>
      </c>
      <c r="D76" s="1109" t="s">
        <v>1146</v>
      </c>
      <c r="E76" s="1109" t="s">
        <v>1133</v>
      </c>
      <c r="F76" s="1109" t="s">
        <v>1134</v>
      </c>
      <c r="G76" s="1109" t="s">
        <v>993</v>
      </c>
      <c r="H76" s="1109" t="s">
        <v>122</v>
      </c>
      <c r="I76" s="1109" t="s">
        <v>123</v>
      </c>
      <c r="J76" s="1109" t="s">
        <v>1172</v>
      </c>
      <c r="K76" s="1109" t="s">
        <v>135</v>
      </c>
      <c r="L76" s="1109" t="s">
        <v>84</v>
      </c>
      <c r="M76" s="1109" t="s">
        <v>136</v>
      </c>
      <c r="N76" s="1109" t="s">
        <v>1132</v>
      </c>
      <c r="O76" s="1109" t="s">
        <v>137</v>
      </c>
      <c r="P76" s="1109" t="s">
        <v>138</v>
      </c>
      <c r="Q76" s="1109" t="s">
        <v>139</v>
      </c>
      <c r="R76" s="1109" t="s">
        <v>1138</v>
      </c>
      <c r="S76" s="1109" t="s">
        <v>45</v>
      </c>
      <c r="T76" s="1098"/>
      <c r="U76" s="1098"/>
      <c r="V76" s="1098"/>
      <c r="W76" s="1098"/>
      <c r="X76" s="1098"/>
      <c r="Y76" s="1098"/>
      <c r="Z76" s="1098"/>
      <c r="AA76" s="1098"/>
      <c r="AB76" s="1098"/>
      <c r="AC76" s="1098"/>
      <c r="AD76" s="1098"/>
      <c r="AE76" s="1098"/>
      <c r="AF76" s="1098"/>
      <c r="AG76" s="1098"/>
      <c r="AH76" s="1098"/>
      <c r="AI76" s="1098"/>
      <c r="AJ76" s="1098"/>
      <c r="AK76" s="1098"/>
      <c r="AL76" s="1098"/>
      <c r="AM76" s="1098"/>
      <c r="AN76" s="1098"/>
      <c r="AO76" s="1098"/>
      <c r="AP76" s="1098"/>
      <c r="AQ76" s="1098"/>
      <c r="AR76" s="1098"/>
      <c r="AS76" s="1098"/>
      <c r="AT76" s="1098"/>
      <c r="AU76" s="1098"/>
      <c r="AV76" s="1098"/>
      <c r="AW76" s="1098"/>
      <c r="AX76" s="1098"/>
      <c r="AY76" s="1098"/>
      <c r="AZ76" s="1098"/>
      <c r="BA76" s="1098"/>
      <c r="BB76" s="1098"/>
      <c r="BC76" s="1098"/>
      <c r="BD76" s="1098"/>
      <c r="BE76" s="1098"/>
      <c r="BF76" s="1098"/>
      <c r="BG76" s="1098"/>
      <c r="BH76" s="1098"/>
      <c r="BI76" s="1098"/>
      <c r="BJ76" s="1098"/>
      <c r="BK76" s="1098"/>
      <c r="BL76" s="1098"/>
      <c r="BM76" s="1098"/>
      <c r="BN76" s="1098"/>
      <c r="BO76" s="1098"/>
      <c r="BP76" s="1098"/>
      <c r="BQ76" s="1098"/>
      <c r="BR76" s="1098"/>
      <c r="BS76" s="1098"/>
      <c r="BT76" s="1098"/>
      <c r="BU76" s="1098"/>
    </row>
    <row r="77" spans="1:73" x14ac:dyDescent="0.25">
      <c r="A77" s="1098"/>
      <c r="B77" s="1102" t="str">
        <f>+$B$3</f>
        <v>Operating Capacity Factor</v>
      </c>
      <c r="C77" s="1111">
        <f ca="1">+H3</f>
        <v>0.94500000000000006</v>
      </c>
      <c r="D77" s="1111" t="str">
        <f ca="1">+B77&amp;" = "&amp;C77*100&amp;"%"</f>
        <v>Operating Capacity Factor = 94.5%</v>
      </c>
      <c r="E77" s="1115">
        <f t="shared" ref="E77:S77" si="7">+K52</f>
        <v>1.5348626802275835</v>
      </c>
      <c r="F77" s="1115">
        <f t="shared" si="7"/>
        <v>0</v>
      </c>
      <c r="G77" s="1115">
        <f t="shared" si="7"/>
        <v>1.4912537006559169E-3</v>
      </c>
      <c r="H77" s="1115">
        <f t="shared" si="7"/>
        <v>0.13722078643823177</v>
      </c>
      <c r="I77" s="1115">
        <f t="shared" si="7"/>
        <v>0.11889909952028908</v>
      </c>
      <c r="J77" s="1115">
        <f t="shared" si="7"/>
        <v>1.5556671558787196E-2</v>
      </c>
      <c r="K77" s="1115">
        <f t="shared" si="7"/>
        <v>8.559960205096654E-4</v>
      </c>
      <c r="L77" s="1115">
        <f t="shared" si="7"/>
        <v>1.4878755888824771E-3</v>
      </c>
      <c r="M77" s="1115">
        <f t="shared" si="7"/>
        <v>0.11409744775126834</v>
      </c>
      <c r="N77" s="1115">
        <f t="shared" si="7"/>
        <v>0.82524955783637055</v>
      </c>
      <c r="O77" s="1115">
        <f t="shared" si="7"/>
        <v>0</v>
      </c>
      <c r="P77" s="1115">
        <f t="shared" si="7"/>
        <v>0.20158017267247702</v>
      </c>
      <c r="Q77" s="1115">
        <f t="shared" si="7"/>
        <v>9.0144728542419741E-2</v>
      </c>
      <c r="R77" s="1115">
        <f t="shared" si="7"/>
        <v>2.7212091124119719E-2</v>
      </c>
      <c r="S77" s="1115">
        <f t="shared" si="7"/>
        <v>4.0495068748820475E-3</v>
      </c>
      <c r="T77" s="1098"/>
      <c r="U77" s="1098"/>
      <c r="V77" s="1098"/>
      <c r="W77" s="1098"/>
      <c r="X77" s="1098"/>
      <c r="Y77" s="1098"/>
      <c r="Z77" s="1098"/>
      <c r="AA77" s="1098"/>
      <c r="AB77" s="1098"/>
      <c r="AC77" s="1098"/>
      <c r="AD77" s="1098"/>
      <c r="AE77" s="1098"/>
      <c r="AF77" s="1098"/>
      <c r="AG77" s="1098"/>
      <c r="AH77" s="1098"/>
      <c r="AI77" s="1098"/>
      <c r="AJ77" s="1098"/>
      <c r="AK77" s="1098"/>
      <c r="AL77" s="1098"/>
      <c r="AM77" s="1098"/>
      <c r="AN77" s="1098"/>
      <c r="AO77" s="1098"/>
      <c r="AP77" s="1098"/>
      <c r="AQ77" s="1098"/>
      <c r="AR77" s="1098"/>
      <c r="AS77" s="1098"/>
      <c r="AT77" s="1098"/>
      <c r="AU77" s="1098"/>
      <c r="AV77" s="1098"/>
      <c r="AW77" s="1098"/>
      <c r="AX77" s="1098"/>
      <c r="AY77" s="1098"/>
      <c r="AZ77" s="1098"/>
      <c r="BA77" s="1098"/>
      <c r="BB77" s="1098"/>
      <c r="BC77" s="1098"/>
      <c r="BD77" s="1098"/>
      <c r="BE77" s="1098"/>
      <c r="BF77" s="1098"/>
      <c r="BG77" s="1098"/>
      <c r="BH77" s="1098"/>
      <c r="BI77" s="1098"/>
      <c r="BJ77" s="1098"/>
      <c r="BK77" s="1098"/>
      <c r="BL77" s="1098"/>
      <c r="BM77" s="1098"/>
      <c r="BN77" s="1098"/>
      <c r="BO77" s="1098"/>
      <c r="BP77" s="1098"/>
      <c r="BQ77" s="1098"/>
      <c r="BR77" s="1098"/>
      <c r="BS77" s="1098"/>
      <c r="BT77" s="1098"/>
      <c r="BU77" s="1098"/>
    </row>
    <row r="78" spans="1:73" x14ac:dyDescent="0.25">
      <c r="A78" s="1098"/>
      <c r="B78" s="1102" t="str">
        <f t="shared" ref="B78:B79" si="8">+$B$3</f>
        <v>Operating Capacity Factor</v>
      </c>
      <c r="C78" s="1111">
        <f ca="1">+C3</f>
        <v>0.9</v>
      </c>
      <c r="D78" s="1102" t="str">
        <f t="shared" ref="D78:D79" ca="1" si="9">+B78&amp;" = "&amp;C78*100&amp;"%"</f>
        <v>Operating Capacity Factor = 90%</v>
      </c>
      <c r="E78" s="1115">
        <f t="shared" ref="E78:S78" si="10">+K$51</f>
        <v>1.5582197865293927</v>
      </c>
      <c r="F78" s="1115">
        <f t="shared" si="10"/>
        <v>0</v>
      </c>
      <c r="G78" s="1115">
        <f t="shared" si="10"/>
        <v>1.5603382608962266E-3</v>
      </c>
      <c r="H78" s="1115">
        <f t="shared" si="10"/>
        <v>0.1435766003247316</v>
      </c>
      <c r="I78" s="1115">
        <f t="shared" si="10"/>
        <v>0.12137220296106475</v>
      </c>
      <c r="J78" s="1115">
        <f t="shared" si="10"/>
        <v>1.5685799462749842E-2</v>
      </c>
      <c r="K78" s="1115">
        <f t="shared" si="10"/>
        <v>8.987958215351488E-4</v>
      </c>
      <c r="L78" s="1115">
        <f t="shared" si="10"/>
        <v>1.5567912435341155E-3</v>
      </c>
      <c r="M78" s="1115">
        <f t="shared" si="10"/>
        <v>0.11952400105681882</v>
      </c>
      <c r="N78" s="1115">
        <f t="shared" si="10"/>
        <v>0.82524955783637077</v>
      </c>
      <c r="O78" s="1115">
        <f t="shared" si="10"/>
        <v>0</v>
      </c>
      <c r="P78" s="1115">
        <f t="shared" si="10"/>
        <v>0.20561571448089225</v>
      </c>
      <c r="Q78" s="1115">
        <f t="shared" si="10"/>
        <v>9.432006620325277E-2</v>
      </c>
      <c r="R78" s="1115">
        <f t="shared" si="10"/>
        <v>2.7743522830533017E-2</v>
      </c>
      <c r="S78" s="1115">
        <f t="shared" si="10"/>
        <v>4.2370725688043549E-3</v>
      </c>
      <c r="T78" s="1098"/>
      <c r="U78" s="1098"/>
      <c r="V78" s="1098"/>
      <c r="W78" s="1098"/>
      <c r="X78" s="1098"/>
      <c r="Y78" s="1098"/>
      <c r="Z78" s="1098"/>
      <c r="AA78" s="1098"/>
      <c r="AB78" s="1098"/>
      <c r="AC78" s="1098"/>
      <c r="AD78" s="1098"/>
      <c r="AE78" s="1098"/>
      <c r="AF78" s="1098"/>
      <c r="AG78" s="1098"/>
      <c r="AH78" s="1098"/>
      <c r="AI78" s="1098"/>
      <c r="AJ78" s="1098"/>
      <c r="AK78" s="1098"/>
      <c r="AL78" s="1098"/>
      <c r="AM78" s="1098"/>
      <c r="AN78" s="1098"/>
      <c r="AO78" s="1098"/>
      <c r="AP78" s="1098"/>
      <c r="AQ78" s="1098"/>
      <c r="AR78" s="1098"/>
      <c r="AS78" s="1098"/>
      <c r="AT78" s="1098"/>
      <c r="AU78" s="1098"/>
      <c r="AV78" s="1098"/>
      <c r="AW78" s="1098"/>
      <c r="AX78" s="1098"/>
      <c r="AY78" s="1098"/>
      <c r="AZ78" s="1098"/>
      <c r="BA78" s="1098"/>
      <c r="BB78" s="1098"/>
      <c r="BC78" s="1098"/>
      <c r="BD78" s="1098"/>
      <c r="BE78" s="1098"/>
      <c r="BF78" s="1098"/>
      <c r="BG78" s="1098"/>
      <c r="BH78" s="1098"/>
      <c r="BI78" s="1098"/>
      <c r="BJ78" s="1098"/>
      <c r="BK78" s="1098"/>
      <c r="BL78" s="1098"/>
      <c r="BM78" s="1098"/>
      <c r="BN78" s="1098"/>
      <c r="BO78" s="1098"/>
      <c r="BP78" s="1098"/>
      <c r="BQ78" s="1098"/>
      <c r="BR78" s="1098"/>
      <c r="BS78" s="1098"/>
      <c r="BT78" s="1098"/>
      <c r="BU78" s="1098"/>
    </row>
    <row r="79" spans="1:73" x14ac:dyDescent="0.25">
      <c r="A79" s="1098"/>
      <c r="B79" s="1102" t="str">
        <f t="shared" si="8"/>
        <v>Operating Capacity Factor</v>
      </c>
      <c r="C79" s="1111">
        <f ca="1">+I3</f>
        <v>0.85499999999999998</v>
      </c>
      <c r="D79" s="1102" t="str">
        <f t="shared" ca="1" si="9"/>
        <v>Operating Capacity Factor = 85.5%</v>
      </c>
      <c r="E79" s="1115">
        <f t="shared" ref="E79:S80" si="11">+K53</f>
        <v>1.5837982922296741</v>
      </c>
      <c r="F79" s="1115">
        <f t="shared" si="11"/>
        <v>0</v>
      </c>
      <c r="G79" s="1115">
        <f t="shared" si="11"/>
        <v>1.6361788102070348E-3</v>
      </c>
      <c r="H79" s="1115">
        <f t="shared" si="11"/>
        <v>0.15055385219869918</v>
      </c>
      <c r="I79" s="1115">
        <f t="shared" si="11"/>
        <v>0.12403020514642495</v>
      </c>
      <c r="J79" s="1115">
        <f t="shared" si="11"/>
        <v>1.5827606294927837E-2</v>
      </c>
      <c r="K79" s="1115">
        <f t="shared" si="11"/>
        <v>9.4610086477384082E-4</v>
      </c>
      <c r="L79" s="1115">
        <f t="shared" si="11"/>
        <v>1.6324451077206019E-3</v>
      </c>
      <c r="M79" s="1115">
        <f t="shared" si="11"/>
        <v>0.12549555129032774</v>
      </c>
      <c r="N79" s="1115">
        <f t="shared" si="11"/>
        <v>0.82524955783637044</v>
      </c>
      <c r="O79" s="1115">
        <f t="shared" si="11"/>
        <v>0</v>
      </c>
      <c r="P79" s="1115">
        <f t="shared" si="11"/>
        <v>0.21003533217222101</v>
      </c>
      <c r="Q79" s="1115">
        <f t="shared" si="11"/>
        <v>9.8903646377048182E-2</v>
      </c>
      <c r="R79" s="1115">
        <f t="shared" si="11"/>
        <v>2.8317196303535606E-2</v>
      </c>
      <c r="S79" s="1115">
        <f t="shared" si="11"/>
        <v>4.4429774478303456E-3</v>
      </c>
      <c r="T79" s="1098"/>
      <c r="U79" s="1098"/>
      <c r="V79" s="1098"/>
      <c r="W79" s="1098"/>
      <c r="X79" s="1098"/>
      <c r="Y79" s="1098"/>
      <c r="Z79" s="1098"/>
      <c r="AA79" s="1098"/>
      <c r="AB79" s="1098"/>
      <c r="AC79" s="1098"/>
      <c r="AD79" s="1098"/>
      <c r="AE79" s="1098"/>
      <c r="AF79" s="1098"/>
      <c r="AG79" s="1098"/>
      <c r="AH79" s="1098"/>
      <c r="AI79" s="1098"/>
      <c r="AJ79" s="1098"/>
      <c r="AK79" s="1098"/>
      <c r="AL79" s="1098"/>
      <c r="AM79" s="1098"/>
      <c r="AN79" s="1098"/>
      <c r="AO79" s="1098"/>
      <c r="AP79" s="1098"/>
      <c r="AQ79" s="1098"/>
      <c r="AR79" s="1098"/>
      <c r="AS79" s="1098"/>
      <c r="AT79" s="1098"/>
      <c r="AU79" s="1098"/>
      <c r="AV79" s="1098"/>
      <c r="AW79" s="1098"/>
      <c r="AX79" s="1098"/>
      <c r="AY79" s="1098"/>
      <c r="AZ79" s="1098"/>
      <c r="BA79" s="1098"/>
      <c r="BB79" s="1098"/>
      <c r="BC79" s="1098"/>
      <c r="BD79" s="1098"/>
      <c r="BE79" s="1098"/>
      <c r="BF79" s="1098"/>
      <c r="BG79" s="1098"/>
      <c r="BH79" s="1098"/>
      <c r="BI79" s="1098"/>
      <c r="BJ79" s="1098"/>
      <c r="BK79" s="1098"/>
      <c r="BL79" s="1098"/>
      <c r="BM79" s="1098"/>
      <c r="BN79" s="1098"/>
      <c r="BO79" s="1098"/>
      <c r="BP79" s="1098"/>
      <c r="BQ79" s="1098"/>
      <c r="BR79" s="1098"/>
      <c r="BS79" s="1098"/>
      <c r="BT79" s="1098"/>
      <c r="BU79" s="1098"/>
    </row>
    <row r="80" spans="1:73" x14ac:dyDescent="0.25">
      <c r="A80" s="1098"/>
      <c r="B80" s="1102" t="str">
        <f>+$B$4</f>
        <v>Plant Design Capacity (kg of H2/day)</v>
      </c>
      <c r="C80" s="1120">
        <f ca="1">ROUND(H4,0)</f>
        <v>398356</v>
      </c>
      <c r="D80" s="1102" t="str">
        <f ca="1">+B80&amp;" = "&amp;TEXT(C80,"0,000")</f>
        <v>Plant Design Capacity (kg of H2/day) = 398,356</v>
      </c>
      <c r="E80" s="1115">
        <f t="shared" si="11"/>
        <v>1.5440945172151936</v>
      </c>
      <c r="F80" s="1115">
        <f t="shared" si="11"/>
        <v>0</v>
      </c>
      <c r="G80" s="1115">
        <f t="shared" si="11"/>
        <v>1.5177720394748549E-3</v>
      </c>
      <c r="H80" s="1115">
        <f t="shared" si="11"/>
        <v>0.13965721111896354</v>
      </c>
      <c r="I80" s="1115">
        <f t="shared" si="11"/>
        <v>0.11924128709371848</v>
      </c>
      <c r="J80" s="1115">
        <f t="shared" si="11"/>
        <v>1.5619260240447509E-2</v>
      </c>
      <c r="K80" s="1115">
        <f t="shared" si="11"/>
        <v>8.8142492042780571E-4</v>
      </c>
      <c r="L80" s="1115">
        <f t="shared" si="11"/>
        <v>1.5142935748210973E-3</v>
      </c>
      <c r="M80" s="1115">
        <f t="shared" si="11"/>
        <v>0.11609376862927953</v>
      </c>
      <c r="N80" s="1115">
        <f t="shared" si="11"/>
        <v>0.82524955783637055</v>
      </c>
      <c r="O80" s="1115">
        <f t="shared" si="11"/>
        <v>0</v>
      </c>
      <c r="P80" s="1115">
        <f t="shared" si="11"/>
        <v>0.20417015763647942</v>
      </c>
      <c r="Q80" s="1115">
        <f t="shared" si="11"/>
        <v>9.1745293931669136E-2</v>
      </c>
      <c r="R80" s="1115">
        <f t="shared" si="11"/>
        <v>2.7318626348570359E-2</v>
      </c>
      <c r="S80" s="1115">
        <f t="shared" si="11"/>
        <v>4.1214079239202455E-3</v>
      </c>
      <c r="T80" s="1098"/>
      <c r="U80" s="1098"/>
      <c r="V80" s="1098"/>
      <c r="W80" s="1098"/>
      <c r="X80" s="1098"/>
      <c r="Y80" s="1098"/>
      <c r="Z80" s="1098"/>
      <c r="AA80" s="1098"/>
      <c r="AB80" s="1098"/>
      <c r="AC80" s="1098"/>
      <c r="AD80" s="1098"/>
      <c r="AE80" s="1098"/>
      <c r="AF80" s="1098"/>
      <c r="AG80" s="1098"/>
      <c r="AH80" s="1098"/>
      <c r="AI80" s="1098"/>
      <c r="AJ80" s="1098"/>
      <c r="AK80" s="1098"/>
      <c r="AL80" s="1098"/>
      <c r="AM80" s="1098"/>
      <c r="AN80" s="1098"/>
      <c r="AO80" s="1098"/>
      <c r="AP80" s="1098"/>
      <c r="AQ80" s="1098"/>
      <c r="AR80" s="1098"/>
      <c r="AS80" s="1098"/>
      <c r="AT80" s="1098"/>
      <c r="AU80" s="1098"/>
      <c r="AV80" s="1098"/>
      <c r="AW80" s="1098"/>
      <c r="AX80" s="1098"/>
      <c r="AY80" s="1098"/>
      <c r="AZ80" s="1098"/>
      <c r="BA80" s="1098"/>
      <c r="BB80" s="1098"/>
      <c r="BC80" s="1098"/>
      <c r="BD80" s="1098"/>
      <c r="BE80" s="1098"/>
      <c r="BF80" s="1098"/>
      <c r="BG80" s="1098"/>
      <c r="BH80" s="1098"/>
      <c r="BI80" s="1098"/>
      <c r="BJ80" s="1098"/>
      <c r="BK80" s="1098"/>
      <c r="BL80" s="1098"/>
      <c r="BM80" s="1098"/>
      <c r="BN80" s="1098"/>
      <c r="BO80" s="1098"/>
      <c r="BP80" s="1098"/>
      <c r="BQ80" s="1098"/>
      <c r="BR80" s="1098"/>
      <c r="BS80" s="1098"/>
      <c r="BT80" s="1098"/>
      <c r="BU80" s="1098"/>
    </row>
    <row r="81" spans="1:73" x14ac:dyDescent="0.25">
      <c r="A81" s="1098"/>
      <c r="B81" s="1102" t="str">
        <f t="shared" ref="B81:B82" si="12">+$B$4</f>
        <v>Plant Design Capacity (kg of H2/day)</v>
      </c>
      <c r="C81" s="1120">
        <f ca="1">+ROUND(C4,0)</f>
        <v>379387</v>
      </c>
      <c r="D81" s="1102" t="str">
        <f t="shared" ref="D81:D82" ca="1" si="13">+B81&amp;" = "&amp;TEXT(C81,"0,000")</f>
        <v>Plant Design Capacity (kg of H2/day) = 379,387</v>
      </c>
      <c r="E81" s="1115">
        <f t="shared" ref="E81:S81" si="14">+K$51</f>
        <v>1.5582197865293927</v>
      </c>
      <c r="F81" s="1115">
        <f t="shared" si="14"/>
        <v>0</v>
      </c>
      <c r="G81" s="1115">
        <f t="shared" si="14"/>
        <v>1.5603382608962266E-3</v>
      </c>
      <c r="H81" s="1115">
        <f t="shared" si="14"/>
        <v>0.1435766003247316</v>
      </c>
      <c r="I81" s="1115">
        <f t="shared" si="14"/>
        <v>0.12137220296106475</v>
      </c>
      <c r="J81" s="1115">
        <f t="shared" si="14"/>
        <v>1.5685799462749842E-2</v>
      </c>
      <c r="K81" s="1115">
        <f t="shared" si="14"/>
        <v>8.987958215351488E-4</v>
      </c>
      <c r="L81" s="1115">
        <f t="shared" si="14"/>
        <v>1.5567912435341155E-3</v>
      </c>
      <c r="M81" s="1115">
        <f t="shared" si="14"/>
        <v>0.11952400105681882</v>
      </c>
      <c r="N81" s="1115">
        <f t="shared" si="14"/>
        <v>0.82524955783637077</v>
      </c>
      <c r="O81" s="1115">
        <f t="shared" si="14"/>
        <v>0</v>
      </c>
      <c r="P81" s="1115">
        <f t="shared" si="14"/>
        <v>0.20561571448089225</v>
      </c>
      <c r="Q81" s="1115">
        <f t="shared" si="14"/>
        <v>9.432006620325277E-2</v>
      </c>
      <c r="R81" s="1115">
        <f t="shared" si="14"/>
        <v>2.7743522830533017E-2</v>
      </c>
      <c r="S81" s="1115">
        <f t="shared" si="14"/>
        <v>4.2370725688043549E-3</v>
      </c>
      <c r="T81" s="1098"/>
      <c r="U81" s="1098"/>
      <c r="V81" s="1098"/>
      <c r="W81" s="1098"/>
      <c r="X81" s="1098"/>
      <c r="Y81" s="1098"/>
      <c r="Z81" s="1098"/>
      <c r="AA81" s="1098"/>
      <c r="AB81" s="1098"/>
      <c r="AC81" s="1098"/>
      <c r="AD81" s="1098"/>
      <c r="AE81" s="1098"/>
      <c r="AF81" s="1098"/>
      <c r="AG81" s="1098"/>
      <c r="AH81" s="1098"/>
      <c r="AI81" s="1098"/>
      <c r="AJ81" s="1098"/>
      <c r="AK81" s="1098"/>
      <c r="AL81" s="1098"/>
      <c r="AM81" s="1098"/>
      <c r="AN81" s="1098"/>
      <c r="AO81" s="1098"/>
      <c r="AP81" s="1098"/>
      <c r="AQ81" s="1098"/>
      <c r="AR81" s="1098"/>
      <c r="AS81" s="1098"/>
      <c r="AT81" s="1098"/>
      <c r="AU81" s="1098"/>
      <c r="AV81" s="1098"/>
      <c r="AW81" s="1098"/>
      <c r="AX81" s="1098"/>
      <c r="AY81" s="1098"/>
      <c r="AZ81" s="1098"/>
      <c r="BA81" s="1098"/>
      <c r="BB81" s="1098"/>
      <c r="BC81" s="1098"/>
      <c r="BD81" s="1098"/>
      <c r="BE81" s="1098"/>
      <c r="BF81" s="1098"/>
      <c r="BG81" s="1098"/>
      <c r="BH81" s="1098"/>
      <c r="BI81" s="1098"/>
      <c r="BJ81" s="1098"/>
      <c r="BK81" s="1098"/>
      <c r="BL81" s="1098"/>
      <c r="BM81" s="1098"/>
      <c r="BN81" s="1098"/>
      <c r="BO81" s="1098"/>
      <c r="BP81" s="1098"/>
      <c r="BQ81" s="1098"/>
      <c r="BR81" s="1098"/>
      <c r="BS81" s="1098"/>
      <c r="BT81" s="1098"/>
      <c r="BU81" s="1098"/>
    </row>
    <row r="82" spans="1:73" x14ac:dyDescent="0.25">
      <c r="A82" s="1098"/>
      <c r="B82" s="1102" t="str">
        <f t="shared" si="12"/>
        <v>Plant Design Capacity (kg of H2/day)</v>
      </c>
      <c r="C82" s="1120">
        <f ca="1">ROUND(I4,0)</f>
        <v>360418</v>
      </c>
      <c r="D82" s="1102" t="str">
        <f t="shared" ca="1" si="13"/>
        <v>Plant Design Capacity (kg of H2/day) = 360,418</v>
      </c>
      <c r="E82" s="1115">
        <f t="shared" ref="E82:S83" si="15">+K55</f>
        <v>1.5734415536126003</v>
      </c>
      <c r="F82" s="1115">
        <f t="shared" si="15"/>
        <v>0</v>
      </c>
      <c r="G82" s="1115">
        <f t="shared" si="15"/>
        <v>1.6062819276984263E-3</v>
      </c>
      <c r="H82" s="1115">
        <f t="shared" si="15"/>
        <v>0.14780701898736265</v>
      </c>
      <c r="I82" s="1115">
        <f t="shared" si="15"/>
        <v>0.12364442174887701</v>
      </c>
      <c r="J82" s="1115">
        <f t="shared" si="15"/>
        <v>1.5757730679198067E-2</v>
      </c>
      <c r="K82" s="1115">
        <f t="shared" si="15"/>
        <v>9.1742718017115757E-4</v>
      </c>
      <c r="L82" s="1115">
        <f t="shared" si="15"/>
        <v>1.6026613833450025E-3</v>
      </c>
      <c r="M82" s="1115">
        <f t="shared" si="15"/>
        <v>0.12323789567528204</v>
      </c>
      <c r="N82" s="1115">
        <f t="shared" si="15"/>
        <v>0.82524955783637088</v>
      </c>
      <c r="O82" s="1115">
        <f t="shared" si="15"/>
        <v>0</v>
      </c>
      <c r="P82" s="1115">
        <f t="shared" si="15"/>
        <v>0.20717271785771227</v>
      </c>
      <c r="Q82" s="1115">
        <f t="shared" si="15"/>
        <v>9.7099163684488357E-2</v>
      </c>
      <c r="R82" s="1115">
        <f t="shared" si="15"/>
        <v>2.8197324539207081E-2</v>
      </c>
      <c r="S82" s="1115">
        <f t="shared" si="15"/>
        <v>4.361915968282064E-3</v>
      </c>
      <c r="T82" s="1098"/>
      <c r="U82" s="1098"/>
      <c r="V82" s="1098"/>
      <c r="W82" s="1098"/>
      <c r="X82" s="1098"/>
      <c r="Y82" s="1098"/>
      <c r="Z82" s="1098"/>
      <c r="AA82" s="1098"/>
      <c r="AB82" s="1098"/>
      <c r="AC82" s="1098"/>
      <c r="AD82" s="1098"/>
      <c r="AE82" s="1098"/>
      <c r="AF82" s="1098"/>
      <c r="AG82" s="1098"/>
      <c r="AH82" s="1098"/>
      <c r="AI82" s="1098"/>
      <c r="AJ82" s="1098"/>
      <c r="AK82" s="1098"/>
      <c r="AL82" s="1098"/>
      <c r="AM82" s="1098"/>
      <c r="AN82" s="1098"/>
      <c r="AO82" s="1098"/>
      <c r="AP82" s="1098"/>
      <c r="AQ82" s="1098"/>
      <c r="AR82" s="1098"/>
      <c r="AS82" s="1098"/>
      <c r="AT82" s="1098"/>
      <c r="AU82" s="1098"/>
      <c r="AV82" s="1098"/>
      <c r="AW82" s="1098"/>
      <c r="AX82" s="1098"/>
      <c r="AY82" s="1098"/>
      <c r="AZ82" s="1098"/>
      <c r="BA82" s="1098"/>
      <c r="BB82" s="1098"/>
      <c r="BC82" s="1098"/>
      <c r="BD82" s="1098"/>
      <c r="BE82" s="1098"/>
      <c r="BF82" s="1098"/>
      <c r="BG82" s="1098"/>
      <c r="BH82" s="1098"/>
      <c r="BI82" s="1098"/>
      <c r="BJ82" s="1098"/>
      <c r="BK82" s="1098"/>
      <c r="BL82" s="1098"/>
      <c r="BM82" s="1098"/>
      <c r="BN82" s="1098"/>
      <c r="BO82" s="1098"/>
      <c r="BP82" s="1098"/>
      <c r="BQ82" s="1098"/>
      <c r="BR82" s="1098"/>
      <c r="BS82" s="1098"/>
      <c r="BT82" s="1098"/>
      <c r="BU82" s="1098"/>
    </row>
    <row r="83" spans="1:73" x14ac:dyDescent="0.25">
      <c r="A83" s="1098"/>
      <c r="B83" s="1102" t="str">
        <f>+$B$5</f>
        <v>After-tax Real IRR</v>
      </c>
      <c r="C83" s="1111">
        <f ca="1">+ROUND(H5,2)</f>
        <v>0.08</v>
      </c>
      <c r="D83" s="1102" t="str">
        <f t="shared" ref="D83:D85" ca="1" si="16">+B83&amp;" = "&amp;C83*100&amp;"%"</f>
        <v>After-tax Real IRR = 8%</v>
      </c>
      <c r="E83" s="1115">
        <f t="shared" si="15"/>
        <v>1.551049937139557</v>
      </c>
      <c r="F83" s="1115">
        <f t="shared" si="15"/>
        <v>0</v>
      </c>
      <c r="G83" s="1115">
        <f t="shared" si="15"/>
        <v>1.730147936704819E-3</v>
      </c>
      <c r="H83" s="1115">
        <f t="shared" si="15"/>
        <v>0.13684298054419414</v>
      </c>
      <c r="I83" s="1115">
        <f t="shared" si="15"/>
        <v>0.12151324734350721</v>
      </c>
      <c r="J83" s="1115">
        <f t="shared" si="15"/>
        <v>1.513945234948154E-2</v>
      </c>
      <c r="K83" s="1115">
        <f t="shared" si="15"/>
        <v>8.5279214492318847E-4</v>
      </c>
      <c r="L83" s="1115">
        <f t="shared" si="15"/>
        <v>1.7262149018467312E-3</v>
      </c>
      <c r="M83" s="1115">
        <f t="shared" si="15"/>
        <v>0.11942802401294346</v>
      </c>
      <c r="N83" s="1115">
        <f t="shared" si="15"/>
        <v>0.82859057540702719</v>
      </c>
      <c r="O83" s="1115">
        <f t="shared" si="15"/>
        <v>0</v>
      </c>
      <c r="P83" s="1115">
        <f t="shared" si="15"/>
        <v>0.20552806689413086</v>
      </c>
      <c r="Q83" s="1115">
        <f t="shared" si="15"/>
        <v>9.2663347110224212E-2</v>
      </c>
      <c r="R83" s="1115">
        <f t="shared" si="15"/>
        <v>2.5797196451745236E-2</v>
      </c>
      <c r="S83" s="1115">
        <f t="shared" si="15"/>
        <v>4.6981879162373424E-3</v>
      </c>
      <c r="T83" s="1098"/>
      <c r="U83" s="1098"/>
      <c r="V83" s="1098"/>
      <c r="W83" s="1098"/>
      <c r="X83" s="1098"/>
      <c r="Y83" s="1098"/>
      <c r="Z83" s="1098"/>
      <c r="AA83" s="1098"/>
      <c r="AB83" s="1098"/>
      <c r="AC83" s="1098"/>
      <c r="AD83" s="1098"/>
      <c r="AE83" s="1098"/>
      <c r="AF83" s="1098"/>
      <c r="AG83" s="1098"/>
      <c r="AH83" s="1098"/>
      <c r="AI83" s="1098"/>
      <c r="AJ83" s="1098"/>
      <c r="AK83" s="1098"/>
      <c r="AL83" s="1098"/>
      <c r="AM83" s="1098"/>
      <c r="AN83" s="1098"/>
      <c r="AO83" s="1098"/>
      <c r="AP83" s="1098"/>
      <c r="AQ83" s="1098"/>
      <c r="AR83" s="1098"/>
      <c r="AS83" s="1098"/>
      <c r="AT83" s="1098"/>
      <c r="AU83" s="1098"/>
      <c r="AV83" s="1098"/>
      <c r="AW83" s="1098"/>
      <c r="AX83" s="1098"/>
      <c r="AY83" s="1098"/>
      <c r="AZ83" s="1098"/>
      <c r="BA83" s="1098"/>
      <c r="BB83" s="1098"/>
      <c r="BC83" s="1098"/>
      <c r="BD83" s="1098"/>
      <c r="BE83" s="1098"/>
      <c r="BF83" s="1098"/>
      <c r="BG83" s="1098"/>
      <c r="BH83" s="1098"/>
      <c r="BI83" s="1098"/>
      <c r="BJ83" s="1098"/>
      <c r="BK83" s="1098"/>
      <c r="BL83" s="1098"/>
      <c r="BM83" s="1098"/>
      <c r="BN83" s="1098"/>
      <c r="BO83" s="1098"/>
      <c r="BP83" s="1098"/>
      <c r="BQ83" s="1098"/>
      <c r="BR83" s="1098"/>
      <c r="BS83" s="1098"/>
      <c r="BT83" s="1098"/>
      <c r="BU83" s="1098"/>
    </row>
    <row r="84" spans="1:73" x14ac:dyDescent="0.25">
      <c r="A84" s="1098"/>
      <c r="B84" s="1102" t="str">
        <f t="shared" ref="B84:B85" si="17">+$B$5</f>
        <v>After-tax Real IRR</v>
      </c>
      <c r="C84" s="1111">
        <f ca="1">ROUND(C5,2)</f>
        <v>0.08</v>
      </c>
      <c r="D84" s="1102" t="str">
        <f t="shared" ca="1" si="16"/>
        <v>After-tax Real IRR = 8%</v>
      </c>
      <c r="E84" s="1115">
        <f t="shared" ref="E84:S84" si="18">+K$51</f>
        <v>1.5582197865293927</v>
      </c>
      <c r="F84" s="1115">
        <f t="shared" si="18"/>
        <v>0</v>
      </c>
      <c r="G84" s="1115">
        <f t="shared" si="18"/>
        <v>1.5603382608962266E-3</v>
      </c>
      <c r="H84" s="1115">
        <f t="shared" si="18"/>
        <v>0.1435766003247316</v>
      </c>
      <c r="I84" s="1115">
        <f t="shared" si="18"/>
        <v>0.12137220296106475</v>
      </c>
      <c r="J84" s="1115">
        <f t="shared" si="18"/>
        <v>1.5685799462749842E-2</v>
      </c>
      <c r="K84" s="1115">
        <f t="shared" si="18"/>
        <v>8.987958215351488E-4</v>
      </c>
      <c r="L84" s="1115">
        <f t="shared" si="18"/>
        <v>1.5567912435341155E-3</v>
      </c>
      <c r="M84" s="1115">
        <f t="shared" si="18"/>
        <v>0.11952400105681882</v>
      </c>
      <c r="N84" s="1115">
        <f t="shared" si="18"/>
        <v>0.82524955783637077</v>
      </c>
      <c r="O84" s="1115">
        <f t="shared" si="18"/>
        <v>0</v>
      </c>
      <c r="P84" s="1115">
        <f t="shared" si="18"/>
        <v>0.20561571448089225</v>
      </c>
      <c r="Q84" s="1115">
        <f t="shared" si="18"/>
        <v>9.432006620325277E-2</v>
      </c>
      <c r="R84" s="1115">
        <f t="shared" si="18"/>
        <v>2.7743522830533017E-2</v>
      </c>
      <c r="S84" s="1115">
        <f t="shared" si="18"/>
        <v>4.2370725688043549E-3</v>
      </c>
      <c r="T84" s="1098"/>
      <c r="U84" s="1098"/>
      <c r="V84" s="1098"/>
      <c r="W84" s="1098"/>
      <c r="X84" s="1098"/>
      <c r="Y84" s="1098"/>
      <c r="Z84" s="1098"/>
      <c r="AA84" s="1098"/>
      <c r="AB84" s="1098"/>
      <c r="AC84" s="1098"/>
      <c r="AD84" s="1098"/>
      <c r="AE84" s="1098"/>
      <c r="AF84" s="1098"/>
      <c r="AG84" s="1098"/>
      <c r="AH84" s="1098"/>
      <c r="AI84" s="1098"/>
      <c r="AJ84" s="1098"/>
      <c r="AK84" s="1098"/>
      <c r="AL84" s="1098"/>
      <c r="AM84" s="1098"/>
      <c r="AN84" s="1098"/>
      <c r="AO84" s="1098"/>
      <c r="AP84" s="1098"/>
      <c r="AQ84" s="1098"/>
      <c r="AR84" s="1098"/>
      <c r="AS84" s="1098"/>
      <c r="AT84" s="1098"/>
      <c r="AU84" s="1098"/>
      <c r="AV84" s="1098"/>
      <c r="AW84" s="1098"/>
      <c r="AX84" s="1098"/>
      <c r="AY84" s="1098"/>
      <c r="AZ84" s="1098"/>
      <c r="BA84" s="1098"/>
      <c r="BB84" s="1098"/>
      <c r="BC84" s="1098"/>
      <c r="BD84" s="1098"/>
      <c r="BE84" s="1098"/>
      <c r="BF84" s="1098"/>
      <c r="BG84" s="1098"/>
      <c r="BH84" s="1098"/>
      <c r="BI84" s="1098"/>
      <c r="BJ84" s="1098"/>
      <c r="BK84" s="1098"/>
      <c r="BL84" s="1098"/>
      <c r="BM84" s="1098"/>
      <c r="BN84" s="1098"/>
      <c r="BO84" s="1098"/>
      <c r="BP84" s="1098"/>
      <c r="BQ84" s="1098"/>
      <c r="BR84" s="1098"/>
      <c r="BS84" s="1098"/>
      <c r="BT84" s="1098"/>
      <c r="BU84" s="1098"/>
    </row>
    <row r="85" spans="1:73" x14ac:dyDescent="0.25">
      <c r="A85" s="1098"/>
      <c r="B85" s="1102" t="str">
        <f t="shared" si="17"/>
        <v>After-tax Real IRR</v>
      </c>
      <c r="C85" s="1111">
        <f ca="1">ROUND(I5,2)</f>
        <v>0.08</v>
      </c>
      <c r="D85" s="1102" t="str">
        <f t="shared" ca="1" si="16"/>
        <v>After-tax Real IRR = 8%</v>
      </c>
      <c r="E85" s="1115">
        <f t="shared" ref="E85:S86" si="19">+K57</f>
        <v>1.565709003382735</v>
      </c>
      <c r="F85" s="1115">
        <f t="shared" si="19"/>
        <v>0</v>
      </c>
      <c r="G85" s="1115">
        <f t="shared" si="19"/>
        <v>1.4060627426016891E-3</v>
      </c>
      <c r="H85" s="1115">
        <f t="shared" si="19"/>
        <v>0.15043687248607535</v>
      </c>
      <c r="I85" s="1115">
        <f t="shared" si="19"/>
        <v>0.12123004842019204</v>
      </c>
      <c r="J85" s="1115">
        <f t="shared" si="19"/>
        <v>1.6225702427426755E-2</v>
      </c>
      <c r="K85" s="1115">
        <f t="shared" si="19"/>
        <v>9.4597380273744056E-4</v>
      </c>
      <c r="L85" s="1115">
        <f t="shared" si="19"/>
        <v>1.4028664299269226E-3</v>
      </c>
      <c r="M85" s="1115">
        <f t="shared" si="19"/>
        <v>0.11962073353471103</v>
      </c>
      <c r="N85" s="1115">
        <f t="shared" si="19"/>
        <v>0.82198924956172759</v>
      </c>
      <c r="O85" s="1115">
        <f t="shared" si="19"/>
        <v>0</v>
      </c>
      <c r="P85" s="1115">
        <f t="shared" si="19"/>
        <v>0.20570627486975962</v>
      </c>
      <c r="Q85" s="1115">
        <f t="shared" si="19"/>
        <v>9.598851124707479E-2</v>
      </c>
      <c r="R85" s="1115">
        <f t="shared" si="19"/>
        <v>2.975069337823669E-2</v>
      </c>
      <c r="S85" s="1115">
        <f t="shared" si="19"/>
        <v>3.8181399674667446E-3</v>
      </c>
      <c r="T85" s="1098"/>
      <c r="U85" s="1098"/>
      <c r="V85" s="1098"/>
      <c r="W85" s="1098"/>
      <c r="X85" s="1098"/>
      <c r="Y85" s="1098"/>
      <c r="Z85" s="1098"/>
      <c r="AA85" s="1098"/>
      <c r="AB85" s="1098"/>
      <c r="AC85" s="1098"/>
      <c r="AD85" s="1098"/>
      <c r="AE85" s="1098"/>
      <c r="AF85" s="1098"/>
      <c r="AG85" s="1098"/>
      <c r="AH85" s="1098"/>
      <c r="AI85" s="1098"/>
      <c r="AJ85" s="1098"/>
      <c r="AK85" s="1098"/>
      <c r="AL85" s="1098"/>
      <c r="AM85" s="1098"/>
      <c r="AN85" s="1098"/>
      <c r="AO85" s="1098"/>
      <c r="AP85" s="1098"/>
      <c r="AQ85" s="1098"/>
      <c r="AR85" s="1098"/>
      <c r="AS85" s="1098"/>
      <c r="AT85" s="1098"/>
      <c r="AU85" s="1098"/>
      <c r="AV85" s="1098"/>
      <c r="AW85" s="1098"/>
      <c r="AX85" s="1098"/>
      <c r="AY85" s="1098"/>
      <c r="AZ85" s="1098"/>
      <c r="BA85" s="1098"/>
      <c r="BB85" s="1098"/>
      <c r="BC85" s="1098"/>
      <c r="BD85" s="1098"/>
      <c r="BE85" s="1098"/>
      <c r="BF85" s="1098"/>
      <c r="BG85" s="1098"/>
      <c r="BH85" s="1098"/>
      <c r="BI85" s="1098"/>
      <c r="BJ85" s="1098"/>
      <c r="BK85" s="1098"/>
      <c r="BL85" s="1098"/>
      <c r="BM85" s="1098"/>
      <c r="BN85" s="1098"/>
      <c r="BO85" s="1098"/>
      <c r="BP85" s="1098"/>
      <c r="BQ85" s="1098"/>
      <c r="BR85" s="1098"/>
      <c r="BS85" s="1098"/>
      <c r="BT85" s="1098"/>
      <c r="BU85" s="1098"/>
    </row>
    <row r="86" spans="1:73" x14ac:dyDescent="0.25">
      <c r="A86" s="1098"/>
      <c r="B86" s="1102" t="str">
        <f>+$B$6</f>
        <v>Feedstock Consumption (% of baseline)</v>
      </c>
      <c r="C86" s="1102">
        <f>+ROUND(H6,3)</f>
        <v>0.95</v>
      </c>
      <c r="D86" s="1101" t="str">
        <f>+B86&amp;" = "&amp;C86*100&amp;"%"</f>
        <v>Feedstock Consumption (% of baseline) = 95%</v>
      </c>
      <c r="E86" s="1123">
        <f t="shared" si="19"/>
        <v>1.5080814671972416</v>
      </c>
      <c r="F86" s="1115">
        <f t="shared" si="19"/>
        <v>0</v>
      </c>
      <c r="G86" s="1115">
        <f t="shared" si="19"/>
        <v>1.5541232629696245E-3</v>
      </c>
      <c r="H86" s="1115">
        <f t="shared" si="19"/>
        <v>0.14300341604133274</v>
      </c>
      <c r="I86" s="1115">
        <f t="shared" si="19"/>
        <v>0.1178255006350936</v>
      </c>
      <c r="J86" s="1115">
        <f t="shared" si="19"/>
        <v>1.5083323624036847E-2</v>
      </c>
      <c r="K86" s="1115">
        <f t="shared" si="19"/>
        <v>8.987958215351488E-4</v>
      </c>
      <c r="L86" s="1115">
        <f t="shared" si="19"/>
        <v>1.5505762456075134E-3</v>
      </c>
      <c r="M86" s="1115">
        <f t="shared" si="19"/>
        <v>0.11920824473815718</v>
      </c>
      <c r="N86" s="1115">
        <f t="shared" si="19"/>
        <v>0.78398707994455208</v>
      </c>
      <c r="O86" s="1115">
        <f t="shared" si="19"/>
        <v>0</v>
      </c>
      <c r="P86" s="1115">
        <f t="shared" si="19"/>
        <v>0.20299802114330681</v>
      </c>
      <c r="Q86" s="1115">
        <f t="shared" si="19"/>
        <v>9.3943523093619447E-2</v>
      </c>
      <c r="R86" s="1115">
        <f t="shared" si="19"/>
        <v>2.6916951779746991E-2</v>
      </c>
      <c r="S86" s="1115">
        <f t="shared" si="19"/>
        <v>4.2201573932216605E-3</v>
      </c>
      <c r="T86" s="1098"/>
      <c r="U86" s="1098"/>
      <c r="V86" s="1098"/>
      <c r="W86" s="1098"/>
      <c r="X86" s="1098"/>
      <c r="Y86" s="1098"/>
      <c r="Z86" s="1098"/>
      <c r="AA86" s="1098"/>
      <c r="AB86" s="1098"/>
      <c r="AC86" s="1098"/>
      <c r="AD86" s="1098"/>
      <c r="AE86" s="1098"/>
      <c r="AF86" s="1098"/>
      <c r="AG86" s="1098"/>
      <c r="AH86" s="1098"/>
      <c r="AI86" s="1098"/>
      <c r="AJ86" s="1098"/>
      <c r="AK86" s="1098"/>
      <c r="AL86" s="1098"/>
      <c r="AM86" s="1098"/>
      <c r="AN86" s="1098"/>
      <c r="AO86" s="1098"/>
      <c r="AP86" s="1098"/>
      <c r="AQ86" s="1098"/>
      <c r="AR86" s="1098"/>
      <c r="AS86" s="1098"/>
      <c r="AT86" s="1098"/>
      <c r="AU86" s="1098"/>
      <c r="AV86" s="1098"/>
      <c r="AW86" s="1098"/>
      <c r="AX86" s="1098"/>
      <c r="AY86" s="1098"/>
      <c r="AZ86" s="1098"/>
      <c r="BA86" s="1098"/>
      <c r="BB86" s="1098"/>
      <c r="BC86" s="1098"/>
      <c r="BD86" s="1098"/>
      <c r="BE86" s="1098"/>
      <c r="BF86" s="1098"/>
      <c r="BG86" s="1098"/>
      <c r="BH86" s="1098"/>
      <c r="BI86" s="1098"/>
      <c r="BJ86" s="1098"/>
      <c r="BK86" s="1098"/>
      <c r="BL86" s="1098"/>
      <c r="BM86" s="1098"/>
      <c r="BN86" s="1098"/>
      <c r="BO86" s="1098"/>
      <c r="BP86" s="1098"/>
      <c r="BQ86" s="1098"/>
      <c r="BR86" s="1098"/>
      <c r="BS86" s="1098"/>
      <c r="BT86" s="1098"/>
      <c r="BU86" s="1098"/>
    </row>
    <row r="87" spans="1:73" x14ac:dyDescent="0.25">
      <c r="A87" s="1098"/>
      <c r="B87" s="1102" t="str">
        <f t="shared" ref="B87:B88" si="20">+$B$6</f>
        <v>Feedstock Consumption (% of baseline)</v>
      </c>
      <c r="C87" s="1102">
        <f>+ROUND(C6,3)</f>
        <v>1</v>
      </c>
      <c r="D87" s="1101" t="str">
        <f>+B87&amp;" = "&amp;C87*100&amp;"%"</f>
        <v>Feedstock Consumption (% of baseline) = 100%</v>
      </c>
      <c r="E87" s="1123">
        <f t="shared" ref="E87:S87" si="21">+K$51</f>
        <v>1.5582197865293927</v>
      </c>
      <c r="F87" s="1115">
        <f t="shared" si="21"/>
        <v>0</v>
      </c>
      <c r="G87" s="1115">
        <f t="shared" si="21"/>
        <v>1.5603382608962266E-3</v>
      </c>
      <c r="H87" s="1115">
        <f t="shared" si="21"/>
        <v>0.1435766003247316</v>
      </c>
      <c r="I87" s="1115">
        <f t="shared" si="21"/>
        <v>0.12137220296106475</v>
      </c>
      <c r="J87" s="1115">
        <f t="shared" si="21"/>
        <v>1.5685799462749842E-2</v>
      </c>
      <c r="K87" s="1115">
        <f t="shared" si="21"/>
        <v>8.987958215351488E-4</v>
      </c>
      <c r="L87" s="1115">
        <f t="shared" si="21"/>
        <v>1.5567912435341155E-3</v>
      </c>
      <c r="M87" s="1115">
        <f t="shared" si="21"/>
        <v>0.11952400105681882</v>
      </c>
      <c r="N87" s="1115">
        <f t="shared" si="21"/>
        <v>0.82524955783637077</v>
      </c>
      <c r="O87" s="1115">
        <f t="shared" si="21"/>
        <v>0</v>
      </c>
      <c r="P87" s="1115">
        <f t="shared" si="21"/>
        <v>0.20561571448089225</v>
      </c>
      <c r="Q87" s="1115">
        <f t="shared" si="21"/>
        <v>9.432006620325277E-2</v>
      </c>
      <c r="R87" s="1115">
        <f t="shared" si="21"/>
        <v>2.7743522830533017E-2</v>
      </c>
      <c r="S87" s="1115">
        <f t="shared" si="21"/>
        <v>4.2370725688043549E-3</v>
      </c>
      <c r="T87" s="1098"/>
      <c r="U87" s="1098"/>
      <c r="V87" s="1098"/>
      <c r="W87" s="1098"/>
      <c r="X87" s="1098"/>
      <c r="Y87" s="1098"/>
      <c r="Z87" s="1098"/>
      <c r="AA87" s="1098"/>
      <c r="AB87" s="1098"/>
      <c r="AC87" s="1098"/>
      <c r="AD87" s="1098"/>
      <c r="AE87" s="1098"/>
      <c r="AF87" s="1098"/>
      <c r="AG87" s="1098"/>
      <c r="AH87" s="1098"/>
      <c r="AI87" s="1098"/>
      <c r="AJ87" s="1098"/>
      <c r="AK87" s="1098"/>
      <c r="AL87" s="1098"/>
      <c r="AM87" s="1098"/>
      <c r="AN87" s="1098"/>
      <c r="AO87" s="1098"/>
      <c r="AP87" s="1098"/>
      <c r="AQ87" s="1098"/>
      <c r="AR87" s="1098"/>
      <c r="AS87" s="1098"/>
      <c r="AT87" s="1098"/>
      <c r="AU87" s="1098"/>
      <c r="AV87" s="1098"/>
      <c r="AW87" s="1098"/>
      <c r="AX87" s="1098"/>
      <c r="AY87" s="1098"/>
      <c r="AZ87" s="1098"/>
      <c r="BA87" s="1098"/>
      <c r="BB87" s="1098"/>
      <c r="BC87" s="1098"/>
      <c r="BD87" s="1098"/>
      <c r="BE87" s="1098"/>
      <c r="BF87" s="1098"/>
      <c r="BG87" s="1098"/>
      <c r="BH87" s="1098"/>
      <c r="BI87" s="1098"/>
      <c r="BJ87" s="1098"/>
      <c r="BK87" s="1098"/>
      <c r="BL87" s="1098"/>
      <c r="BM87" s="1098"/>
      <c r="BN87" s="1098"/>
      <c r="BO87" s="1098"/>
      <c r="BP87" s="1098"/>
      <c r="BQ87" s="1098"/>
      <c r="BR87" s="1098"/>
      <c r="BS87" s="1098"/>
      <c r="BT87" s="1098"/>
      <c r="BU87" s="1098"/>
    </row>
    <row r="88" spans="1:73" x14ac:dyDescent="0.25">
      <c r="A88" s="1098"/>
      <c r="B88" s="1102" t="str">
        <f t="shared" si="20"/>
        <v>Feedstock Consumption (% of baseline)</v>
      </c>
      <c r="C88" s="1102">
        <f>+ROUND(I6,3)</f>
        <v>1.05</v>
      </c>
      <c r="D88" s="1101" t="str">
        <f>+B88&amp;" = "&amp;C88*100&amp;"%"</f>
        <v>Feedstock Consumption (% of baseline) = 105%</v>
      </c>
      <c r="E88" s="1123">
        <f t="shared" ref="E88:S89" si="22">+K59</f>
        <v>1.6081327271971479</v>
      </c>
      <c r="F88" s="1115">
        <f t="shared" si="22"/>
        <v>0</v>
      </c>
      <c r="G88" s="1115">
        <f t="shared" si="22"/>
        <v>1.5660630009882162E-3</v>
      </c>
      <c r="H88" s="1115">
        <f t="shared" si="22"/>
        <v>0.14410457009817701</v>
      </c>
      <c r="I88" s="1115">
        <f t="shared" si="22"/>
        <v>0.12484724886135103</v>
      </c>
      <c r="J88" s="1115">
        <f t="shared" si="22"/>
        <v>1.6287407507185974E-2</v>
      </c>
      <c r="K88" s="1115">
        <f t="shared" si="22"/>
        <v>8.987958215351488E-4</v>
      </c>
      <c r="L88" s="1115">
        <f t="shared" si="22"/>
        <v>1.5625159836261046E-3</v>
      </c>
      <c r="M88" s="1115">
        <f t="shared" si="22"/>
        <v>0.11981484956201374</v>
      </c>
      <c r="N88" s="1115">
        <f t="shared" si="22"/>
        <v>0.86651203572818924</v>
      </c>
      <c r="O88" s="1115">
        <f t="shared" si="22"/>
        <v>0</v>
      </c>
      <c r="P88" s="1115">
        <f t="shared" si="22"/>
        <v>0.20819472633982319</v>
      </c>
      <c r="Q88" s="1115">
        <f t="shared" si="22"/>
        <v>9.4666906453488894E-2</v>
      </c>
      <c r="R88" s="1115">
        <f t="shared" si="22"/>
        <v>2.8557080418569594E-2</v>
      </c>
      <c r="S88" s="1115">
        <f t="shared" si="22"/>
        <v>4.2526534241746853E-3</v>
      </c>
      <c r="T88" s="1098"/>
      <c r="U88" s="1098"/>
      <c r="V88" s="1098"/>
      <c r="W88" s="1098"/>
      <c r="X88" s="1098"/>
      <c r="Y88" s="1098"/>
      <c r="Z88" s="1098"/>
      <c r="AA88" s="1098"/>
      <c r="AB88" s="1098"/>
      <c r="AC88" s="1098"/>
      <c r="AD88" s="1098"/>
      <c r="AE88" s="1098"/>
      <c r="AF88" s="1098"/>
      <c r="AG88" s="1098"/>
      <c r="AH88" s="1098"/>
      <c r="AI88" s="1098"/>
      <c r="AJ88" s="1098"/>
      <c r="AK88" s="1098"/>
      <c r="AL88" s="1098"/>
      <c r="AM88" s="1098"/>
      <c r="AN88" s="1098"/>
      <c r="AO88" s="1098"/>
      <c r="AP88" s="1098"/>
      <c r="AQ88" s="1098"/>
      <c r="AR88" s="1098"/>
      <c r="AS88" s="1098"/>
      <c r="AT88" s="1098"/>
      <c r="AU88" s="1098"/>
      <c r="AV88" s="1098"/>
      <c r="AW88" s="1098"/>
      <c r="AX88" s="1098"/>
      <c r="AY88" s="1098"/>
      <c r="AZ88" s="1098"/>
      <c r="BA88" s="1098"/>
      <c r="BB88" s="1098"/>
      <c r="BC88" s="1098"/>
      <c r="BD88" s="1098"/>
      <c r="BE88" s="1098"/>
      <c r="BF88" s="1098"/>
      <c r="BG88" s="1098"/>
      <c r="BH88" s="1098"/>
      <c r="BI88" s="1098"/>
      <c r="BJ88" s="1098"/>
      <c r="BK88" s="1098"/>
      <c r="BL88" s="1098"/>
      <c r="BM88" s="1098"/>
      <c r="BN88" s="1098"/>
      <c r="BO88" s="1098"/>
      <c r="BP88" s="1098"/>
      <c r="BQ88" s="1098"/>
      <c r="BR88" s="1098"/>
      <c r="BS88" s="1098"/>
      <c r="BT88" s="1098"/>
      <c r="BU88" s="1098"/>
    </row>
    <row r="89" spans="1:73" x14ac:dyDescent="0.25">
      <c r="A89" s="1098"/>
      <c r="B89" s="1102" t="str">
        <f>+$B$7</f>
        <v>Utilities Consumption (% of baseline)</v>
      </c>
      <c r="C89" s="1102">
        <f>+ROUND(H7,3)</f>
        <v>0.95</v>
      </c>
      <c r="D89" s="1101" t="str">
        <f t="shared" ref="D89:D91" si="23">+B89&amp;" = "&amp;C89*100&amp;"%"</f>
        <v>Utilities Consumption (% of baseline) = 95%</v>
      </c>
      <c r="E89" s="1123">
        <f t="shared" si="22"/>
        <v>1.5559242505286783</v>
      </c>
      <c r="F89" s="1123">
        <f t="shared" si="22"/>
        <v>0</v>
      </c>
      <c r="G89" s="1123">
        <f t="shared" si="22"/>
        <v>1.5603382608962266E-3</v>
      </c>
      <c r="H89" s="1123">
        <f t="shared" si="22"/>
        <v>0.1435766003247316</v>
      </c>
      <c r="I89" s="1123">
        <f t="shared" si="22"/>
        <v>0.12137220296106475</v>
      </c>
      <c r="J89" s="1123">
        <f t="shared" si="22"/>
        <v>1.5655048044414834E-2</v>
      </c>
      <c r="K89" s="1123">
        <f t="shared" si="22"/>
        <v>8.987958215351488E-4</v>
      </c>
      <c r="L89" s="1123">
        <f t="shared" si="22"/>
        <v>1.5567912435341155E-3</v>
      </c>
      <c r="M89" s="1123">
        <f t="shared" si="22"/>
        <v>0.11952400105681882</v>
      </c>
      <c r="N89" s="1123">
        <f t="shared" si="22"/>
        <v>0.82524955783637077</v>
      </c>
      <c r="O89" s="1123">
        <f t="shared" si="22"/>
        <v>0</v>
      </c>
      <c r="P89" s="1123">
        <f t="shared" si="22"/>
        <v>0.20336158895463979</v>
      </c>
      <c r="Q89" s="1123">
        <f t="shared" si="22"/>
        <v>9.432006620325277E-2</v>
      </c>
      <c r="R89" s="1123">
        <f t="shared" si="22"/>
        <v>2.7732863774406636E-2</v>
      </c>
      <c r="S89" s="1123">
        <f t="shared" si="22"/>
        <v>4.2370725688043549E-3</v>
      </c>
      <c r="T89" s="1098"/>
      <c r="U89" s="1098"/>
      <c r="V89" s="1098"/>
      <c r="W89" s="1098"/>
      <c r="X89" s="1098"/>
      <c r="Y89" s="1098"/>
      <c r="Z89" s="1098"/>
      <c r="AA89" s="1098"/>
      <c r="AB89" s="1098"/>
      <c r="AC89" s="1098"/>
      <c r="AD89" s="1098"/>
      <c r="AE89" s="1098"/>
      <c r="AF89" s="1098"/>
      <c r="AG89" s="1098"/>
      <c r="AH89" s="1098"/>
      <c r="AI89" s="1098"/>
      <c r="AJ89" s="1098"/>
      <c r="AK89" s="1098"/>
      <c r="AL89" s="1098"/>
      <c r="AM89" s="1098"/>
      <c r="AN89" s="1098"/>
      <c r="AO89" s="1098"/>
      <c r="AP89" s="1098"/>
      <c r="AQ89" s="1098"/>
      <c r="AR89" s="1098"/>
      <c r="AS89" s="1098"/>
      <c r="AT89" s="1098"/>
      <c r="AU89" s="1098"/>
      <c r="AV89" s="1098"/>
      <c r="AW89" s="1098"/>
      <c r="AX89" s="1098"/>
      <c r="AY89" s="1098"/>
      <c r="AZ89" s="1098"/>
      <c r="BA89" s="1098"/>
      <c r="BB89" s="1098"/>
      <c r="BC89" s="1098"/>
      <c r="BD89" s="1098"/>
      <c r="BE89" s="1098"/>
      <c r="BF89" s="1098"/>
      <c r="BG89" s="1098"/>
      <c r="BH89" s="1098"/>
      <c r="BI89" s="1098"/>
      <c r="BJ89" s="1098"/>
      <c r="BK89" s="1098"/>
      <c r="BL89" s="1098"/>
      <c r="BM89" s="1098"/>
      <c r="BN89" s="1098"/>
      <c r="BO89" s="1098"/>
      <c r="BP89" s="1098"/>
      <c r="BQ89" s="1098"/>
      <c r="BR89" s="1098"/>
      <c r="BS89" s="1098"/>
      <c r="BT89" s="1098"/>
      <c r="BU89" s="1098"/>
    </row>
    <row r="90" spans="1:73" x14ac:dyDescent="0.25">
      <c r="A90" s="1098"/>
      <c r="B90" s="1102" t="str">
        <f t="shared" ref="B90:B91" si="24">+$B$7</f>
        <v>Utilities Consumption (% of baseline)</v>
      </c>
      <c r="C90" s="1102">
        <f>+ROUND(C7,3)</f>
        <v>1</v>
      </c>
      <c r="D90" s="1101" t="str">
        <f t="shared" si="23"/>
        <v>Utilities Consumption (% of baseline) = 100%</v>
      </c>
      <c r="E90" s="1123">
        <f>+K$51</f>
        <v>1.5582197865293927</v>
      </c>
      <c r="F90" s="1123">
        <f t="shared" ref="F90:S90" si="25">+L$51</f>
        <v>0</v>
      </c>
      <c r="G90" s="1123">
        <f t="shared" si="25"/>
        <v>1.5603382608962266E-3</v>
      </c>
      <c r="H90" s="1123">
        <f t="shared" si="25"/>
        <v>0.1435766003247316</v>
      </c>
      <c r="I90" s="1123">
        <f t="shared" si="25"/>
        <v>0.12137220296106475</v>
      </c>
      <c r="J90" s="1123">
        <f t="shared" si="25"/>
        <v>1.5685799462749842E-2</v>
      </c>
      <c r="K90" s="1123">
        <f t="shared" si="25"/>
        <v>8.987958215351488E-4</v>
      </c>
      <c r="L90" s="1123">
        <f t="shared" si="25"/>
        <v>1.5567912435341155E-3</v>
      </c>
      <c r="M90" s="1123">
        <f t="shared" si="25"/>
        <v>0.11952400105681882</v>
      </c>
      <c r="N90" s="1123">
        <f t="shared" si="25"/>
        <v>0.82524955783637077</v>
      </c>
      <c r="O90" s="1123">
        <f t="shared" si="25"/>
        <v>0</v>
      </c>
      <c r="P90" s="1123">
        <f t="shared" si="25"/>
        <v>0.20561571448089225</v>
      </c>
      <c r="Q90" s="1123">
        <f t="shared" si="25"/>
        <v>9.432006620325277E-2</v>
      </c>
      <c r="R90" s="1123">
        <f t="shared" si="25"/>
        <v>2.7743522830533017E-2</v>
      </c>
      <c r="S90" s="1123">
        <f t="shared" si="25"/>
        <v>4.2370725688043549E-3</v>
      </c>
      <c r="T90" s="1098"/>
      <c r="U90" s="1098"/>
      <c r="V90" s="1098"/>
      <c r="W90" s="1098"/>
      <c r="X90" s="1098"/>
      <c r="Y90" s="1098"/>
      <c r="Z90" s="1098"/>
      <c r="AA90" s="1098"/>
      <c r="AB90" s="1098"/>
      <c r="AC90" s="1098"/>
      <c r="AD90" s="1098"/>
      <c r="AE90" s="1098"/>
      <c r="AF90" s="1098"/>
      <c r="AG90" s="1098"/>
      <c r="AH90" s="1098"/>
      <c r="AI90" s="1098"/>
      <c r="AJ90" s="1098"/>
      <c r="AK90" s="1098"/>
      <c r="AL90" s="1098"/>
      <c r="AM90" s="1098"/>
      <c r="AN90" s="1098"/>
      <c r="AO90" s="1098"/>
      <c r="AP90" s="1098"/>
      <c r="AQ90" s="1098"/>
      <c r="AR90" s="1098"/>
      <c r="AS90" s="1098"/>
      <c r="AT90" s="1098"/>
      <c r="AU90" s="1098"/>
      <c r="AV90" s="1098"/>
      <c r="AW90" s="1098"/>
      <c r="AX90" s="1098"/>
      <c r="AY90" s="1098"/>
      <c r="AZ90" s="1098"/>
      <c r="BA90" s="1098"/>
      <c r="BB90" s="1098"/>
      <c r="BC90" s="1098"/>
      <c r="BD90" s="1098"/>
      <c r="BE90" s="1098"/>
      <c r="BF90" s="1098"/>
      <c r="BG90" s="1098"/>
      <c r="BH90" s="1098"/>
      <c r="BI90" s="1098"/>
      <c r="BJ90" s="1098"/>
      <c r="BK90" s="1098"/>
      <c r="BL90" s="1098"/>
      <c r="BM90" s="1098"/>
      <c r="BN90" s="1098"/>
      <c r="BO90" s="1098"/>
      <c r="BP90" s="1098"/>
      <c r="BQ90" s="1098"/>
      <c r="BR90" s="1098"/>
      <c r="BS90" s="1098"/>
      <c r="BT90" s="1098"/>
      <c r="BU90" s="1098"/>
    </row>
    <row r="91" spans="1:73" x14ac:dyDescent="0.25">
      <c r="A91" s="1098"/>
      <c r="B91" s="1102" t="str">
        <f t="shared" si="24"/>
        <v>Utilities Consumption (% of baseline)</v>
      </c>
      <c r="C91" s="1102">
        <f>+ROUND(I7,3)</f>
        <v>1.05</v>
      </c>
      <c r="D91" s="1101" t="str">
        <f t="shared" si="23"/>
        <v>Utilities Consumption (% of baseline) = 105%</v>
      </c>
      <c r="E91" s="1123">
        <f t="shared" ref="E91:S92" si="26">+K61</f>
        <v>1.5605153225301063</v>
      </c>
      <c r="F91" s="1123">
        <f t="shared" si="26"/>
        <v>0</v>
      </c>
      <c r="G91" s="1123">
        <f t="shared" si="26"/>
        <v>1.5603382608962266E-3</v>
      </c>
      <c r="H91" s="1123">
        <f t="shared" si="26"/>
        <v>0.1435766003247316</v>
      </c>
      <c r="I91" s="1123">
        <f t="shared" si="26"/>
        <v>0.12137220296106475</v>
      </c>
      <c r="J91" s="1123">
        <f t="shared" si="26"/>
        <v>1.5716550881084826E-2</v>
      </c>
      <c r="K91" s="1123">
        <f t="shared" si="26"/>
        <v>8.987958215351488E-4</v>
      </c>
      <c r="L91" s="1123">
        <f t="shared" si="26"/>
        <v>1.5567912435341155E-3</v>
      </c>
      <c r="M91" s="1123">
        <f t="shared" si="26"/>
        <v>0.11952400105681882</v>
      </c>
      <c r="N91" s="1123">
        <f t="shared" si="26"/>
        <v>0.82524955783637077</v>
      </c>
      <c r="O91" s="1123">
        <f t="shared" si="26"/>
        <v>0</v>
      </c>
      <c r="P91" s="1123">
        <f t="shared" si="26"/>
        <v>0.20786984000714456</v>
      </c>
      <c r="Q91" s="1123">
        <f t="shared" si="26"/>
        <v>9.432006620325277E-2</v>
      </c>
      <c r="R91" s="1123">
        <f t="shared" si="26"/>
        <v>2.7754181886659422E-2</v>
      </c>
      <c r="S91" s="1123">
        <f t="shared" si="26"/>
        <v>4.2370725688043549E-3</v>
      </c>
      <c r="T91" s="1098"/>
      <c r="U91" s="1098"/>
      <c r="V91" s="1098"/>
      <c r="W91" s="1098"/>
      <c r="X91" s="1098"/>
      <c r="Y91" s="1098"/>
      <c r="Z91" s="1098"/>
      <c r="AA91" s="1098"/>
      <c r="AB91" s="1098"/>
      <c r="AC91" s="1098"/>
      <c r="AD91" s="1098"/>
      <c r="AE91" s="1098"/>
      <c r="AF91" s="1098"/>
      <c r="AG91" s="1098"/>
      <c r="AH91" s="1098"/>
      <c r="AI91" s="1098"/>
      <c r="AJ91" s="1098"/>
      <c r="AK91" s="1098"/>
      <c r="AL91" s="1098"/>
      <c r="AM91" s="1098"/>
      <c r="AN91" s="1098"/>
      <c r="AO91" s="1098"/>
      <c r="AP91" s="1098"/>
      <c r="AQ91" s="1098"/>
      <c r="AR91" s="1098"/>
      <c r="AS91" s="1098"/>
      <c r="AT91" s="1098"/>
      <c r="AU91" s="1098"/>
      <c r="AV91" s="1098"/>
      <c r="AW91" s="1098"/>
      <c r="AX91" s="1098"/>
      <c r="AY91" s="1098"/>
      <c r="AZ91" s="1098"/>
      <c r="BA91" s="1098"/>
      <c r="BB91" s="1098"/>
      <c r="BC91" s="1098"/>
      <c r="BD91" s="1098"/>
      <c r="BE91" s="1098"/>
      <c r="BF91" s="1098"/>
      <c r="BG91" s="1098"/>
      <c r="BH91" s="1098"/>
      <c r="BI91" s="1098"/>
      <c r="BJ91" s="1098"/>
      <c r="BK91" s="1098"/>
      <c r="BL91" s="1098"/>
      <c r="BM91" s="1098"/>
      <c r="BN91" s="1098"/>
      <c r="BO91" s="1098"/>
      <c r="BP91" s="1098"/>
      <c r="BQ91" s="1098"/>
      <c r="BR91" s="1098"/>
      <c r="BS91" s="1098"/>
      <c r="BT91" s="1098"/>
      <c r="BU91" s="1098"/>
    </row>
    <row r="92" spans="1:73" x14ac:dyDescent="0.25">
      <c r="A92" s="1098"/>
      <c r="B92" s="1102" t="str">
        <f>+$B$8</f>
        <v>Total Capital Investment</v>
      </c>
      <c r="C92" s="1120">
        <f ca="1">+ROUND(H8,0)</f>
        <v>459999711</v>
      </c>
      <c r="D92" s="1102" t="str">
        <f t="shared" ref="D92:D97" ca="1" si="27">+B92&amp;" = "&amp;TEXT(C92/1000,"$0,000K")</f>
        <v>Total Capital Investment = $460,000K</v>
      </c>
      <c r="E92" s="1115">
        <f t="shared" si="26"/>
        <v>1.5419997659953315</v>
      </c>
      <c r="F92" s="1115">
        <f t="shared" si="26"/>
        <v>0</v>
      </c>
      <c r="G92" s="1115">
        <f t="shared" si="26"/>
        <v>1.4823213478514154E-3</v>
      </c>
      <c r="H92" s="1115">
        <f t="shared" si="26"/>
        <v>0.13638141395062564</v>
      </c>
      <c r="I92" s="1115">
        <f t="shared" si="26"/>
        <v>0.12137220296106475</v>
      </c>
      <c r="J92" s="1115">
        <f t="shared" si="26"/>
        <v>1.5631707515553917E-2</v>
      </c>
      <c r="K92" s="1115">
        <f t="shared" si="26"/>
        <v>8.987958215351488E-4</v>
      </c>
      <c r="L92" s="1115">
        <f t="shared" si="26"/>
        <v>1.4787743304893036E-3</v>
      </c>
      <c r="M92" s="1115">
        <f t="shared" si="26"/>
        <v>0.1155603097495482</v>
      </c>
      <c r="N92" s="1115">
        <f t="shared" si="26"/>
        <v>0.82524955783637077</v>
      </c>
      <c r="O92" s="1115">
        <f t="shared" si="26"/>
        <v>0</v>
      </c>
      <c r="P92" s="1115">
        <f t="shared" si="26"/>
        <v>0.20561571448089225</v>
      </c>
      <c r="Q92" s="1115">
        <f t="shared" si="26"/>
        <v>8.9593317877860595E-2</v>
      </c>
      <c r="R92" s="1115">
        <f t="shared" si="26"/>
        <v>2.7675556569476258E-2</v>
      </c>
      <c r="S92" s="1115">
        <f t="shared" si="26"/>
        <v>4.0247362497648521E-3</v>
      </c>
      <c r="T92" s="1098"/>
      <c r="U92" s="1098"/>
      <c r="V92" s="1098"/>
      <c r="W92" s="1098"/>
      <c r="X92" s="1098"/>
      <c r="Y92" s="1098"/>
      <c r="Z92" s="1098"/>
      <c r="AA92" s="1098"/>
      <c r="AB92" s="1098"/>
      <c r="AC92" s="1098"/>
      <c r="AD92" s="1098"/>
      <c r="AE92" s="1098"/>
      <c r="AF92" s="1098"/>
      <c r="AG92" s="1098"/>
      <c r="AH92" s="1098"/>
      <c r="AI92" s="1098"/>
      <c r="AJ92" s="1098"/>
      <c r="AK92" s="1098"/>
      <c r="AL92" s="1098"/>
      <c r="AM92" s="1098"/>
      <c r="AN92" s="1098"/>
      <c r="AO92" s="1098"/>
      <c r="AP92" s="1098"/>
      <c r="AQ92" s="1098"/>
      <c r="AR92" s="1098"/>
      <c r="AS92" s="1098"/>
      <c r="AT92" s="1098"/>
      <c r="AU92" s="1098"/>
      <c r="AV92" s="1098"/>
      <c r="AW92" s="1098"/>
      <c r="AX92" s="1098"/>
      <c r="AY92" s="1098"/>
      <c r="AZ92" s="1098"/>
      <c r="BA92" s="1098"/>
      <c r="BB92" s="1098"/>
      <c r="BC92" s="1098"/>
      <c r="BD92" s="1098"/>
      <c r="BE92" s="1098"/>
      <c r="BF92" s="1098"/>
      <c r="BG92" s="1098"/>
      <c r="BH92" s="1098"/>
      <c r="BI92" s="1098"/>
      <c r="BJ92" s="1098"/>
      <c r="BK92" s="1098"/>
      <c r="BL92" s="1098"/>
      <c r="BM92" s="1098"/>
      <c r="BN92" s="1098"/>
      <c r="BO92" s="1098"/>
      <c r="BP92" s="1098"/>
      <c r="BQ92" s="1098"/>
      <c r="BR92" s="1098"/>
      <c r="BS92" s="1098"/>
      <c r="BT92" s="1098"/>
      <c r="BU92" s="1098"/>
    </row>
    <row r="93" spans="1:73" x14ac:dyDescent="0.25">
      <c r="A93" s="1098"/>
      <c r="B93" s="1102" t="str">
        <f t="shared" ref="B93:B94" si="28">+$B$8</f>
        <v>Total Capital Investment</v>
      </c>
      <c r="C93" s="1120">
        <f ca="1">+ROUND(C8,0)</f>
        <v>484210222</v>
      </c>
      <c r="D93" s="1102" t="str">
        <f t="shared" ca="1" si="27"/>
        <v>Total Capital Investment = $484,210K</v>
      </c>
      <c r="E93" s="1115">
        <f t="shared" ref="E93:S93" si="29">+K$51</f>
        <v>1.5582197865293927</v>
      </c>
      <c r="F93" s="1115">
        <f t="shared" si="29"/>
        <v>0</v>
      </c>
      <c r="G93" s="1115">
        <f t="shared" si="29"/>
        <v>1.5603382608962266E-3</v>
      </c>
      <c r="H93" s="1115">
        <f t="shared" si="29"/>
        <v>0.1435766003247316</v>
      </c>
      <c r="I93" s="1115">
        <f t="shared" si="29"/>
        <v>0.12137220296106475</v>
      </c>
      <c r="J93" s="1115">
        <f t="shared" si="29"/>
        <v>1.5685799462749842E-2</v>
      </c>
      <c r="K93" s="1115">
        <f t="shared" si="29"/>
        <v>8.987958215351488E-4</v>
      </c>
      <c r="L93" s="1115">
        <f t="shared" si="29"/>
        <v>1.5567912435341155E-3</v>
      </c>
      <c r="M93" s="1115">
        <f t="shared" si="29"/>
        <v>0.11952400105681882</v>
      </c>
      <c r="N93" s="1115">
        <f t="shared" si="29"/>
        <v>0.82524955783637077</v>
      </c>
      <c r="O93" s="1115">
        <f t="shared" si="29"/>
        <v>0</v>
      </c>
      <c r="P93" s="1115">
        <f t="shared" si="29"/>
        <v>0.20561571448089225</v>
      </c>
      <c r="Q93" s="1115">
        <f t="shared" si="29"/>
        <v>9.432006620325277E-2</v>
      </c>
      <c r="R93" s="1115">
        <f t="shared" si="29"/>
        <v>2.7743522830533017E-2</v>
      </c>
      <c r="S93" s="1115">
        <f t="shared" si="29"/>
        <v>4.2370725688043549E-3</v>
      </c>
      <c r="T93" s="1098"/>
      <c r="U93" s="1098"/>
      <c r="V93" s="1098"/>
      <c r="W93" s="1098"/>
      <c r="X93" s="1098"/>
      <c r="Y93" s="1098"/>
      <c r="Z93" s="1098"/>
      <c r="AA93" s="1098"/>
      <c r="AB93" s="1098"/>
      <c r="AC93" s="1098"/>
      <c r="AD93" s="1098"/>
      <c r="AE93" s="1098"/>
      <c r="AF93" s="1098"/>
      <c r="AG93" s="1098"/>
      <c r="AH93" s="1098"/>
      <c r="AI93" s="1098"/>
      <c r="AJ93" s="1098"/>
      <c r="AK93" s="1098"/>
      <c r="AL93" s="1098"/>
      <c r="AM93" s="1098"/>
      <c r="AN93" s="1098"/>
      <c r="AO93" s="1098"/>
      <c r="AP93" s="1098"/>
      <c r="AQ93" s="1098"/>
      <c r="AR93" s="1098"/>
      <c r="AS93" s="1098"/>
      <c r="AT93" s="1098"/>
      <c r="AU93" s="1098"/>
      <c r="AV93" s="1098"/>
      <c r="AW93" s="1098"/>
      <c r="AX93" s="1098"/>
      <c r="AY93" s="1098"/>
      <c r="AZ93" s="1098"/>
      <c r="BA93" s="1098"/>
      <c r="BB93" s="1098"/>
      <c r="BC93" s="1098"/>
      <c r="BD93" s="1098"/>
      <c r="BE93" s="1098"/>
      <c r="BF93" s="1098"/>
      <c r="BG93" s="1098"/>
      <c r="BH93" s="1098"/>
      <c r="BI93" s="1098"/>
      <c r="BJ93" s="1098"/>
      <c r="BK93" s="1098"/>
      <c r="BL93" s="1098"/>
      <c r="BM93" s="1098"/>
      <c r="BN93" s="1098"/>
      <c r="BO93" s="1098"/>
      <c r="BP93" s="1098"/>
      <c r="BQ93" s="1098"/>
      <c r="BR93" s="1098"/>
      <c r="BS93" s="1098"/>
      <c r="BT93" s="1098"/>
      <c r="BU93" s="1098"/>
    </row>
    <row r="94" spans="1:73" x14ac:dyDescent="0.25">
      <c r="A94" s="1098"/>
      <c r="B94" s="1102" t="str">
        <f t="shared" si="28"/>
        <v>Total Capital Investment</v>
      </c>
      <c r="C94" s="1120">
        <f ca="1">+ROUND(I8,0)</f>
        <v>508420733</v>
      </c>
      <c r="D94" s="1102" t="str">
        <f t="shared" ca="1" si="27"/>
        <v>Total Capital Investment = $508,421K</v>
      </c>
      <c r="E94" s="1115">
        <f t="shared" ref="E94:S95" si="30">+K63</f>
        <v>1.574439807063454</v>
      </c>
      <c r="F94" s="1115">
        <f t="shared" si="30"/>
        <v>0</v>
      </c>
      <c r="G94" s="1115">
        <f t="shared" si="30"/>
        <v>1.638355173941038E-3</v>
      </c>
      <c r="H94" s="1115">
        <f t="shared" si="30"/>
        <v>0.15077178669883767</v>
      </c>
      <c r="I94" s="1115">
        <f t="shared" si="30"/>
        <v>0.12137220296106475</v>
      </c>
      <c r="J94" s="1115">
        <f t="shared" si="30"/>
        <v>1.5739891409945753E-2</v>
      </c>
      <c r="K94" s="1115">
        <f t="shared" si="30"/>
        <v>8.987958215351488E-4</v>
      </c>
      <c r="L94" s="1115">
        <f t="shared" si="30"/>
        <v>1.6348081565789267E-3</v>
      </c>
      <c r="M94" s="1115">
        <f t="shared" si="30"/>
        <v>0.1234876923640896</v>
      </c>
      <c r="N94" s="1115">
        <f t="shared" si="30"/>
        <v>0.82524955783637077</v>
      </c>
      <c r="O94" s="1115">
        <f t="shared" si="30"/>
        <v>0</v>
      </c>
      <c r="P94" s="1115">
        <f t="shared" si="30"/>
        <v>0.20561571448089225</v>
      </c>
      <c r="Q94" s="1115">
        <f t="shared" si="30"/>
        <v>9.9046814528644889E-2</v>
      </c>
      <c r="R94" s="1115">
        <f t="shared" si="30"/>
        <v>2.7811489091589866E-2</v>
      </c>
      <c r="S94" s="1115">
        <f t="shared" si="30"/>
        <v>4.4494088878438585E-3</v>
      </c>
      <c r="T94" s="1098"/>
      <c r="U94" s="1098"/>
      <c r="V94" s="1098"/>
      <c r="W94" s="1098"/>
      <c r="X94" s="1098"/>
      <c r="Y94" s="1098"/>
      <c r="Z94" s="1098"/>
      <c r="AA94" s="1098"/>
      <c r="AB94" s="1098"/>
      <c r="AC94" s="1098"/>
      <c r="AD94" s="1098"/>
      <c r="AE94" s="1098"/>
      <c r="AF94" s="1098"/>
      <c r="AG94" s="1098"/>
      <c r="AH94" s="1098"/>
      <c r="AI94" s="1098"/>
      <c r="AJ94" s="1098"/>
      <c r="AK94" s="1098"/>
      <c r="AL94" s="1098"/>
      <c r="AM94" s="1098"/>
      <c r="AN94" s="1098"/>
      <c r="AO94" s="1098"/>
      <c r="AP94" s="1098"/>
      <c r="AQ94" s="1098"/>
      <c r="AR94" s="1098"/>
      <c r="AS94" s="1098"/>
      <c r="AT94" s="1098"/>
      <c r="AU94" s="1098"/>
      <c r="AV94" s="1098"/>
      <c r="AW94" s="1098"/>
      <c r="AX94" s="1098"/>
      <c r="AY94" s="1098"/>
      <c r="AZ94" s="1098"/>
      <c r="BA94" s="1098"/>
      <c r="BB94" s="1098"/>
      <c r="BC94" s="1098"/>
      <c r="BD94" s="1098"/>
      <c r="BE94" s="1098"/>
      <c r="BF94" s="1098"/>
      <c r="BG94" s="1098"/>
      <c r="BH94" s="1098"/>
      <c r="BI94" s="1098"/>
      <c r="BJ94" s="1098"/>
      <c r="BK94" s="1098"/>
      <c r="BL94" s="1098"/>
      <c r="BM94" s="1098"/>
      <c r="BN94" s="1098"/>
      <c r="BO94" s="1098"/>
      <c r="BP94" s="1098"/>
      <c r="BQ94" s="1098"/>
      <c r="BR94" s="1098"/>
      <c r="BS94" s="1098"/>
      <c r="BT94" s="1098"/>
      <c r="BU94" s="1098"/>
    </row>
    <row r="95" spans="1:73" x14ac:dyDescent="0.25">
      <c r="A95" s="1098"/>
      <c r="B95" s="1102" t="str">
        <f>+$B$9</f>
        <v>Total Fixed Operating Cost</v>
      </c>
      <c r="C95" s="1120">
        <f ca="1">+ROUND(H9,0)</f>
        <v>13871162</v>
      </c>
      <c r="D95" s="1102" t="str">
        <f t="shared" ca="1" si="27"/>
        <v>Total Fixed Operating Cost = $13,871K</v>
      </c>
      <c r="E95" s="1115">
        <f t="shared" si="30"/>
        <v>1.5521337610311308</v>
      </c>
      <c r="F95" s="1115">
        <f t="shared" si="30"/>
        <v>0</v>
      </c>
      <c r="G95" s="1115">
        <f t="shared" si="30"/>
        <v>1.5603382608962266E-3</v>
      </c>
      <c r="H95" s="1115">
        <f t="shared" si="30"/>
        <v>0.1435766003247316</v>
      </c>
      <c r="I95" s="1115">
        <f t="shared" si="30"/>
        <v>0.12137220296106475</v>
      </c>
      <c r="J95" s="1115">
        <f t="shared" si="30"/>
        <v>1.5604243086980222E-2</v>
      </c>
      <c r="K95" s="1115">
        <f t="shared" si="30"/>
        <v>8.987958215351488E-4</v>
      </c>
      <c r="L95" s="1115">
        <f t="shared" si="30"/>
        <v>1.5567912435341155E-3</v>
      </c>
      <c r="M95" s="1115">
        <f t="shared" si="30"/>
        <v>0.11354780100397795</v>
      </c>
      <c r="N95" s="1115">
        <f t="shared" si="30"/>
        <v>0.82524955783637077</v>
      </c>
      <c r="O95" s="1115">
        <f t="shared" si="30"/>
        <v>0</v>
      </c>
      <c r="P95" s="1115">
        <f t="shared" si="30"/>
        <v>0.20561571448089225</v>
      </c>
      <c r="Q95" s="1115">
        <f t="shared" si="30"/>
        <v>9.432006620325277E-2</v>
      </c>
      <c r="R95" s="1115">
        <f t="shared" si="30"/>
        <v>2.7715253760881676E-2</v>
      </c>
      <c r="S95" s="1115">
        <f t="shared" si="30"/>
        <v>4.2370725688043549E-3</v>
      </c>
      <c r="T95" s="1098"/>
      <c r="U95" s="1098"/>
      <c r="V95" s="1098"/>
      <c r="W95" s="1098"/>
      <c r="X95" s="1098"/>
      <c r="Y95" s="1098"/>
      <c r="Z95" s="1098"/>
      <c r="AA95" s="1098"/>
      <c r="AB95" s="1098"/>
      <c r="AC95" s="1098"/>
      <c r="AD95" s="1098"/>
      <c r="AE95" s="1098"/>
      <c r="AF95" s="1098"/>
      <c r="AG95" s="1098"/>
      <c r="AH95" s="1098"/>
      <c r="AI95" s="1098"/>
      <c r="AJ95" s="1098"/>
      <c r="AK95" s="1098"/>
      <c r="AL95" s="1098"/>
      <c r="AM95" s="1098"/>
      <c r="AN95" s="1098"/>
      <c r="AO95" s="1098"/>
      <c r="AP95" s="1098"/>
      <c r="AQ95" s="1098"/>
      <c r="AR95" s="1098"/>
      <c r="AS95" s="1098"/>
      <c r="AT95" s="1098"/>
      <c r="AU95" s="1098"/>
      <c r="AV95" s="1098"/>
      <c r="AW95" s="1098"/>
      <c r="AX95" s="1098"/>
      <c r="AY95" s="1098"/>
      <c r="AZ95" s="1098"/>
      <c r="BA95" s="1098"/>
      <c r="BB95" s="1098"/>
      <c r="BC95" s="1098"/>
      <c r="BD95" s="1098"/>
      <c r="BE95" s="1098"/>
      <c r="BF95" s="1098"/>
      <c r="BG95" s="1098"/>
      <c r="BH95" s="1098"/>
      <c r="BI95" s="1098"/>
      <c r="BJ95" s="1098"/>
      <c r="BK95" s="1098"/>
      <c r="BL95" s="1098"/>
      <c r="BM95" s="1098"/>
      <c r="BN95" s="1098"/>
      <c r="BO95" s="1098"/>
      <c r="BP95" s="1098"/>
      <c r="BQ95" s="1098"/>
      <c r="BR95" s="1098"/>
      <c r="BS95" s="1098"/>
      <c r="BT95" s="1098"/>
      <c r="BU95" s="1098"/>
    </row>
    <row r="96" spans="1:73" x14ac:dyDescent="0.25">
      <c r="A96" s="1098"/>
      <c r="B96" s="1102" t="str">
        <f t="shared" ref="B96:B97" si="31">+$B$9</f>
        <v>Total Fixed Operating Cost</v>
      </c>
      <c r="C96" s="1120">
        <f ca="1">+ROUND(C9,0)</f>
        <v>14601224</v>
      </c>
      <c r="D96" s="1102" t="str">
        <f t="shared" ca="1" si="27"/>
        <v>Total Fixed Operating Cost = $14,601K</v>
      </c>
      <c r="E96" s="1115">
        <f t="shared" ref="E96:S96" si="32">+K$51</f>
        <v>1.5582197865293927</v>
      </c>
      <c r="F96" s="1115">
        <f t="shared" si="32"/>
        <v>0</v>
      </c>
      <c r="G96" s="1115">
        <f t="shared" si="32"/>
        <v>1.5603382608962266E-3</v>
      </c>
      <c r="H96" s="1115">
        <f t="shared" si="32"/>
        <v>0.1435766003247316</v>
      </c>
      <c r="I96" s="1115">
        <f t="shared" si="32"/>
        <v>0.12137220296106475</v>
      </c>
      <c r="J96" s="1115">
        <f t="shared" si="32"/>
        <v>1.5685799462749842E-2</v>
      </c>
      <c r="K96" s="1115">
        <f t="shared" si="32"/>
        <v>8.987958215351488E-4</v>
      </c>
      <c r="L96" s="1115">
        <f t="shared" si="32"/>
        <v>1.5567912435341155E-3</v>
      </c>
      <c r="M96" s="1115">
        <f t="shared" si="32"/>
        <v>0.11952400105681882</v>
      </c>
      <c r="N96" s="1115">
        <f t="shared" si="32"/>
        <v>0.82524955783637077</v>
      </c>
      <c r="O96" s="1115">
        <f t="shared" si="32"/>
        <v>0</v>
      </c>
      <c r="P96" s="1115">
        <f t="shared" si="32"/>
        <v>0.20561571448089225</v>
      </c>
      <c r="Q96" s="1115">
        <f t="shared" si="32"/>
        <v>9.432006620325277E-2</v>
      </c>
      <c r="R96" s="1115">
        <f t="shared" si="32"/>
        <v>2.7743522830533017E-2</v>
      </c>
      <c r="S96" s="1115">
        <f t="shared" si="32"/>
        <v>4.2370725688043549E-3</v>
      </c>
      <c r="T96" s="1098"/>
      <c r="U96" s="1098"/>
      <c r="V96" s="1098"/>
      <c r="W96" s="1098"/>
      <c r="X96" s="1098"/>
      <c r="Y96" s="1098"/>
      <c r="Z96" s="1098"/>
      <c r="AA96" s="1098"/>
      <c r="AB96" s="1098"/>
      <c r="AC96" s="1098"/>
      <c r="AD96" s="1098"/>
      <c r="AE96" s="1098"/>
      <c r="AF96" s="1098"/>
      <c r="AG96" s="1098"/>
      <c r="AH96" s="1098"/>
      <c r="AI96" s="1098"/>
      <c r="AJ96" s="1098"/>
      <c r="AK96" s="1098"/>
      <c r="AL96" s="1098"/>
      <c r="AM96" s="1098"/>
      <c r="AN96" s="1098"/>
      <c r="AO96" s="1098"/>
      <c r="AP96" s="1098"/>
      <c r="AQ96" s="1098"/>
      <c r="AR96" s="1098"/>
      <c r="AS96" s="1098"/>
      <c r="AT96" s="1098"/>
      <c r="AU96" s="1098"/>
      <c r="AV96" s="1098"/>
      <c r="AW96" s="1098"/>
      <c r="AX96" s="1098"/>
      <c r="AY96" s="1098"/>
      <c r="AZ96" s="1098"/>
      <c r="BA96" s="1098"/>
      <c r="BB96" s="1098"/>
      <c r="BC96" s="1098"/>
      <c r="BD96" s="1098"/>
      <c r="BE96" s="1098"/>
      <c r="BF96" s="1098"/>
      <c r="BG96" s="1098"/>
      <c r="BH96" s="1098"/>
      <c r="BI96" s="1098"/>
      <c r="BJ96" s="1098"/>
      <c r="BK96" s="1098"/>
      <c r="BL96" s="1098"/>
      <c r="BM96" s="1098"/>
      <c r="BN96" s="1098"/>
      <c r="BO96" s="1098"/>
      <c r="BP96" s="1098"/>
      <c r="BQ96" s="1098"/>
      <c r="BR96" s="1098"/>
      <c r="BS96" s="1098"/>
      <c r="BT96" s="1098"/>
      <c r="BU96" s="1098"/>
    </row>
    <row r="97" spans="1:73" x14ac:dyDescent="0.25">
      <c r="A97" s="1098"/>
      <c r="B97" s="1102" t="str">
        <f t="shared" si="31"/>
        <v>Total Fixed Operating Cost</v>
      </c>
      <c r="C97" s="1120">
        <f ca="1">+ROUND(I9,0)</f>
        <v>15331285</v>
      </c>
      <c r="D97" s="1102" t="str">
        <f t="shared" ca="1" si="27"/>
        <v>Total Fixed Operating Cost = $15,331K</v>
      </c>
      <c r="E97" s="1115">
        <f t="shared" ref="E97:S97" si="33">+K65</f>
        <v>1.5643058120276547</v>
      </c>
      <c r="F97" s="1115">
        <f t="shared" si="33"/>
        <v>0</v>
      </c>
      <c r="G97" s="1115">
        <f t="shared" si="33"/>
        <v>1.5603382608962266E-3</v>
      </c>
      <c r="H97" s="1115">
        <f t="shared" si="33"/>
        <v>0.1435766003247316</v>
      </c>
      <c r="I97" s="1115">
        <f t="shared" si="33"/>
        <v>0.12137220296106475</v>
      </c>
      <c r="J97" s="1115">
        <f t="shared" si="33"/>
        <v>1.5767355838519452E-2</v>
      </c>
      <c r="K97" s="1115">
        <f t="shared" si="33"/>
        <v>8.987958215351488E-4</v>
      </c>
      <c r="L97" s="1115">
        <f t="shared" si="33"/>
        <v>1.5567912435341155E-3</v>
      </c>
      <c r="M97" s="1115">
        <f t="shared" si="33"/>
        <v>0.12550020110965976</v>
      </c>
      <c r="N97" s="1115">
        <f t="shared" si="33"/>
        <v>0.82524955783637077</v>
      </c>
      <c r="O97" s="1115">
        <f t="shared" si="33"/>
        <v>0</v>
      </c>
      <c r="P97" s="1115">
        <f t="shared" si="33"/>
        <v>0.20561571448089225</v>
      </c>
      <c r="Q97" s="1115">
        <f t="shared" si="33"/>
        <v>9.432006620325277E-2</v>
      </c>
      <c r="R97" s="1115">
        <f t="shared" si="33"/>
        <v>2.7771791900184448E-2</v>
      </c>
      <c r="S97" s="1115">
        <f t="shared" si="33"/>
        <v>4.2370725688043549E-3</v>
      </c>
      <c r="T97" s="1098"/>
      <c r="U97" s="1098"/>
      <c r="V97" s="1098"/>
      <c r="W97" s="1098"/>
      <c r="X97" s="1098"/>
      <c r="Y97" s="1098"/>
      <c r="Z97" s="1098"/>
      <c r="AA97" s="1098"/>
      <c r="AB97" s="1098"/>
      <c r="AC97" s="1098"/>
      <c r="AD97" s="1098"/>
      <c r="AE97" s="1098"/>
      <c r="AF97" s="1098"/>
      <c r="AG97" s="1098"/>
      <c r="AH97" s="1098"/>
      <c r="AI97" s="1098"/>
      <c r="AJ97" s="1098"/>
      <c r="AK97" s="1098"/>
      <c r="AL97" s="1098"/>
      <c r="AM97" s="1098"/>
      <c r="AN97" s="1098"/>
      <c r="AO97" s="1098"/>
      <c r="AP97" s="1098"/>
      <c r="AQ97" s="1098"/>
      <c r="AR97" s="1098"/>
      <c r="AS97" s="1098"/>
      <c r="AT97" s="1098"/>
      <c r="AU97" s="1098"/>
      <c r="AV97" s="1098"/>
      <c r="AW97" s="1098"/>
      <c r="AX97" s="1098"/>
      <c r="AY97" s="1098"/>
      <c r="AZ97" s="1098"/>
      <c r="BA97" s="1098"/>
      <c r="BB97" s="1098"/>
      <c r="BC97" s="1098"/>
      <c r="BD97" s="1098"/>
      <c r="BE97" s="1098"/>
      <c r="BF97" s="1098"/>
      <c r="BG97" s="1098"/>
      <c r="BH97" s="1098"/>
      <c r="BI97" s="1098"/>
      <c r="BJ97" s="1098"/>
      <c r="BK97" s="1098"/>
      <c r="BL97" s="1098"/>
      <c r="BM97" s="1098"/>
      <c r="BN97" s="1098"/>
      <c r="BO97" s="1098"/>
      <c r="BP97" s="1098"/>
      <c r="BQ97" s="1098"/>
      <c r="BR97" s="1098"/>
      <c r="BS97" s="1098"/>
      <c r="BT97" s="1098"/>
      <c r="BU97" s="1098"/>
    </row>
    <row r="98" spans="1:73" x14ac:dyDescent="0.25">
      <c r="A98" s="1098"/>
      <c r="B98" s="1098"/>
      <c r="C98" s="1098"/>
      <c r="D98" s="1098"/>
      <c r="E98" s="1098"/>
      <c r="F98" s="1098"/>
      <c r="G98" s="1098"/>
      <c r="H98" s="1098"/>
      <c r="I98" s="1098"/>
      <c r="J98" s="1098"/>
      <c r="K98" s="1098"/>
      <c r="L98" s="1098"/>
      <c r="M98" s="1098"/>
      <c r="N98" s="1098"/>
      <c r="O98" s="1098"/>
      <c r="P98" s="1098"/>
      <c r="Q98" s="1098"/>
      <c r="R98" s="1098"/>
      <c r="S98" s="1098"/>
      <c r="T98" s="1098"/>
      <c r="U98" s="1098"/>
      <c r="V98" s="1098"/>
      <c r="W98" s="1098"/>
      <c r="X98" s="1098"/>
      <c r="Y98" s="1098"/>
      <c r="Z98" s="1098"/>
      <c r="AA98" s="1098"/>
      <c r="AB98" s="1098"/>
      <c r="AC98" s="1098"/>
      <c r="AD98" s="1098"/>
      <c r="AE98" s="1098"/>
      <c r="AF98" s="1098"/>
      <c r="AG98" s="1098"/>
      <c r="AH98" s="1098"/>
      <c r="AI98" s="1098"/>
      <c r="AJ98" s="1098"/>
      <c r="AK98" s="1098"/>
      <c r="AL98" s="1098"/>
      <c r="AM98" s="1098"/>
      <c r="AN98" s="1098"/>
      <c r="AO98" s="1098"/>
      <c r="AP98" s="1098"/>
      <c r="AQ98" s="1098"/>
      <c r="AR98" s="1098"/>
      <c r="AS98" s="1098"/>
      <c r="AT98" s="1098"/>
      <c r="AU98" s="1098"/>
      <c r="AV98" s="1098"/>
      <c r="AW98" s="1098"/>
      <c r="AX98" s="1098"/>
      <c r="AY98" s="1098"/>
      <c r="AZ98" s="1098"/>
      <c r="BA98" s="1098"/>
      <c r="BB98" s="1098"/>
      <c r="BC98" s="1098"/>
      <c r="BD98" s="1098"/>
      <c r="BE98" s="1098"/>
      <c r="BF98" s="1098"/>
      <c r="BG98" s="1098"/>
      <c r="BH98" s="1098"/>
      <c r="BI98" s="1098"/>
      <c r="BJ98" s="1098"/>
      <c r="BK98" s="1098"/>
      <c r="BL98" s="1098"/>
      <c r="BM98" s="1098"/>
      <c r="BN98" s="1098"/>
      <c r="BO98" s="1098"/>
      <c r="BP98" s="1098"/>
      <c r="BQ98" s="1098"/>
      <c r="BR98" s="1098"/>
      <c r="BS98" s="1098"/>
      <c r="BT98" s="1098"/>
      <c r="BU98" s="1098"/>
    </row>
    <row r="99" spans="1:73" x14ac:dyDescent="0.25">
      <c r="A99" s="1098"/>
      <c r="B99" s="1098"/>
      <c r="C99" s="1098"/>
      <c r="D99" s="1098"/>
      <c r="E99" s="1098"/>
      <c r="F99" s="1098"/>
      <c r="G99" s="1098"/>
      <c r="H99" s="1098"/>
      <c r="I99" s="1098"/>
      <c r="J99" s="1098"/>
      <c r="K99" s="1098"/>
      <c r="L99" s="1098"/>
      <c r="M99" s="1098"/>
      <c r="N99" s="1098"/>
      <c r="O99" s="1098"/>
      <c r="P99" s="1098"/>
      <c r="Q99" s="1098"/>
      <c r="R99" s="1098"/>
      <c r="S99" s="1098"/>
      <c r="T99" s="1098"/>
      <c r="U99" s="1098"/>
      <c r="V99" s="1098"/>
      <c r="W99" s="1098"/>
      <c r="X99" s="1098"/>
      <c r="Y99" s="1098"/>
      <c r="Z99" s="1098"/>
      <c r="AA99" s="1098"/>
      <c r="AB99" s="1098"/>
      <c r="AC99" s="1098"/>
      <c r="AD99" s="1098"/>
      <c r="AE99" s="1098"/>
      <c r="AF99" s="1098"/>
      <c r="AG99" s="1098"/>
      <c r="AH99" s="1098"/>
      <c r="AI99" s="1098"/>
      <c r="AJ99" s="1098"/>
      <c r="AK99" s="1098"/>
      <c r="AL99" s="1098"/>
      <c r="AM99" s="1098"/>
      <c r="AN99" s="1098"/>
      <c r="AO99" s="1098"/>
      <c r="AP99" s="1098"/>
      <c r="AQ99" s="1098"/>
      <c r="AR99" s="1098"/>
      <c r="AS99" s="1098"/>
      <c r="AT99" s="1098"/>
      <c r="AU99" s="1098"/>
      <c r="AV99" s="1098"/>
      <c r="AW99" s="1098"/>
      <c r="AX99" s="1098"/>
      <c r="AY99" s="1098"/>
      <c r="AZ99" s="1098"/>
      <c r="BA99" s="1098"/>
      <c r="BB99" s="1098"/>
      <c r="BC99" s="1098"/>
      <c r="BD99" s="1098"/>
      <c r="BE99" s="1098"/>
      <c r="BF99" s="1098"/>
      <c r="BG99" s="1098"/>
      <c r="BH99" s="1098"/>
      <c r="BI99" s="1098"/>
      <c r="BJ99" s="1098"/>
      <c r="BK99" s="1098"/>
      <c r="BL99" s="1098"/>
      <c r="BM99" s="1098"/>
      <c r="BN99" s="1098"/>
      <c r="BO99" s="1098"/>
      <c r="BP99" s="1098"/>
      <c r="BQ99" s="1098"/>
      <c r="BR99" s="1098"/>
      <c r="BS99" s="1098"/>
      <c r="BT99" s="1098"/>
      <c r="BU99" s="1098"/>
    </row>
    <row r="100" spans="1:73" ht="26" x14ac:dyDescent="0.3">
      <c r="A100" s="1098"/>
      <c r="B100" s="1100" t="s">
        <v>1149</v>
      </c>
      <c r="C100" s="1121" t="s">
        <v>1148</v>
      </c>
      <c r="D100" s="1" t="s">
        <v>1158</v>
      </c>
      <c r="E100" s="1100" t="s">
        <v>1154</v>
      </c>
      <c r="F100" s="1100" t="s">
        <v>1155</v>
      </c>
      <c r="G100" s="1100" t="s">
        <v>1156</v>
      </c>
      <c r="H100" s="1100" t="s">
        <v>1150</v>
      </c>
      <c r="I100" s="1100" t="s">
        <v>1151</v>
      </c>
      <c r="J100" s="1100" t="s">
        <v>1152</v>
      </c>
      <c r="K100" s="1098"/>
      <c r="L100" s="1100" t="s">
        <v>1157</v>
      </c>
      <c r="M100" s="1109" t="s">
        <v>1160</v>
      </c>
      <c r="N100" s="1109" t="s">
        <v>1143</v>
      </c>
      <c r="O100" s="1098"/>
      <c r="P100" s="1098"/>
      <c r="Q100" s="1098"/>
      <c r="R100" s="1098"/>
      <c r="S100" s="1098"/>
      <c r="T100" s="1098"/>
      <c r="U100" s="1098"/>
      <c r="V100" s="1098"/>
      <c r="W100" s="1098"/>
      <c r="X100" s="1098"/>
      <c r="Y100" s="1098"/>
      <c r="Z100" s="1098"/>
      <c r="AA100" s="1098"/>
      <c r="AB100" s="1098"/>
      <c r="AC100" s="1098"/>
      <c r="AD100" s="1098"/>
      <c r="AE100" s="1098"/>
      <c r="AF100" s="1098"/>
      <c r="AG100" s="1098"/>
      <c r="AH100" s="1098"/>
      <c r="AI100" s="1098"/>
      <c r="AJ100" s="1098"/>
      <c r="AK100" s="1098"/>
      <c r="AL100" s="1098"/>
      <c r="AM100" s="1098"/>
      <c r="AN100" s="1098"/>
      <c r="AO100" s="1098"/>
      <c r="AP100" s="1098"/>
      <c r="AQ100" s="1098"/>
      <c r="AR100" s="1098"/>
      <c r="AS100" s="1098"/>
      <c r="AT100" s="1098"/>
      <c r="AU100" s="1098"/>
      <c r="AV100" s="1098"/>
      <c r="AW100" s="1098"/>
      <c r="AX100" s="1098"/>
      <c r="AY100" s="1098"/>
      <c r="AZ100" s="1098"/>
      <c r="BA100" s="1098"/>
      <c r="BB100" s="1098"/>
      <c r="BC100" s="1098"/>
      <c r="BD100" s="1098"/>
      <c r="BE100" s="1098"/>
      <c r="BF100" s="1098"/>
      <c r="BG100" s="1098"/>
      <c r="BH100" s="1098"/>
      <c r="BI100" s="1098"/>
      <c r="BJ100" s="1098"/>
      <c r="BK100" s="1098"/>
      <c r="BL100" s="1098"/>
      <c r="BM100" s="1098"/>
      <c r="BN100" s="1098"/>
      <c r="BO100" s="1098"/>
      <c r="BP100" s="1098"/>
      <c r="BQ100" s="1098"/>
      <c r="BR100" s="1098"/>
      <c r="BS100" s="1098"/>
      <c r="BT100" s="1098"/>
      <c r="BU100" s="1098"/>
    </row>
    <row r="101" spans="1:73" ht="13" x14ac:dyDescent="0.3">
      <c r="A101" s="1098"/>
      <c r="B101" s="1098"/>
      <c r="C101" s="1122">
        <v>1</v>
      </c>
      <c r="D101" s="1102" t="str">
        <f t="shared" ref="D101:D107" ca="1" si="34">OFFSET(L$100,MATCH($C101,$N$101:$N$107,0),0)</f>
        <v>Feedstock Consumption (% of baseline)
(95%, 100%, 105%)</v>
      </c>
      <c r="E101" s="1197">
        <f t="shared" ref="E101:E107" ca="1" si="35">OFFSET(E$76,MATCH($C101,$N$101:$N$107,0)*3-2,0)</f>
        <v>1.5080814671972416</v>
      </c>
      <c r="F101" s="1197">
        <f t="shared" ref="F101:F107" si="36">+$K$51</f>
        <v>1.5582197865293927</v>
      </c>
      <c r="G101" s="1197">
        <f t="shared" ref="G101:G107" ca="1" si="37">OFFSET(E$76,MATCH($C101,$N$101:$N$107,0)*3,0)</f>
        <v>1.6081327271971479</v>
      </c>
      <c r="H101" s="1102">
        <f ca="1">+E101</f>
        <v>1.5080814671972416</v>
      </c>
      <c r="I101" s="1102">
        <f ca="1">+F101-E101</f>
        <v>5.0138319332151182E-2</v>
      </c>
      <c r="J101" s="1102">
        <f ca="1">+G101-F101</f>
        <v>4.9912940667755201E-2</v>
      </c>
      <c r="K101" s="1098"/>
      <c r="L101" s="1102" t="str">
        <f ca="1">+B3&amp;"
("&amp;TEXT(H3,"0%, ")&amp;TEXT(C3,"0%, ")&amp;TEXT(I3,"0%)")</f>
        <v>Operating Capacity Factor
(95%, 90%, 86%)</v>
      </c>
      <c r="M101" s="1112">
        <f>ABS(K52-K53)+0.000000001</f>
        <v>4.8935613002090511E-2</v>
      </c>
      <c r="N101" s="1102">
        <f t="shared" ref="N101:N107" si="38">+RANK(M101,$M$101:$M$107)</f>
        <v>2</v>
      </c>
      <c r="O101" s="1109"/>
      <c r="P101" s="1098"/>
      <c r="Q101" s="1098"/>
      <c r="R101" s="1098"/>
      <c r="S101" s="1098"/>
      <c r="T101" s="1098"/>
      <c r="U101" s="1098"/>
      <c r="V101" s="1098"/>
      <c r="W101" s="1098"/>
      <c r="X101" s="1098"/>
      <c r="Y101" s="1098"/>
      <c r="Z101" s="1098"/>
      <c r="AA101" s="1098"/>
      <c r="AB101" s="1098"/>
      <c r="AC101" s="1098"/>
      <c r="AD101" s="1098"/>
      <c r="AE101" s="1098"/>
      <c r="AF101" s="1098"/>
      <c r="AG101" s="1098"/>
      <c r="AH101" s="1098"/>
      <c r="AI101" s="1098"/>
      <c r="AJ101" s="1098"/>
      <c r="AK101" s="1098"/>
      <c r="AL101" s="1098"/>
      <c r="AM101" s="1098"/>
      <c r="AN101" s="1098"/>
      <c r="AO101" s="1098"/>
      <c r="AP101" s="1098"/>
      <c r="AQ101" s="1098"/>
      <c r="AR101" s="1098"/>
      <c r="AS101" s="1098"/>
      <c r="AT101" s="1098"/>
      <c r="AU101" s="1098"/>
      <c r="AV101" s="1098"/>
      <c r="AW101" s="1098"/>
      <c r="AX101" s="1098"/>
      <c r="AY101" s="1098"/>
      <c r="AZ101" s="1098"/>
      <c r="BA101" s="1098"/>
      <c r="BB101" s="1098"/>
      <c r="BC101" s="1098"/>
      <c r="BD101" s="1098"/>
      <c r="BE101" s="1098"/>
      <c r="BF101" s="1098"/>
      <c r="BG101" s="1098"/>
      <c r="BH101" s="1098"/>
      <c r="BI101" s="1098"/>
      <c r="BJ101" s="1098"/>
      <c r="BK101" s="1098"/>
      <c r="BL101" s="1098"/>
      <c r="BM101" s="1098"/>
      <c r="BN101" s="1098"/>
      <c r="BO101" s="1098"/>
      <c r="BP101" s="1098"/>
      <c r="BQ101" s="1098"/>
      <c r="BR101" s="1098"/>
      <c r="BS101" s="1098"/>
      <c r="BT101" s="1098"/>
      <c r="BU101" s="1098"/>
    </row>
    <row r="102" spans="1:73" ht="13" x14ac:dyDescent="0.3">
      <c r="A102" s="1098"/>
      <c r="B102" s="1098"/>
      <c r="C102" s="1122">
        <v>2</v>
      </c>
      <c r="D102" s="1102" t="str">
        <f t="shared" ca="1" si="34"/>
        <v>Operating Capacity Factor
(95%, 90%, 86%)</v>
      </c>
      <c r="E102" s="1197">
        <f t="shared" ca="1" si="35"/>
        <v>1.5348626802275835</v>
      </c>
      <c r="F102" s="1197">
        <f t="shared" si="36"/>
        <v>1.5582197865293927</v>
      </c>
      <c r="G102" s="1197">
        <f t="shared" ca="1" si="37"/>
        <v>1.5837982922296741</v>
      </c>
      <c r="H102" s="1102">
        <f t="shared" ref="H102:H107" ca="1" si="39">+E102</f>
        <v>1.5348626802275835</v>
      </c>
      <c r="I102" s="1102">
        <f t="shared" ref="I102:I107" ca="1" si="40">+F102-E102</f>
        <v>2.3357106301809205E-2</v>
      </c>
      <c r="J102" s="1102">
        <f t="shared" ref="J102:J107" ca="1" si="41">+G102-F102</f>
        <v>2.5578505700281307E-2</v>
      </c>
      <c r="K102" s="1098"/>
      <c r="L102" s="1102" t="str">
        <f ca="1">+B4&amp;"
("&amp;TEXT(H4,"0,000")&amp;", "&amp;TEXT(C4,"0,000")&amp;", "&amp;TEXT(I4,"0,000")&amp;") "</f>
        <v xml:space="preserve">Plant Design Capacity (kg of H2/day)
(398,356, 379,387, 360,418) </v>
      </c>
      <c r="M102" s="1112">
        <f>+ABS(K54-K55)+0.000000002</f>
        <v>2.9347038397406655E-2</v>
      </c>
      <c r="N102" s="1102">
        <f t="shared" si="38"/>
        <v>4</v>
      </c>
      <c r="O102" s="1109"/>
      <c r="P102" s="1098"/>
      <c r="Q102" s="1098"/>
      <c r="R102" s="1098"/>
      <c r="S102" s="1098"/>
      <c r="T102" s="1098"/>
      <c r="U102" s="1098"/>
      <c r="V102" s="1098"/>
      <c r="W102" s="1098"/>
      <c r="X102" s="1098"/>
      <c r="Y102" s="1098"/>
      <c r="Z102" s="1098"/>
      <c r="AA102" s="1098"/>
      <c r="AB102" s="1098"/>
      <c r="AC102" s="1098"/>
      <c r="AD102" s="1098"/>
      <c r="AE102" s="1098"/>
      <c r="AF102" s="1098"/>
      <c r="AG102" s="1098"/>
      <c r="AH102" s="1098"/>
      <c r="AI102" s="1098"/>
      <c r="AJ102" s="1098"/>
      <c r="AK102" s="1098"/>
      <c r="AL102" s="1098"/>
      <c r="AM102" s="1098"/>
      <c r="AN102" s="1098"/>
      <c r="AO102" s="1098"/>
      <c r="AP102" s="1098"/>
      <c r="AQ102" s="1098"/>
      <c r="AR102" s="1098"/>
      <c r="AS102" s="1098"/>
      <c r="AT102" s="1098"/>
      <c r="AU102" s="1098"/>
      <c r="AV102" s="1098"/>
      <c r="AW102" s="1098"/>
      <c r="AX102" s="1098"/>
      <c r="AY102" s="1098"/>
      <c r="AZ102" s="1098"/>
      <c r="BA102" s="1098"/>
      <c r="BB102" s="1098"/>
      <c r="BC102" s="1098"/>
      <c r="BD102" s="1098"/>
      <c r="BE102" s="1098"/>
      <c r="BF102" s="1098"/>
      <c r="BG102" s="1098"/>
      <c r="BH102" s="1098"/>
      <c r="BI102" s="1098"/>
      <c r="BJ102" s="1098"/>
      <c r="BK102" s="1098"/>
      <c r="BL102" s="1098"/>
      <c r="BM102" s="1098"/>
      <c r="BN102" s="1098"/>
      <c r="BO102" s="1098"/>
      <c r="BP102" s="1098"/>
      <c r="BQ102" s="1098"/>
      <c r="BR102" s="1098"/>
      <c r="BS102" s="1098"/>
      <c r="BT102" s="1098"/>
      <c r="BU102" s="1098"/>
    </row>
    <row r="103" spans="1:73" ht="13" x14ac:dyDescent="0.3">
      <c r="A103" s="1098"/>
      <c r="B103" s="1098"/>
      <c r="C103" s="1122">
        <v>3</v>
      </c>
      <c r="D103" s="1102" t="str">
        <f t="shared" ca="1" si="34"/>
        <v xml:space="preserve">Total Capital Investment
($460,000K, $484,210K, $508,421K) </v>
      </c>
      <c r="E103" s="1197">
        <f t="shared" ca="1" si="35"/>
        <v>1.5419997659953315</v>
      </c>
      <c r="F103" s="1197">
        <f t="shared" si="36"/>
        <v>1.5582197865293927</v>
      </c>
      <c r="G103" s="1197">
        <f t="shared" ca="1" si="37"/>
        <v>1.574439807063454</v>
      </c>
      <c r="H103" s="1102">
        <f t="shared" ca="1" si="39"/>
        <v>1.5419997659953315</v>
      </c>
      <c r="I103" s="1102">
        <f t="shared" ca="1" si="40"/>
        <v>1.6220020534061241E-2</v>
      </c>
      <c r="J103" s="1102">
        <f t="shared" ca="1" si="41"/>
        <v>1.6220020534061241E-2</v>
      </c>
      <c r="K103" s="1098"/>
      <c r="L103" s="1102" t="str">
        <f ca="1">+B5&amp;"
("&amp;TEXT(H5,"0%, ")&amp;TEXT(C5,"0%, ")&amp;TEXT(I5,"0%)")</f>
        <v>After-tax Real IRR
(8%, 8%, 8%)</v>
      </c>
      <c r="M103" s="1112">
        <f>+ABS(K56-K57)+0.000000003</f>
        <v>1.4659069243178032E-2</v>
      </c>
      <c r="N103" s="1102">
        <f t="shared" si="38"/>
        <v>5</v>
      </c>
      <c r="O103" s="1109"/>
      <c r="P103" s="1098"/>
      <c r="Q103" s="1098"/>
      <c r="R103" s="1098"/>
      <c r="S103" s="1098"/>
      <c r="T103" s="1098"/>
      <c r="U103" s="1098"/>
      <c r="V103" s="1098"/>
      <c r="W103" s="1098"/>
      <c r="X103" s="1098"/>
      <c r="Y103" s="1098"/>
      <c r="Z103" s="1098"/>
      <c r="AA103" s="1098"/>
      <c r="AB103" s="1098"/>
      <c r="AC103" s="1098"/>
      <c r="AD103" s="1098"/>
      <c r="AE103" s="1098"/>
      <c r="AF103" s="1098"/>
      <c r="AG103" s="1098"/>
      <c r="AH103" s="1098"/>
      <c r="AI103" s="1098"/>
      <c r="AJ103" s="1098"/>
      <c r="AK103" s="1098"/>
      <c r="AL103" s="1098"/>
      <c r="AM103" s="1098"/>
      <c r="AN103" s="1098"/>
      <c r="AO103" s="1098"/>
      <c r="AP103" s="1098"/>
      <c r="AQ103" s="1098"/>
      <c r="AR103" s="1098"/>
      <c r="AS103" s="1098"/>
      <c r="AT103" s="1098"/>
      <c r="AU103" s="1098"/>
      <c r="AV103" s="1098"/>
      <c r="AW103" s="1098"/>
      <c r="AX103" s="1098"/>
      <c r="AY103" s="1098"/>
      <c r="AZ103" s="1098"/>
      <c r="BA103" s="1098"/>
      <c r="BB103" s="1098"/>
      <c r="BC103" s="1098"/>
      <c r="BD103" s="1098"/>
      <c r="BE103" s="1098"/>
      <c r="BF103" s="1098"/>
      <c r="BG103" s="1098"/>
      <c r="BH103" s="1098"/>
      <c r="BI103" s="1098"/>
      <c r="BJ103" s="1098"/>
      <c r="BK103" s="1098"/>
      <c r="BL103" s="1098"/>
      <c r="BM103" s="1098"/>
      <c r="BN103" s="1098"/>
      <c r="BO103" s="1098"/>
      <c r="BP103" s="1098"/>
      <c r="BQ103" s="1098"/>
      <c r="BR103" s="1098"/>
      <c r="BS103" s="1098"/>
      <c r="BT103" s="1098"/>
      <c r="BU103" s="1098"/>
    </row>
    <row r="104" spans="1:73" ht="13" x14ac:dyDescent="0.3">
      <c r="A104" s="1098"/>
      <c r="B104" s="1098"/>
      <c r="C104" s="1122">
        <v>4</v>
      </c>
      <c r="D104" s="1102" t="str">
        <f t="shared" ca="1" si="34"/>
        <v xml:space="preserve">Plant Design Capacity (kg of H2/day)
(398,356, 379,387, 360,418) </v>
      </c>
      <c r="E104" s="1197">
        <f t="shared" ca="1" si="35"/>
        <v>1.5440945172151936</v>
      </c>
      <c r="F104" s="1197">
        <f t="shared" si="36"/>
        <v>1.5582197865293927</v>
      </c>
      <c r="G104" s="1197">
        <f t="shared" ca="1" si="37"/>
        <v>1.5734415536126003</v>
      </c>
      <c r="H104" s="1102">
        <f t="shared" ca="1" si="39"/>
        <v>1.5440945172151936</v>
      </c>
      <c r="I104" s="1102">
        <f t="shared" ca="1" si="40"/>
        <v>1.4125269314199107E-2</v>
      </c>
      <c r="J104" s="1102">
        <f t="shared" ca="1" si="41"/>
        <v>1.5221767083207549E-2</v>
      </c>
      <c r="K104" s="1098"/>
      <c r="L104" s="1102" t="str">
        <f>+B6&amp;"
("&amp;TEXT(H6,"0%, ")&amp;TEXT(C6,"0%, ")&amp;TEXT(I6,"0%)")</f>
        <v>Feedstock Consumption (% of baseline)
(95%, 100%, 105%)</v>
      </c>
      <c r="M104" s="1112">
        <f>+ABS(K58-K59)+0.000000004</f>
        <v>0.10005126399990638</v>
      </c>
      <c r="N104" s="1102">
        <f t="shared" si="38"/>
        <v>1</v>
      </c>
      <c r="O104" s="1109"/>
      <c r="P104" s="1098"/>
      <c r="Q104" s="1098"/>
      <c r="R104" s="1098"/>
      <c r="S104" s="1098"/>
      <c r="T104" s="1098"/>
      <c r="U104" s="1098"/>
      <c r="V104" s="1098"/>
      <c r="W104" s="1098"/>
      <c r="X104" s="1098"/>
      <c r="Y104" s="1098"/>
      <c r="Z104" s="1098"/>
      <c r="AA104" s="1098"/>
      <c r="AB104" s="1098"/>
      <c r="AC104" s="1098"/>
      <c r="AD104" s="1098"/>
      <c r="AE104" s="1098"/>
      <c r="AF104" s="1098"/>
      <c r="AG104" s="1098"/>
      <c r="AH104" s="1098"/>
      <c r="AI104" s="1098"/>
      <c r="AJ104" s="1098"/>
      <c r="AK104" s="1098"/>
      <c r="AL104" s="1098"/>
      <c r="AM104" s="1098"/>
      <c r="AN104" s="1098"/>
      <c r="AO104" s="1098"/>
      <c r="AP104" s="1098"/>
      <c r="AQ104" s="1098"/>
      <c r="AR104" s="1098"/>
      <c r="AS104" s="1098"/>
      <c r="AT104" s="1098"/>
      <c r="AU104" s="1098"/>
      <c r="AV104" s="1098"/>
      <c r="AW104" s="1098"/>
      <c r="AX104" s="1098"/>
      <c r="AY104" s="1098"/>
      <c r="AZ104" s="1098"/>
      <c r="BA104" s="1098"/>
      <c r="BB104" s="1098"/>
      <c r="BC104" s="1098"/>
      <c r="BD104" s="1098"/>
      <c r="BE104" s="1098"/>
      <c r="BF104" s="1098"/>
      <c r="BG104" s="1098"/>
      <c r="BH104" s="1098"/>
      <c r="BI104" s="1098"/>
      <c r="BJ104" s="1098"/>
      <c r="BK104" s="1098"/>
      <c r="BL104" s="1098"/>
      <c r="BM104" s="1098"/>
      <c r="BN104" s="1098"/>
      <c r="BO104" s="1098"/>
      <c r="BP104" s="1098"/>
      <c r="BQ104" s="1098"/>
      <c r="BR104" s="1098"/>
      <c r="BS104" s="1098"/>
      <c r="BT104" s="1098"/>
      <c r="BU104" s="1098"/>
    </row>
    <row r="105" spans="1:73" ht="13" x14ac:dyDescent="0.3">
      <c r="A105" s="1098"/>
      <c r="B105" s="1098"/>
      <c r="C105" s="1122">
        <v>5</v>
      </c>
      <c r="D105" s="1102" t="str">
        <f t="shared" ca="1" si="34"/>
        <v>After-tax Real IRR
(8%, 8%, 8%)</v>
      </c>
      <c r="E105" s="1197">
        <f t="shared" ca="1" si="35"/>
        <v>1.551049937139557</v>
      </c>
      <c r="F105" s="1197">
        <f t="shared" si="36"/>
        <v>1.5582197865293927</v>
      </c>
      <c r="G105" s="1197">
        <f t="shared" ca="1" si="37"/>
        <v>1.565709003382735</v>
      </c>
      <c r="H105" s="1102">
        <f t="shared" ref="H105" ca="1" si="42">+E105</f>
        <v>1.551049937139557</v>
      </c>
      <c r="I105" s="1102">
        <f t="shared" ref="I105" ca="1" si="43">+F105-E105</f>
        <v>7.1698493898357807E-3</v>
      </c>
      <c r="J105" s="1102">
        <f t="shared" ref="J105" ca="1" si="44">+G105-F105</f>
        <v>7.489216853342251E-3</v>
      </c>
      <c r="K105" s="1098"/>
      <c r="L105" s="1102" t="str">
        <f>+B7&amp;"
("&amp;TEXT(H7,"0%, ")&amp;TEXT(C7,"0%, ")&amp;TEXT(I7,"0%)")</f>
        <v>Utilities Consumption (% of baseline)
(95%, 100%, 105%)</v>
      </c>
      <c r="M105" s="1112">
        <f>+ABS(K60-K61)+0.000000004</f>
        <v>4.5910760014279423E-3</v>
      </c>
      <c r="N105" s="1102">
        <f t="shared" si="38"/>
        <v>7</v>
      </c>
      <c r="O105" s="1109"/>
      <c r="P105" s="1098"/>
      <c r="Q105" s="1098"/>
      <c r="R105" s="1098"/>
      <c r="S105" s="1098"/>
      <c r="T105" s="1098"/>
      <c r="U105" s="1098"/>
      <c r="V105" s="1098"/>
      <c r="W105" s="1098"/>
      <c r="X105" s="1098"/>
      <c r="Y105" s="1098"/>
      <c r="Z105" s="1098"/>
      <c r="AA105" s="1098"/>
      <c r="AB105" s="1098"/>
      <c r="AC105" s="1098"/>
      <c r="AD105" s="1098"/>
      <c r="AE105" s="1098"/>
      <c r="AF105" s="1098"/>
      <c r="AG105" s="1098"/>
      <c r="AH105" s="1098"/>
      <c r="AI105" s="1098"/>
      <c r="AJ105" s="1098"/>
      <c r="AK105" s="1098"/>
      <c r="AL105" s="1098"/>
      <c r="AM105" s="1098"/>
      <c r="AN105" s="1098"/>
      <c r="AO105" s="1098"/>
      <c r="AP105" s="1098"/>
      <c r="AQ105" s="1098"/>
      <c r="AR105" s="1098"/>
      <c r="AS105" s="1098"/>
      <c r="AT105" s="1098"/>
      <c r="AU105" s="1098"/>
      <c r="AV105" s="1098"/>
      <c r="AW105" s="1098"/>
      <c r="AX105" s="1098"/>
      <c r="AY105" s="1098"/>
      <c r="AZ105" s="1098"/>
      <c r="BA105" s="1098"/>
      <c r="BB105" s="1098"/>
      <c r="BC105" s="1098"/>
      <c r="BD105" s="1098"/>
      <c r="BE105" s="1098"/>
      <c r="BF105" s="1098"/>
      <c r="BG105" s="1098"/>
      <c r="BH105" s="1098"/>
      <c r="BI105" s="1098"/>
      <c r="BJ105" s="1098"/>
      <c r="BK105" s="1098"/>
      <c r="BL105" s="1098"/>
      <c r="BM105" s="1098"/>
      <c r="BN105" s="1098"/>
      <c r="BO105" s="1098"/>
      <c r="BP105" s="1098"/>
      <c r="BQ105" s="1098"/>
      <c r="BR105" s="1098"/>
      <c r="BS105" s="1098"/>
      <c r="BT105" s="1098"/>
      <c r="BU105" s="1098"/>
    </row>
    <row r="106" spans="1:73" ht="13" x14ac:dyDescent="0.3">
      <c r="A106" s="1098"/>
      <c r="B106" s="1098"/>
      <c r="C106" s="1122">
        <v>6</v>
      </c>
      <c r="D106" s="1102" t="str">
        <f t="shared" ca="1" si="34"/>
        <v xml:space="preserve">Total Fixed Operating Cost
($13,871K, $14,601K, $15,331K) </v>
      </c>
      <c r="E106" s="1197">
        <f t="shared" ca="1" si="35"/>
        <v>1.5521337610311308</v>
      </c>
      <c r="F106" s="1197">
        <f t="shared" si="36"/>
        <v>1.5582197865293927</v>
      </c>
      <c r="G106" s="1197">
        <f t="shared" ca="1" si="37"/>
        <v>1.5643058120276547</v>
      </c>
      <c r="H106" s="1102">
        <f t="shared" ca="1" si="39"/>
        <v>1.5521337610311308</v>
      </c>
      <c r="I106" s="1102">
        <f t="shared" ca="1" si="40"/>
        <v>6.0860254982619821E-3</v>
      </c>
      <c r="J106" s="1102">
        <f t="shared" ca="1" si="41"/>
        <v>6.0860254982619821E-3</v>
      </c>
      <c r="K106" s="1098"/>
      <c r="L106" s="1102" t="str">
        <f ca="1">+B8&amp;"
("&amp;TEXT(H8/1000,"$0,000K")&amp;", "&amp;TEXT(C8/1000,"$0,000K")&amp;", "&amp;TEXT(I8/1000,"$0,000K")&amp;") "</f>
        <v xml:space="preserve">Total Capital Investment
($460,000K, $484,210K, $508,421K) </v>
      </c>
      <c r="M106" s="1112">
        <f>+ABS(K62-K63)+0.000000006</f>
        <v>3.244004706812248E-2</v>
      </c>
      <c r="N106" s="1102">
        <f t="shared" si="38"/>
        <v>3</v>
      </c>
      <c r="O106" s="1109"/>
      <c r="P106" s="1098"/>
      <c r="Q106" s="1098"/>
      <c r="R106" s="1098"/>
      <c r="S106" s="1098"/>
      <c r="T106" s="1098"/>
      <c r="U106" s="1098"/>
      <c r="V106" s="1098"/>
      <c r="W106" s="1098"/>
      <c r="X106" s="1098"/>
      <c r="Y106" s="1098"/>
      <c r="Z106" s="1098"/>
      <c r="AA106" s="1098"/>
      <c r="AB106" s="1098"/>
      <c r="AC106" s="1098"/>
      <c r="AD106" s="1098"/>
      <c r="AE106" s="1098"/>
      <c r="AF106" s="1098"/>
      <c r="AG106" s="1098"/>
      <c r="AH106" s="1098"/>
      <c r="AI106" s="1098"/>
      <c r="AJ106" s="1098"/>
      <c r="AK106" s="1098"/>
      <c r="AL106" s="1098"/>
      <c r="AM106" s="1098"/>
      <c r="AN106" s="1098"/>
      <c r="AO106" s="1098"/>
      <c r="AP106" s="1098"/>
      <c r="AQ106" s="1098"/>
      <c r="AR106" s="1098"/>
      <c r="AS106" s="1098"/>
      <c r="AT106" s="1098"/>
      <c r="AU106" s="1098"/>
      <c r="AV106" s="1098"/>
      <c r="AW106" s="1098"/>
      <c r="AX106" s="1098"/>
      <c r="AY106" s="1098"/>
      <c r="AZ106" s="1098"/>
      <c r="BA106" s="1098"/>
      <c r="BB106" s="1098"/>
      <c r="BC106" s="1098"/>
      <c r="BD106" s="1098"/>
      <c r="BE106" s="1098"/>
      <c r="BF106" s="1098"/>
      <c r="BG106" s="1098"/>
      <c r="BH106" s="1098"/>
      <c r="BI106" s="1098"/>
      <c r="BJ106" s="1098"/>
      <c r="BK106" s="1098"/>
      <c r="BL106" s="1098"/>
      <c r="BM106" s="1098"/>
      <c r="BN106" s="1098"/>
      <c r="BO106" s="1098"/>
      <c r="BP106" s="1098"/>
      <c r="BQ106" s="1098"/>
      <c r="BR106" s="1098"/>
      <c r="BS106" s="1098"/>
      <c r="BT106" s="1098"/>
      <c r="BU106" s="1098"/>
    </row>
    <row r="107" spans="1:73" ht="13" x14ac:dyDescent="0.3">
      <c r="A107" s="1098"/>
      <c r="B107" s="1098"/>
      <c r="C107" s="1122">
        <v>7</v>
      </c>
      <c r="D107" s="1102" t="str">
        <f t="shared" ca="1" si="34"/>
        <v>Utilities Consumption (% of baseline)
(95%, 100%, 105%)</v>
      </c>
      <c r="E107" s="1197">
        <f t="shared" ca="1" si="35"/>
        <v>1.5559242505286783</v>
      </c>
      <c r="F107" s="1197">
        <f t="shared" si="36"/>
        <v>1.5582197865293927</v>
      </c>
      <c r="G107" s="1197">
        <f t="shared" ca="1" si="37"/>
        <v>1.5605153225301063</v>
      </c>
      <c r="H107" s="1102">
        <f t="shared" ca="1" si="39"/>
        <v>1.5559242505286783</v>
      </c>
      <c r="I107" s="1102">
        <f t="shared" ca="1" si="40"/>
        <v>2.2955360007144154E-3</v>
      </c>
      <c r="J107" s="1102">
        <f t="shared" ca="1" si="41"/>
        <v>2.2955360007135273E-3</v>
      </c>
      <c r="K107" s="1098"/>
      <c r="L107" s="1102" t="str">
        <f ca="1">+B9&amp;"
("&amp;TEXT(H9/1000,"$0,000K")&amp;", "&amp;TEXT(C9/1000,"$0,000K")&amp;", "&amp;TEXT(I9/1000,"$0,000K")&amp;") "</f>
        <v xml:space="preserve">Total Fixed Operating Cost
($13,871K, $14,601K, $15,331K) </v>
      </c>
      <c r="M107" s="1112">
        <f>+ABS(K64-K65)+0.00000007</f>
        <v>1.2172120996523964E-2</v>
      </c>
      <c r="N107" s="1102">
        <f t="shared" si="38"/>
        <v>6</v>
      </c>
      <c r="O107" s="1109"/>
      <c r="P107" s="1098"/>
      <c r="Q107" s="1098"/>
      <c r="R107" s="1098"/>
      <c r="S107" s="1098"/>
      <c r="T107" s="1098"/>
      <c r="U107" s="1098"/>
      <c r="V107" s="1098"/>
      <c r="W107" s="1098"/>
      <c r="X107" s="1098"/>
      <c r="Y107" s="1098"/>
      <c r="Z107" s="1098"/>
      <c r="AA107" s="1098"/>
      <c r="AB107" s="1098"/>
      <c r="AC107" s="1098"/>
      <c r="AD107" s="1098"/>
      <c r="AE107" s="1098"/>
      <c r="AF107" s="1098"/>
      <c r="AG107" s="1098"/>
      <c r="AH107" s="1098"/>
      <c r="AI107" s="1098"/>
      <c r="AJ107" s="1098"/>
      <c r="AK107" s="1098"/>
      <c r="AL107" s="1098"/>
      <c r="AM107" s="1098"/>
      <c r="AN107" s="1098"/>
      <c r="AO107" s="1098"/>
      <c r="AP107" s="1098"/>
      <c r="AQ107" s="1098"/>
      <c r="AR107" s="1098"/>
      <c r="AS107" s="1098"/>
      <c r="AT107" s="1098"/>
      <c r="AU107" s="1098"/>
      <c r="AV107" s="1098"/>
      <c r="AW107" s="1098"/>
      <c r="AX107" s="1098"/>
      <c r="AY107" s="1098"/>
      <c r="AZ107" s="1098"/>
      <c r="BA107" s="1098"/>
      <c r="BB107" s="1098"/>
      <c r="BC107" s="1098"/>
      <c r="BD107" s="1098"/>
      <c r="BE107" s="1098"/>
      <c r="BF107" s="1098"/>
      <c r="BG107" s="1098"/>
      <c r="BH107" s="1098"/>
      <c r="BI107" s="1098"/>
      <c r="BJ107" s="1098"/>
      <c r="BK107" s="1098"/>
      <c r="BL107" s="1098"/>
      <c r="BM107" s="1098"/>
      <c r="BN107" s="1098"/>
      <c r="BO107" s="1098"/>
      <c r="BP107" s="1098"/>
      <c r="BQ107" s="1098"/>
      <c r="BR107" s="1098"/>
      <c r="BS107" s="1098"/>
      <c r="BT107" s="1098"/>
      <c r="BU107" s="1098"/>
    </row>
    <row r="108" spans="1:73" x14ac:dyDescent="0.25">
      <c r="A108" s="1098"/>
      <c r="B108" s="1098"/>
      <c r="C108" s="1098"/>
      <c r="D108" s="1098"/>
      <c r="E108" s="1098"/>
      <c r="F108" s="1098"/>
      <c r="G108" s="1098"/>
      <c r="H108" s="1098"/>
      <c r="I108" s="1098"/>
      <c r="J108" s="1098"/>
      <c r="K108" s="1098"/>
      <c r="L108" s="1098"/>
      <c r="M108" s="1098"/>
      <c r="N108" s="1098"/>
      <c r="O108" s="1098"/>
      <c r="P108" s="1098"/>
      <c r="Q108" s="1098"/>
      <c r="R108" s="1098"/>
      <c r="S108" s="1098"/>
      <c r="T108" s="1098"/>
      <c r="U108" s="1098"/>
      <c r="V108" s="1098"/>
      <c r="W108" s="1098"/>
      <c r="X108" s="1098"/>
      <c r="Y108" s="1098"/>
      <c r="Z108" s="1098"/>
      <c r="AA108" s="1098"/>
      <c r="AB108" s="1098"/>
      <c r="AC108" s="1098"/>
      <c r="AD108" s="1098"/>
      <c r="AE108" s="1098"/>
      <c r="AF108" s="1098"/>
      <c r="AG108" s="1098"/>
      <c r="AH108" s="1098"/>
      <c r="AI108" s="1098"/>
      <c r="AJ108" s="1098"/>
      <c r="AK108" s="1098"/>
      <c r="AL108" s="1098"/>
      <c r="AM108" s="1098"/>
      <c r="AN108" s="1098"/>
      <c r="AO108" s="1098"/>
      <c r="AP108" s="1098"/>
      <c r="AQ108" s="1098"/>
      <c r="AR108" s="1098"/>
      <c r="AS108" s="1098"/>
      <c r="AT108" s="1098"/>
      <c r="AU108" s="1098"/>
      <c r="AV108" s="1098"/>
      <c r="AW108" s="1098"/>
      <c r="AX108" s="1098"/>
      <c r="AY108" s="1098"/>
      <c r="AZ108" s="1098"/>
      <c r="BA108" s="1098"/>
      <c r="BB108" s="1098"/>
      <c r="BC108" s="1098"/>
      <c r="BD108" s="1098"/>
      <c r="BE108" s="1098"/>
      <c r="BF108" s="1098"/>
      <c r="BG108" s="1098"/>
      <c r="BH108" s="1098"/>
      <c r="BI108" s="1098"/>
      <c r="BJ108" s="1098"/>
      <c r="BK108" s="1098"/>
      <c r="BL108" s="1098"/>
      <c r="BM108" s="1098"/>
      <c r="BN108" s="1098"/>
      <c r="BO108" s="1098"/>
      <c r="BP108" s="1098"/>
      <c r="BQ108" s="1098"/>
      <c r="BR108" s="1098"/>
      <c r="BS108" s="1098"/>
      <c r="BT108" s="1098"/>
      <c r="BU108" s="1098"/>
    </row>
    <row r="109" spans="1:73" x14ac:dyDescent="0.25">
      <c r="A109" s="1098"/>
      <c r="B109" s="1098"/>
      <c r="C109" s="1098"/>
      <c r="D109" s="1098"/>
      <c r="E109" s="1098"/>
      <c r="F109" s="1098"/>
      <c r="G109" s="1098"/>
      <c r="H109" s="1098"/>
      <c r="I109" s="1098"/>
      <c r="J109" s="1098"/>
      <c r="K109" s="1098"/>
      <c r="L109" s="1098"/>
      <c r="M109" s="1098"/>
      <c r="N109" s="1098"/>
      <c r="O109" s="1098"/>
      <c r="P109" s="1098"/>
      <c r="Q109" s="1098"/>
      <c r="R109" s="1098"/>
      <c r="S109" s="1098"/>
      <c r="T109" s="1098"/>
      <c r="U109" s="1098"/>
      <c r="V109" s="1098"/>
      <c r="W109" s="1098"/>
      <c r="X109" s="1098"/>
      <c r="Y109" s="1098"/>
      <c r="Z109" s="1098"/>
      <c r="AA109" s="1098"/>
      <c r="AB109" s="1098"/>
      <c r="AC109" s="1098"/>
      <c r="AD109" s="1098"/>
      <c r="AE109" s="1098"/>
      <c r="AF109" s="1098"/>
      <c r="AG109" s="1098"/>
      <c r="AH109" s="1098"/>
      <c r="AI109" s="1098"/>
      <c r="AJ109" s="1098"/>
      <c r="AK109" s="1098"/>
      <c r="AL109" s="1098"/>
      <c r="AM109" s="1098"/>
      <c r="AN109" s="1098"/>
      <c r="AO109" s="1098"/>
      <c r="AP109" s="1098"/>
      <c r="AQ109" s="1098"/>
      <c r="AR109" s="1098"/>
      <c r="AS109" s="1098"/>
      <c r="AT109" s="1098"/>
      <c r="AU109" s="1098"/>
      <c r="AV109" s="1098"/>
      <c r="AW109" s="1098"/>
      <c r="AX109" s="1098"/>
      <c r="AY109" s="1098"/>
      <c r="AZ109" s="1098"/>
      <c r="BA109" s="1098"/>
      <c r="BB109" s="1098"/>
      <c r="BC109" s="1098"/>
      <c r="BD109" s="1098"/>
      <c r="BE109" s="1098"/>
      <c r="BF109" s="1098"/>
      <c r="BG109" s="1098"/>
      <c r="BH109" s="1098"/>
      <c r="BI109" s="1098"/>
      <c r="BJ109" s="1098"/>
      <c r="BK109" s="1098"/>
      <c r="BL109" s="1098"/>
      <c r="BM109" s="1098"/>
      <c r="BN109" s="1098"/>
      <c r="BO109" s="1098"/>
      <c r="BP109" s="1098"/>
      <c r="BQ109" s="1098"/>
      <c r="BR109" s="1098"/>
      <c r="BS109" s="1098"/>
      <c r="BT109" s="1098"/>
      <c r="BU109" s="1098"/>
    </row>
    <row r="110" spans="1:73" ht="52" x14ac:dyDescent="0.3">
      <c r="A110" s="1098"/>
      <c r="B110" s="1100" t="s">
        <v>1161</v>
      </c>
      <c r="C110" s="1121" t="s">
        <v>1148</v>
      </c>
      <c r="D110" s="1109" t="str">
        <f t="shared" ref="D110:G110" si="45">+D76</f>
        <v>Chart titles</v>
      </c>
      <c r="E110" s="1109" t="s">
        <v>1181</v>
      </c>
      <c r="F110" s="1109" t="s">
        <v>1182</v>
      </c>
      <c r="G110" s="1109" t="str">
        <f t="shared" si="45"/>
        <v>Salvage Value</v>
      </c>
      <c r="H110" s="1109" t="str">
        <f t="shared" ref="H110:S110" si="46">+H76</f>
        <v>Initial Equity Depreciable Capital</v>
      </c>
      <c r="I110" s="1109" t="str">
        <f t="shared" si="46"/>
        <v>Yearly Replacement Costs</v>
      </c>
      <c r="J110" s="1109" t="str">
        <f t="shared" si="46"/>
        <v>Cash for Working Capital Reserve</v>
      </c>
      <c r="K110" s="1109" t="str">
        <f t="shared" si="46"/>
        <v>Other Non-Depreciable Capital Costs</v>
      </c>
      <c r="L110" s="1109" t="str">
        <f t="shared" si="46"/>
        <v>Decommissioning Costs</v>
      </c>
      <c r="M110" s="1109" t="str">
        <f t="shared" si="46"/>
        <v>Fixed Operating Cost</v>
      </c>
      <c r="N110" s="1109" t="str">
        <f t="shared" si="46"/>
        <v>Feedstock Cost</v>
      </c>
      <c r="O110" s="1109" t="str">
        <f t="shared" si="46"/>
        <v>Other Raw Material Cost</v>
      </c>
      <c r="P110" s="1109" t="str">
        <f t="shared" si="46"/>
        <v>Other Variable Operating Costs</v>
      </c>
      <c r="Q110" s="1109" t="str">
        <f t="shared" si="46"/>
        <v>Debt Interest</v>
      </c>
      <c r="R110" s="1109" t="str">
        <f t="shared" si="46"/>
        <v>Taxes</v>
      </c>
      <c r="S110" s="1109" t="str">
        <f t="shared" si="46"/>
        <v>Principal Payment</v>
      </c>
      <c r="T110" s="1098"/>
      <c r="U110" s="1098"/>
      <c r="V110" s="1098"/>
      <c r="W110" s="1098"/>
      <c r="X110" s="1098"/>
      <c r="Y110" s="1098"/>
      <c r="Z110" s="1098"/>
      <c r="AA110" s="1098"/>
      <c r="AB110" s="1098"/>
      <c r="AC110" s="1098"/>
      <c r="AD110" s="1098"/>
      <c r="AE110" s="1098"/>
      <c r="AF110" s="1098"/>
      <c r="AG110" s="1098"/>
      <c r="AH110" s="1098"/>
      <c r="AI110" s="1098"/>
      <c r="AJ110" s="1098"/>
      <c r="AK110" s="1098"/>
      <c r="AL110" s="1098"/>
      <c r="AM110" s="1098"/>
      <c r="AN110" s="1098"/>
      <c r="AO110" s="1098"/>
      <c r="AP110" s="1098"/>
      <c r="AQ110" s="1098"/>
      <c r="AR110" s="1098"/>
      <c r="AS110" s="1098"/>
      <c r="AT110" s="1098"/>
      <c r="AU110" s="1098"/>
      <c r="AV110" s="1098"/>
      <c r="AW110" s="1098"/>
      <c r="AX110" s="1098"/>
      <c r="AY110" s="1098"/>
      <c r="AZ110" s="1098"/>
      <c r="BA110" s="1098"/>
      <c r="BB110" s="1098"/>
      <c r="BC110" s="1098"/>
      <c r="BD110" s="1098"/>
      <c r="BE110" s="1098"/>
      <c r="BF110" s="1098"/>
      <c r="BG110" s="1098"/>
      <c r="BH110" s="1098"/>
      <c r="BI110" s="1098"/>
      <c r="BJ110" s="1098"/>
      <c r="BK110" s="1098"/>
      <c r="BL110" s="1098"/>
      <c r="BM110" s="1098"/>
      <c r="BN110" s="1098"/>
      <c r="BO110" s="1098"/>
      <c r="BP110" s="1098"/>
      <c r="BQ110" s="1098"/>
      <c r="BR110" s="1098"/>
      <c r="BS110" s="1098"/>
      <c r="BT110" s="1098"/>
      <c r="BU110" s="1098"/>
    </row>
    <row r="111" spans="1:73" x14ac:dyDescent="0.25">
      <c r="A111" s="1098"/>
      <c r="B111" s="1098"/>
      <c r="C111" s="1122">
        <v>1</v>
      </c>
      <c r="D111" s="1101" t="s">
        <v>1180</v>
      </c>
      <c r="E111" s="1115">
        <f ca="1">OFFSET(E$76,MATCH($C111,$N$101:$N$107,0)*3-1,0)</f>
        <v>1.5582197865293927</v>
      </c>
      <c r="F111" s="1115">
        <f ca="1">OFFSET(F$76,MATCH($C111,$N$101:$N$107,0)*3-1,0)</f>
        <v>0</v>
      </c>
      <c r="G111" s="1115">
        <f ca="1">OFFSET(G$76,MATCH($C111,$N$101:$N$107,0)*3-1,0)</f>
        <v>1.5603382608962266E-3</v>
      </c>
      <c r="H111" s="1102"/>
      <c r="I111" s="1102"/>
      <c r="J111" s="1102"/>
      <c r="K111" s="1102"/>
      <c r="L111" s="1102"/>
      <c r="M111" s="1102"/>
      <c r="N111" s="1102"/>
      <c r="O111" s="1102"/>
      <c r="P111" s="1102"/>
      <c r="Q111" s="1102"/>
      <c r="R111" s="1102"/>
      <c r="S111" s="1102"/>
      <c r="T111" s="1098"/>
      <c r="U111" s="1098"/>
      <c r="V111" s="1098"/>
      <c r="W111" s="1098"/>
      <c r="X111" s="1098"/>
      <c r="Y111" s="1098"/>
      <c r="Z111" s="1098"/>
      <c r="AA111" s="1098"/>
      <c r="AB111" s="1098"/>
      <c r="AC111" s="1098"/>
      <c r="AD111" s="1098"/>
      <c r="AE111" s="1098"/>
      <c r="AF111" s="1098"/>
      <c r="AG111" s="1098"/>
      <c r="AH111" s="1098"/>
      <c r="AI111" s="1098"/>
      <c r="AJ111" s="1098"/>
      <c r="AK111" s="1098"/>
      <c r="AL111" s="1098"/>
      <c r="AM111" s="1098"/>
      <c r="AN111" s="1098"/>
      <c r="AO111" s="1098"/>
      <c r="AP111" s="1098"/>
      <c r="AQ111" s="1098"/>
      <c r="AR111" s="1098"/>
      <c r="AS111" s="1098"/>
      <c r="AT111" s="1098"/>
      <c r="AU111" s="1098"/>
      <c r="AV111" s="1098"/>
      <c r="AW111" s="1098"/>
      <c r="AX111" s="1098"/>
      <c r="AY111" s="1098"/>
      <c r="AZ111" s="1098"/>
      <c r="BA111" s="1098"/>
      <c r="BB111" s="1098"/>
      <c r="BC111" s="1098"/>
      <c r="BD111" s="1098"/>
      <c r="BE111" s="1098"/>
      <c r="BF111" s="1098"/>
      <c r="BG111" s="1098"/>
      <c r="BH111" s="1098"/>
      <c r="BI111" s="1098"/>
      <c r="BJ111" s="1098"/>
      <c r="BK111" s="1098"/>
      <c r="BL111" s="1098"/>
      <c r="BM111" s="1098"/>
      <c r="BN111" s="1098"/>
      <c r="BO111" s="1098"/>
      <c r="BP111" s="1098"/>
      <c r="BQ111" s="1098"/>
      <c r="BR111" s="1098"/>
      <c r="BS111" s="1098"/>
      <c r="BT111" s="1098"/>
      <c r="BU111" s="1098"/>
    </row>
    <row r="112" spans="1:73" ht="13" x14ac:dyDescent="0.3">
      <c r="A112" s="1098"/>
      <c r="B112" s="1100"/>
      <c r="C112" s="1203"/>
      <c r="D112" s="1204"/>
      <c r="E112" s="1205"/>
      <c r="F112" s="1205"/>
      <c r="G112" s="1205"/>
      <c r="H112" s="1115">
        <f t="shared" ref="H112:S112" ca="1" si="47">OFFSET(H$76,MATCH($C111,$N$101:$N$107,0)*3-1,0)</f>
        <v>0.1435766003247316</v>
      </c>
      <c r="I112" s="1115">
        <f t="shared" ca="1" si="47"/>
        <v>0.12137220296106475</v>
      </c>
      <c r="J112" s="1115">
        <f t="shared" ca="1" si="47"/>
        <v>1.5685799462749842E-2</v>
      </c>
      <c r="K112" s="1115">
        <f t="shared" ca="1" si="47"/>
        <v>8.987958215351488E-4</v>
      </c>
      <c r="L112" s="1115">
        <f t="shared" ca="1" si="47"/>
        <v>1.5567912435341155E-3</v>
      </c>
      <c r="M112" s="1115">
        <f t="shared" ca="1" si="47"/>
        <v>0.11952400105681882</v>
      </c>
      <c r="N112" s="1115">
        <f t="shared" ca="1" si="47"/>
        <v>0.82524955783637077</v>
      </c>
      <c r="O112" s="1115">
        <f t="shared" ca="1" si="47"/>
        <v>0</v>
      </c>
      <c r="P112" s="1115">
        <f t="shared" ca="1" si="47"/>
        <v>0.20561571448089225</v>
      </c>
      <c r="Q112" s="1115">
        <f t="shared" ca="1" si="47"/>
        <v>9.432006620325277E-2</v>
      </c>
      <c r="R112" s="1115">
        <f t="shared" ca="1" si="47"/>
        <v>2.7743522830533017E-2</v>
      </c>
      <c r="S112" s="1115">
        <f t="shared" ca="1" si="47"/>
        <v>4.2370725688043549E-3</v>
      </c>
      <c r="T112" s="1098"/>
      <c r="U112" s="1098"/>
      <c r="V112" s="1098"/>
      <c r="W112" s="1098"/>
      <c r="X112" s="1098"/>
      <c r="Y112" s="1098"/>
      <c r="Z112" s="1098"/>
      <c r="AA112" s="1098"/>
      <c r="AB112" s="1098"/>
      <c r="AC112" s="1098"/>
      <c r="AD112" s="1098"/>
      <c r="AE112" s="1098"/>
      <c r="AF112" s="1098"/>
      <c r="AG112" s="1098"/>
      <c r="AH112" s="1098"/>
      <c r="AI112" s="1098"/>
      <c r="AJ112" s="1098"/>
      <c r="AK112" s="1098"/>
      <c r="AL112" s="1098"/>
      <c r="AM112" s="1098"/>
      <c r="AN112" s="1098"/>
      <c r="AO112" s="1098"/>
      <c r="AP112" s="1098"/>
      <c r="AQ112" s="1098"/>
      <c r="AR112" s="1098"/>
      <c r="AS112" s="1098"/>
      <c r="AT112" s="1098"/>
      <c r="AU112" s="1098"/>
      <c r="AV112" s="1098"/>
      <c r="AW112" s="1098"/>
      <c r="AX112" s="1098"/>
      <c r="AY112" s="1098"/>
      <c r="AZ112" s="1098"/>
      <c r="BA112" s="1098"/>
      <c r="BB112" s="1098"/>
      <c r="BC112" s="1098"/>
      <c r="BD112" s="1098"/>
      <c r="BE112" s="1098"/>
      <c r="BF112" s="1098"/>
      <c r="BG112" s="1098"/>
      <c r="BH112" s="1098"/>
      <c r="BI112" s="1098"/>
      <c r="BJ112" s="1098"/>
      <c r="BK112" s="1098"/>
      <c r="BL112" s="1098"/>
      <c r="BM112" s="1098"/>
      <c r="BN112" s="1098"/>
      <c r="BO112" s="1098"/>
      <c r="BP112" s="1098"/>
      <c r="BQ112" s="1098"/>
      <c r="BR112" s="1098"/>
      <c r="BS112" s="1098"/>
      <c r="BT112" s="1098"/>
      <c r="BU112" s="1098"/>
    </row>
    <row r="113" spans="1:73" ht="13" x14ac:dyDescent="0.3">
      <c r="A113" s="1098"/>
      <c r="B113" s="1100"/>
      <c r="C113" s="1203"/>
      <c r="D113" s="1204"/>
      <c r="E113" s="1205"/>
      <c r="F113" s="1205"/>
      <c r="G113" s="1205"/>
      <c r="H113" s="1115"/>
      <c r="I113" s="1115"/>
      <c r="J113" s="1115"/>
      <c r="K113" s="1115"/>
      <c r="L113" s="1115"/>
      <c r="M113" s="1115"/>
      <c r="N113" s="1115"/>
      <c r="O113" s="1115"/>
      <c r="P113" s="1115"/>
      <c r="Q113" s="1115"/>
      <c r="R113" s="1115"/>
      <c r="S113" s="1115"/>
      <c r="T113" s="1098"/>
      <c r="U113" s="1098"/>
      <c r="V113" s="1098"/>
      <c r="W113" s="1098"/>
      <c r="X113" s="1098"/>
      <c r="Y113" s="1098"/>
      <c r="Z113" s="1098"/>
      <c r="AA113" s="1098"/>
      <c r="AB113" s="1098"/>
      <c r="AC113" s="1098"/>
      <c r="AD113" s="1098"/>
      <c r="AE113" s="1098"/>
      <c r="AF113" s="1098"/>
      <c r="AG113" s="1098"/>
      <c r="AH113" s="1098"/>
      <c r="AI113" s="1098"/>
      <c r="AJ113" s="1098"/>
      <c r="AK113" s="1098"/>
      <c r="AL113" s="1098"/>
      <c r="AM113" s="1098"/>
      <c r="AN113" s="1098"/>
      <c r="AO113" s="1098"/>
      <c r="AP113" s="1098"/>
      <c r="AQ113" s="1098"/>
      <c r="AR113" s="1098"/>
      <c r="AS113" s="1098"/>
      <c r="AT113" s="1098"/>
      <c r="AU113" s="1098"/>
      <c r="AV113" s="1098"/>
      <c r="AW113" s="1098"/>
      <c r="AX113" s="1098"/>
      <c r="AY113" s="1098"/>
      <c r="AZ113" s="1098"/>
      <c r="BA113" s="1098"/>
      <c r="BB113" s="1098"/>
      <c r="BC113" s="1098"/>
      <c r="BD113" s="1098"/>
      <c r="BE113" s="1098"/>
      <c r="BF113" s="1098"/>
      <c r="BG113" s="1098"/>
      <c r="BH113" s="1098"/>
      <c r="BI113" s="1098"/>
      <c r="BJ113" s="1098"/>
      <c r="BK113" s="1098"/>
      <c r="BL113" s="1098"/>
      <c r="BM113" s="1098"/>
      <c r="BN113" s="1098"/>
      <c r="BO113" s="1098"/>
      <c r="BP113" s="1098"/>
      <c r="BQ113" s="1098"/>
      <c r="BR113" s="1098"/>
      <c r="BS113" s="1098"/>
      <c r="BT113" s="1098"/>
      <c r="BU113" s="1098"/>
    </row>
    <row r="114" spans="1:73" ht="13" x14ac:dyDescent="0.3">
      <c r="A114" s="1098"/>
      <c r="B114" s="1100"/>
      <c r="C114" s="1203"/>
      <c r="D114" s="1205"/>
      <c r="E114" s="1205"/>
      <c r="F114" s="1205"/>
      <c r="G114" s="1205"/>
      <c r="H114" s="1205"/>
      <c r="I114" s="1205"/>
      <c r="J114" s="1205"/>
      <c r="K114" s="1205"/>
      <c r="L114" s="1205"/>
      <c r="M114" s="1205"/>
      <c r="N114" s="1205"/>
      <c r="O114" s="1205"/>
      <c r="P114" s="1205"/>
      <c r="Q114" s="1205"/>
      <c r="R114" s="1205"/>
      <c r="S114" s="1205"/>
      <c r="T114" s="1098"/>
      <c r="U114" s="1098"/>
      <c r="V114" s="1098"/>
      <c r="W114" s="1098"/>
      <c r="X114" s="1098"/>
      <c r="Y114" s="1098"/>
      <c r="Z114" s="1098"/>
      <c r="AA114" s="1098"/>
      <c r="AB114" s="1098"/>
      <c r="AC114" s="1098"/>
      <c r="AD114" s="1098"/>
      <c r="AE114" s="1098"/>
      <c r="AF114" s="1098"/>
      <c r="AG114" s="1098"/>
      <c r="AH114" s="1098"/>
      <c r="AI114" s="1098"/>
      <c r="AJ114" s="1098"/>
      <c r="AK114" s="1098"/>
      <c r="AL114" s="1098"/>
      <c r="AM114" s="1098"/>
      <c r="AN114" s="1098"/>
      <c r="AO114" s="1098"/>
      <c r="AP114" s="1098"/>
      <c r="AQ114" s="1098"/>
      <c r="AR114" s="1098"/>
      <c r="AS114" s="1098"/>
      <c r="AT114" s="1098"/>
      <c r="AU114" s="1098"/>
      <c r="AV114" s="1098"/>
      <c r="AW114" s="1098"/>
      <c r="AX114" s="1098"/>
      <c r="AY114" s="1098"/>
      <c r="AZ114" s="1098"/>
      <c r="BA114" s="1098"/>
      <c r="BB114" s="1098"/>
      <c r="BC114" s="1098"/>
      <c r="BD114" s="1098"/>
      <c r="BE114" s="1098"/>
      <c r="BF114" s="1098"/>
      <c r="BG114" s="1098"/>
      <c r="BH114" s="1098"/>
      <c r="BI114" s="1098"/>
      <c r="BJ114" s="1098"/>
      <c r="BK114" s="1098"/>
      <c r="BL114" s="1098"/>
      <c r="BM114" s="1098"/>
      <c r="BN114" s="1098"/>
      <c r="BO114" s="1098"/>
      <c r="BP114" s="1098"/>
      <c r="BQ114" s="1098"/>
      <c r="BR114" s="1098"/>
      <c r="BS114" s="1098"/>
      <c r="BT114" s="1098"/>
      <c r="BU114" s="1098"/>
    </row>
    <row r="115" spans="1:73" ht="13" x14ac:dyDescent="0.3">
      <c r="A115" s="1098"/>
      <c r="B115" s="1100"/>
      <c r="C115" s="1122">
        <v>1</v>
      </c>
      <c r="D115" s="1102" t="str">
        <f t="shared" ref="D115:G115" ca="1" si="48">OFFSET(D$76,MATCH($C115,$N$101:$N$107,0)*3-2,0)</f>
        <v>Feedstock Consumption (% of baseline) = 95%</v>
      </c>
      <c r="E115" s="1115">
        <f t="shared" ca="1" si="48"/>
        <v>1.5080814671972416</v>
      </c>
      <c r="F115" s="1115">
        <f t="shared" ca="1" si="48"/>
        <v>0</v>
      </c>
      <c r="G115" s="1115">
        <f t="shared" ca="1" si="48"/>
        <v>1.5541232629696245E-3</v>
      </c>
      <c r="H115" s="1205"/>
      <c r="I115" s="1205"/>
      <c r="J115" s="1205"/>
      <c r="K115" s="1205"/>
      <c r="L115" s="1205"/>
      <c r="M115" s="1205"/>
      <c r="N115" s="1205"/>
      <c r="O115" s="1205"/>
      <c r="P115" s="1205"/>
      <c r="Q115" s="1205"/>
      <c r="R115" s="1205"/>
      <c r="S115" s="1205"/>
      <c r="T115" s="1098"/>
      <c r="U115" s="1098"/>
      <c r="V115" s="1098"/>
      <c r="W115" s="1098"/>
      <c r="X115" s="1098"/>
      <c r="Y115" s="1098"/>
      <c r="Z115" s="1098"/>
      <c r="AA115" s="1098"/>
      <c r="AB115" s="1098"/>
      <c r="AC115" s="1098"/>
      <c r="AD115" s="1098"/>
      <c r="AE115" s="1098"/>
      <c r="AF115" s="1098"/>
      <c r="AG115" s="1098"/>
      <c r="AH115" s="1098"/>
      <c r="AI115" s="1098"/>
      <c r="AJ115" s="1098"/>
      <c r="AK115" s="1098"/>
      <c r="AL115" s="1098"/>
      <c r="AM115" s="1098"/>
      <c r="AN115" s="1098"/>
      <c r="AO115" s="1098"/>
      <c r="AP115" s="1098"/>
      <c r="AQ115" s="1098"/>
      <c r="AR115" s="1098"/>
      <c r="AS115" s="1098"/>
      <c r="AT115" s="1098"/>
      <c r="AU115" s="1098"/>
      <c r="AV115" s="1098"/>
      <c r="AW115" s="1098"/>
      <c r="AX115" s="1098"/>
      <c r="AY115" s="1098"/>
      <c r="AZ115" s="1098"/>
      <c r="BA115" s="1098"/>
      <c r="BB115" s="1098"/>
      <c r="BC115" s="1098"/>
      <c r="BD115" s="1098"/>
      <c r="BE115" s="1098"/>
      <c r="BF115" s="1098"/>
      <c r="BG115" s="1098"/>
      <c r="BH115" s="1098"/>
      <c r="BI115" s="1098"/>
      <c r="BJ115" s="1098"/>
      <c r="BK115" s="1098"/>
      <c r="BL115" s="1098"/>
      <c r="BM115" s="1098"/>
      <c r="BN115" s="1098"/>
      <c r="BO115" s="1098"/>
      <c r="BP115" s="1098"/>
      <c r="BQ115" s="1098"/>
      <c r="BR115" s="1098"/>
      <c r="BS115" s="1098"/>
      <c r="BT115" s="1098"/>
      <c r="BU115" s="1098"/>
    </row>
    <row r="116" spans="1:73" ht="13" x14ac:dyDescent="0.3">
      <c r="A116" s="1098"/>
      <c r="B116" s="1100"/>
      <c r="C116" s="1102"/>
      <c r="D116" s="1102"/>
      <c r="E116" s="1102"/>
      <c r="F116" s="1102"/>
      <c r="G116" s="1102"/>
      <c r="H116" s="1115">
        <f t="shared" ref="H116:S116" ca="1" si="49">OFFSET(H$76,MATCH($C115,$N$101:$N$107,0)*3-2,0)</f>
        <v>0.14300341604133274</v>
      </c>
      <c r="I116" s="1115">
        <f t="shared" ca="1" si="49"/>
        <v>0.1178255006350936</v>
      </c>
      <c r="J116" s="1115">
        <f t="shared" ca="1" si="49"/>
        <v>1.5083323624036847E-2</v>
      </c>
      <c r="K116" s="1115">
        <f t="shared" ca="1" si="49"/>
        <v>8.987958215351488E-4</v>
      </c>
      <c r="L116" s="1115">
        <f t="shared" ca="1" si="49"/>
        <v>1.5505762456075134E-3</v>
      </c>
      <c r="M116" s="1115">
        <f t="shared" ca="1" si="49"/>
        <v>0.11920824473815718</v>
      </c>
      <c r="N116" s="1115">
        <f t="shared" ca="1" si="49"/>
        <v>0.78398707994455208</v>
      </c>
      <c r="O116" s="1115">
        <f t="shared" ca="1" si="49"/>
        <v>0</v>
      </c>
      <c r="P116" s="1115">
        <f t="shared" ca="1" si="49"/>
        <v>0.20299802114330681</v>
      </c>
      <c r="Q116" s="1115">
        <f t="shared" ca="1" si="49"/>
        <v>9.3943523093619447E-2</v>
      </c>
      <c r="R116" s="1115">
        <f t="shared" ca="1" si="49"/>
        <v>2.6916951779746991E-2</v>
      </c>
      <c r="S116" s="1115">
        <f t="shared" ca="1" si="49"/>
        <v>4.2201573932216605E-3</v>
      </c>
      <c r="T116" s="1098"/>
      <c r="U116" s="1098"/>
      <c r="V116" s="1098"/>
      <c r="W116" s="1098"/>
      <c r="X116" s="1098"/>
      <c r="Y116" s="1098"/>
      <c r="Z116" s="1098"/>
      <c r="AA116" s="1098"/>
      <c r="AB116" s="1098"/>
      <c r="AC116" s="1098"/>
      <c r="AD116" s="1098"/>
      <c r="AE116" s="1098"/>
      <c r="AF116" s="1098"/>
      <c r="AG116" s="1098"/>
      <c r="AH116" s="1098"/>
      <c r="AI116" s="1098"/>
      <c r="AJ116" s="1098"/>
      <c r="AK116" s="1098"/>
      <c r="AL116" s="1098"/>
      <c r="AM116" s="1098"/>
      <c r="AN116" s="1098"/>
      <c r="AO116" s="1098"/>
      <c r="AP116" s="1098"/>
      <c r="AQ116" s="1098"/>
      <c r="AR116" s="1098"/>
      <c r="AS116" s="1098"/>
      <c r="AT116" s="1098"/>
      <c r="AU116" s="1098"/>
      <c r="AV116" s="1098"/>
      <c r="AW116" s="1098"/>
      <c r="AX116" s="1098"/>
      <c r="AY116" s="1098"/>
      <c r="AZ116" s="1098"/>
      <c r="BA116" s="1098"/>
      <c r="BB116" s="1098"/>
      <c r="BC116" s="1098"/>
      <c r="BD116" s="1098"/>
      <c r="BE116" s="1098"/>
      <c r="BF116" s="1098"/>
      <c r="BG116" s="1098"/>
      <c r="BH116" s="1098"/>
      <c r="BI116" s="1098"/>
      <c r="BJ116" s="1098"/>
      <c r="BK116" s="1098"/>
      <c r="BL116" s="1098"/>
      <c r="BM116" s="1098"/>
      <c r="BN116" s="1098"/>
      <c r="BO116" s="1098"/>
      <c r="BP116" s="1098"/>
      <c r="BQ116" s="1098"/>
      <c r="BR116" s="1098"/>
      <c r="BS116" s="1098"/>
      <c r="BT116" s="1098"/>
      <c r="BU116" s="1098"/>
    </row>
    <row r="117" spans="1:73" ht="13" x14ac:dyDescent="0.3">
      <c r="A117" s="1098"/>
      <c r="B117" s="1100"/>
      <c r="C117" s="1122">
        <v>1</v>
      </c>
      <c r="D117" s="1102" t="str">
        <f t="shared" ref="D117:G117" ca="1" si="50">OFFSET(D$76,MATCH($C117,$N$101:$N$107,0)*3,0)</f>
        <v>Feedstock Consumption (% of baseline) = 105%</v>
      </c>
      <c r="E117" s="1115">
        <f t="shared" ca="1" si="50"/>
        <v>1.6081327271971479</v>
      </c>
      <c r="F117" s="1115">
        <f t="shared" ca="1" si="50"/>
        <v>0</v>
      </c>
      <c r="G117" s="1115">
        <f t="shared" ca="1" si="50"/>
        <v>1.5660630009882162E-3</v>
      </c>
      <c r="H117" s="1102"/>
      <c r="I117" s="1102"/>
      <c r="J117" s="1102"/>
      <c r="K117" s="1102"/>
      <c r="L117" s="1102"/>
      <c r="M117" s="1102"/>
      <c r="N117" s="1102"/>
      <c r="O117" s="1102"/>
      <c r="P117" s="1102"/>
      <c r="Q117" s="1102"/>
      <c r="R117" s="1102"/>
      <c r="S117" s="1102"/>
      <c r="T117" s="1098"/>
      <c r="U117" s="1098"/>
      <c r="V117" s="1098"/>
      <c r="W117" s="1098"/>
      <c r="X117" s="1098"/>
      <c r="Y117" s="1098"/>
      <c r="Z117" s="1098"/>
      <c r="AA117" s="1098"/>
      <c r="AB117" s="1098"/>
      <c r="AC117" s="1098"/>
      <c r="AD117" s="1098"/>
      <c r="AE117" s="1098"/>
      <c r="AF117" s="1098"/>
      <c r="AG117" s="1098"/>
      <c r="AH117" s="1098"/>
      <c r="AI117" s="1098"/>
      <c r="AJ117" s="1098"/>
      <c r="AK117" s="1098"/>
      <c r="AL117" s="1098"/>
      <c r="AM117" s="1098"/>
      <c r="AN117" s="1098"/>
      <c r="AO117" s="1098"/>
      <c r="AP117" s="1098"/>
      <c r="AQ117" s="1098"/>
      <c r="AR117" s="1098"/>
      <c r="AS117" s="1098"/>
      <c r="AT117" s="1098"/>
      <c r="AU117" s="1098"/>
      <c r="AV117" s="1098"/>
      <c r="AW117" s="1098"/>
      <c r="AX117" s="1098"/>
      <c r="AY117" s="1098"/>
      <c r="AZ117" s="1098"/>
      <c r="BA117" s="1098"/>
      <c r="BB117" s="1098"/>
      <c r="BC117" s="1098"/>
      <c r="BD117" s="1098"/>
      <c r="BE117" s="1098"/>
      <c r="BF117" s="1098"/>
      <c r="BG117" s="1098"/>
      <c r="BH117" s="1098"/>
      <c r="BI117" s="1098"/>
      <c r="BJ117" s="1098"/>
      <c r="BK117" s="1098"/>
      <c r="BL117" s="1098"/>
      <c r="BM117" s="1098"/>
      <c r="BN117" s="1098"/>
      <c r="BO117" s="1098"/>
      <c r="BP117" s="1098"/>
      <c r="BQ117" s="1098"/>
      <c r="BR117" s="1098"/>
      <c r="BS117" s="1098"/>
      <c r="BT117" s="1098"/>
      <c r="BU117" s="1098"/>
    </row>
    <row r="118" spans="1:73" ht="13" x14ac:dyDescent="0.3">
      <c r="A118" s="1098"/>
      <c r="B118" s="1100"/>
      <c r="C118" s="1122"/>
      <c r="D118" s="1102"/>
      <c r="E118" s="1115"/>
      <c r="F118" s="1115"/>
      <c r="G118" s="1115"/>
      <c r="H118" s="1115">
        <f t="shared" ref="H118:S118" ca="1" si="51">OFFSET(H$76,MATCH($C117,$N$101:$N$107,0)*3,0)</f>
        <v>0.14410457009817701</v>
      </c>
      <c r="I118" s="1115">
        <f t="shared" ca="1" si="51"/>
        <v>0.12484724886135103</v>
      </c>
      <c r="J118" s="1115">
        <f t="shared" ca="1" si="51"/>
        <v>1.6287407507185974E-2</v>
      </c>
      <c r="K118" s="1115">
        <f t="shared" ca="1" si="51"/>
        <v>8.987958215351488E-4</v>
      </c>
      <c r="L118" s="1115">
        <f t="shared" ca="1" si="51"/>
        <v>1.5625159836261046E-3</v>
      </c>
      <c r="M118" s="1115">
        <f t="shared" ca="1" si="51"/>
        <v>0.11981484956201374</v>
      </c>
      <c r="N118" s="1115">
        <f t="shared" ca="1" si="51"/>
        <v>0.86651203572818924</v>
      </c>
      <c r="O118" s="1115">
        <f t="shared" ca="1" si="51"/>
        <v>0</v>
      </c>
      <c r="P118" s="1115">
        <f t="shared" ca="1" si="51"/>
        <v>0.20819472633982319</v>
      </c>
      <c r="Q118" s="1115">
        <f t="shared" ca="1" si="51"/>
        <v>9.4666906453488894E-2</v>
      </c>
      <c r="R118" s="1115">
        <f t="shared" ca="1" si="51"/>
        <v>2.8557080418569594E-2</v>
      </c>
      <c r="S118" s="1115">
        <f t="shared" ca="1" si="51"/>
        <v>4.2526534241746853E-3</v>
      </c>
      <c r="T118" s="1098"/>
      <c r="U118" s="1098"/>
      <c r="V118" s="1098"/>
      <c r="W118" s="1098"/>
      <c r="X118" s="1098"/>
      <c r="Y118" s="1098"/>
      <c r="Z118" s="1098"/>
      <c r="AA118" s="1098"/>
      <c r="AB118" s="1098"/>
      <c r="AC118" s="1098"/>
      <c r="AD118" s="1098"/>
      <c r="AE118" s="1098"/>
      <c r="AF118" s="1098"/>
      <c r="AG118" s="1098"/>
      <c r="AH118" s="1098"/>
      <c r="AI118" s="1098"/>
      <c r="AJ118" s="1098"/>
      <c r="AK118" s="1098"/>
      <c r="AL118" s="1098"/>
      <c r="AM118" s="1098"/>
      <c r="AN118" s="1098"/>
      <c r="AO118" s="1098"/>
      <c r="AP118" s="1098"/>
      <c r="AQ118" s="1098"/>
      <c r="AR118" s="1098"/>
      <c r="AS118" s="1098"/>
      <c r="AT118" s="1098"/>
      <c r="AU118" s="1098"/>
      <c r="AV118" s="1098"/>
      <c r="AW118" s="1098"/>
      <c r="AX118" s="1098"/>
      <c r="AY118" s="1098"/>
      <c r="AZ118" s="1098"/>
      <c r="BA118" s="1098"/>
      <c r="BB118" s="1098"/>
      <c r="BC118" s="1098"/>
      <c r="BD118" s="1098"/>
      <c r="BE118" s="1098"/>
      <c r="BF118" s="1098"/>
      <c r="BG118" s="1098"/>
      <c r="BH118" s="1098"/>
      <c r="BI118" s="1098"/>
      <c r="BJ118" s="1098"/>
      <c r="BK118" s="1098"/>
      <c r="BL118" s="1098"/>
      <c r="BM118" s="1098"/>
      <c r="BN118" s="1098"/>
      <c r="BO118" s="1098"/>
      <c r="BP118" s="1098"/>
      <c r="BQ118" s="1098"/>
      <c r="BR118" s="1098"/>
      <c r="BS118" s="1098"/>
      <c r="BT118" s="1098"/>
      <c r="BU118" s="1098"/>
    </row>
    <row r="119" spans="1:73" ht="13" x14ac:dyDescent="0.3">
      <c r="A119" s="1098"/>
      <c r="B119" s="1100"/>
      <c r="C119" s="1122"/>
      <c r="D119" s="1102"/>
      <c r="E119" s="1115"/>
      <c r="F119" s="1115"/>
      <c r="G119" s="1115"/>
      <c r="H119" s="1115"/>
      <c r="I119" s="1115"/>
      <c r="J119" s="1115"/>
      <c r="K119" s="1115"/>
      <c r="L119" s="1115"/>
      <c r="M119" s="1115"/>
      <c r="N119" s="1115"/>
      <c r="O119" s="1115"/>
      <c r="P119" s="1115"/>
      <c r="Q119" s="1115"/>
      <c r="R119" s="1115"/>
      <c r="S119" s="1115"/>
      <c r="T119" s="1098"/>
      <c r="U119" s="1098"/>
      <c r="V119" s="1098"/>
      <c r="W119" s="1098"/>
      <c r="X119" s="1098"/>
      <c r="Y119" s="1098"/>
      <c r="Z119" s="1098"/>
      <c r="AA119" s="1098"/>
      <c r="AB119" s="1098"/>
      <c r="AC119" s="1098"/>
      <c r="AD119" s="1098"/>
      <c r="AE119" s="1098"/>
      <c r="AF119" s="1098"/>
      <c r="AG119" s="1098"/>
      <c r="AH119" s="1098"/>
      <c r="AI119" s="1098"/>
      <c r="AJ119" s="1098"/>
      <c r="AK119" s="1098"/>
      <c r="AL119" s="1098"/>
      <c r="AM119" s="1098"/>
      <c r="AN119" s="1098"/>
      <c r="AO119" s="1098"/>
      <c r="AP119" s="1098"/>
      <c r="AQ119" s="1098"/>
      <c r="AR119" s="1098"/>
      <c r="AS119" s="1098"/>
      <c r="AT119" s="1098"/>
      <c r="AU119" s="1098"/>
      <c r="AV119" s="1098"/>
      <c r="AW119" s="1098"/>
      <c r="AX119" s="1098"/>
      <c r="AY119" s="1098"/>
      <c r="AZ119" s="1098"/>
      <c r="BA119" s="1098"/>
      <c r="BB119" s="1098"/>
      <c r="BC119" s="1098"/>
      <c r="BD119" s="1098"/>
      <c r="BE119" s="1098"/>
      <c r="BF119" s="1098"/>
      <c r="BG119" s="1098"/>
      <c r="BH119" s="1098"/>
      <c r="BI119" s="1098"/>
      <c r="BJ119" s="1098"/>
      <c r="BK119" s="1098"/>
      <c r="BL119" s="1098"/>
      <c r="BM119" s="1098"/>
      <c r="BN119" s="1098"/>
      <c r="BO119" s="1098"/>
      <c r="BP119" s="1098"/>
      <c r="BQ119" s="1098"/>
      <c r="BR119" s="1098"/>
      <c r="BS119" s="1098"/>
      <c r="BT119" s="1098"/>
      <c r="BU119" s="1098"/>
    </row>
    <row r="120" spans="1:73" x14ac:dyDescent="0.25">
      <c r="A120" s="1098"/>
      <c r="B120" s="1098"/>
      <c r="C120" s="1122">
        <v>2</v>
      </c>
      <c r="D120" s="1102" t="str">
        <f t="shared" ref="D120:G120" ca="1" si="52">OFFSET(D$76,MATCH($C120,$N$101:$N$107,0)*3-2,0)</f>
        <v>Operating Capacity Factor = 94.5%</v>
      </c>
      <c r="E120" s="1115">
        <f t="shared" ca="1" si="52"/>
        <v>1.5348626802275835</v>
      </c>
      <c r="F120" s="1115">
        <f t="shared" ca="1" si="52"/>
        <v>0</v>
      </c>
      <c r="G120" s="1115">
        <f t="shared" ca="1" si="52"/>
        <v>1.4912537006559169E-3</v>
      </c>
      <c r="H120" s="1115"/>
      <c r="I120" s="1115"/>
      <c r="J120" s="1115"/>
      <c r="K120" s="1115"/>
      <c r="L120" s="1115"/>
      <c r="M120" s="1115"/>
      <c r="N120" s="1115"/>
      <c r="O120" s="1115"/>
      <c r="P120" s="1115"/>
      <c r="Q120" s="1115"/>
      <c r="R120" s="1115"/>
      <c r="S120" s="1115"/>
      <c r="T120" s="1098"/>
      <c r="U120" s="1098"/>
      <c r="V120" s="1098"/>
      <c r="W120" s="1098"/>
      <c r="X120" s="1098"/>
      <c r="Y120" s="1098"/>
      <c r="Z120" s="1098"/>
      <c r="AA120" s="1098"/>
      <c r="AB120" s="1098"/>
      <c r="AC120" s="1098"/>
      <c r="AD120" s="1098"/>
      <c r="AE120" s="1098"/>
      <c r="AF120" s="1098"/>
      <c r="AG120" s="1098"/>
      <c r="AH120" s="1098"/>
      <c r="AI120" s="1098"/>
      <c r="AJ120" s="1098"/>
      <c r="AK120" s="1098"/>
      <c r="AL120" s="1098"/>
      <c r="AM120" s="1098"/>
      <c r="AN120" s="1098"/>
      <c r="AO120" s="1098"/>
      <c r="AP120" s="1098"/>
      <c r="AQ120" s="1098"/>
      <c r="AR120" s="1098"/>
      <c r="AS120" s="1098"/>
      <c r="AT120" s="1098"/>
      <c r="AU120" s="1098"/>
      <c r="AV120" s="1098"/>
      <c r="AW120" s="1098"/>
      <c r="AX120" s="1098"/>
      <c r="AY120" s="1098"/>
      <c r="AZ120" s="1098"/>
      <c r="BA120" s="1098"/>
      <c r="BB120" s="1098"/>
      <c r="BC120" s="1098"/>
      <c r="BD120" s="1098"/>
      <c r="BE120" s="1098"/>
      <c r="BF120" s="1098"/>
      <c r="BG120" s="1098"/>
      <c r="BH120" s="1098"/>
      <c r="BI120" s="1098"/>
      <c r="BJ120" s="1098"/>
      <c r="BK120" s="1098"/>
      <c r="BL120" s="1098"/>
      <c r="BM120" s="1098"/>
      <c r="BN120" s="1098"/>
      <c r="BO120" s="1098"/>
      <c r="BP120" s="1098"/>
      <c r="BQ120" s="1098"/>
      <c r="BR120" s="1098"/>
      <c r="BS120" s="1098"/>
      <c r="BT120" s="1098"/>
      <c r="BU120" s="1098"/>
    </row>
    <row r="121" spans="1:73" x14ac:dyDescent="0.25">
      <c r="A121" s="1098"/>
      <c r="B121" s="1098"/>
      <c r="C121" s="1122"/>
      <c r="D121" s="1102"/>
      <c r="E121" s="1115"/>
      <c r="F121" s="1115"/>
      <c r="G121" s="1115"/>
      <c r="H121" s="1115">
        <f t="shared" ref="H121:S121" ca="1" si="53">OFFSET(H$76,MATCH($C120,$N$101:$N$107,0)*3-2,0)</f>
        <v>0.13722078643823177</v>
      </c>
      <c r="I121" s="1115">
        <f t="shared" ca="1" si="53"/>
        <v>0.11889909952028908</v>
      </c>
      <c r="J121" s="1115">
        <f t="shared" ca="1" si="53"/>
        <v>1.5556671558787196E-2</v>
      </c>
      <c r="K121" s="1115">
        <f t="shared" ca="1" si="53"/>
        <v>8.559960205096654E-4</v>
      </c>
      <c r="L121" s="1115">
        <f t="shared" ca="1" si="53"/>
        <v>1.4878755888824771E-3</v>
      </c>
      <c r="M121" s="1115">
        <f t="shared" ca="1" si="53"/>
        <v>0.11409744775126834</v>
      </c>
      <c r="N121" s="1115">
        <f t="shared" ca="1" si="53"/>
        <v>0.82524955783637055</v>
      </c>
      <c r="O121" s="1115">
        <f t="shared" ca="1" si="53"/>
        <v>0</v>
      </c>
      <c r="P121" s="1115">
        <f t="shared" ca="1" si="53"/>
        <v>0.20158017267247702</v>
      </c>
      <c r="Q121" s="1115">
        <f t="shared" ca="1" si="53"/>
        <v>9.0144728542419741E-2</v>
      </c>
      <c r="R121" s="1115">
        <f t="shared" ca="1" si="53"/>
        <v>2.7212091124119719E-2</v>
      </c>
      <c r="S121" s="1115">
        <f t="shared" ca="1" si="53"/>
        <v>4.0495068748820475E-3</v>
      </c>
      <c r="T121" s="1098"/>
      <c r="U121" s="1098"/>
      <c r="V121" s="1098"/>
      <c r="W121" s="1098"/>
      <c r="X121" s="1098"/>
      <c r="Y121" s="1098"/>
      <c r="Z121" s="1098"/>
      <c r="AA121" s="1098"/>
      <c r="AB121" s="1098"/>
      <c r="AC121" s="1098"/>
      <c r="AD121" s="1098"/>
      <c r="AE121" s="1098"/>
      <c r="AF121" s="1098"/>
      <c r="AG121" s="1098"/>
      <c r="AH121" s="1098"/>
      <c r="AI121" s="1098"/>
      <c r="AJ121" s="1098"/>
      <c r="AK121" s="1098"/>
      <c r="AL121" s="1098"/>
      <c r="AM121" s="1098"/>
      <c r="AN121" s="1098"/>
      <c r="AO121" s="1098"/>
      <c r="AP121" s="1098"/>
      <c r="AQ121" s="1098"/>
      <c r="AR121" s="1098"/>
      <c r="AS121" s="1098"/>
      <c r="AT121" s="1098"/>
      <c r="AU121" s="1098"/>
      <c r="AV121" s="1098"/>
      <c r="AW121" s="1098"/>
      <c r="AX121" s="1098"/>
      <c r="AY121" s="1098"/>
      <c r="AZ121" s="1098"/>
      <c r="BA121" s="1098"/>
      <c r="BB121" s="1098"/>
      <c r="BC121" s="1098"/>
      <c r="BD121" s="1098"/>
      <c r="BE121" s="1098"/>
      <c r="BF121" s="1098"/>
      <c r="BG121" s="1098"/>
      <c r="BH121" s="1098"/>
      <c r="BI121" s="1098"/>
      <c r="BJ121" s="1098"/>
      <c r="BK121" s="1098"/>
      <c r="BL121" s="1098"/>
      <c r="BM121" s="1098"/>
      <c r="BN121" s="1098"/>
      <c r="BO121" s="1098"/>
      <c r="BP121" s="1098"/>
      <c r="BQ121" s="1098"/>
      <c r="BR121" s="1098"/>
      <c r="BS121" s="1098"/>
      <c r="BT121" s="1098"/>
      <c r="BU121" s="1098"/>
    </row>
    <row r="122" spans="1:73" x14ac:dyDescent="0.25">
      <c r="A122" s="1098"/>
      <c r="B122" s="1098"/>
      <c r="C122" s="1122">
        <v>2</v>
      </c>
      <c r="D122" s="1102" t="str">
        <f t="shared" ref="D122:G122" ca="1" si="54">OFFSET(D$76,MATCH($C122,$N$101:$N$107,0)*3,0)</f>
        <v>Operating Capacity Factor = 85.5%</v>
      </c>
      <c r="E122" s="1115">
        <f t="shared" ca="1" si="54"/>
        <v>1.5837982922296741</v>
      </c>
      <c r="F122" s="1115">
        <f t="shared" ca="1" si="54"/>
        <v>0</v>
      </c>
      <c r="G122" s="1115">
        <f t="shared" ca="1" si="54"/>
        <v>1.6361788102070348E-3</v>
      </c>
      <c r="H122" s="1115"/>
      <c r="I122" s="1115"/>
      <c r="J122" s="1115"/>
      <c r="K122" s="1115"/>
      <c r="L122" s="1115"/>
      <c r="M122" s="1115"/>
      <c r="N122" s="1115"/>
      <c r="O122" s="1115"/>
      <c r="P122" s="1115"/>
      <c r="Q122" s="1115"/>
      <c r="R122" s="1115"/>
      <c r="S122" s="1115"/>
      <c r="T122" s="1098"/>
      <c r="U122" s="1098"/>
      <c r="V122" s="1098"/>
      <c r="W122" s="1098"/>
      <c r="X122" s="1098"/>
      <c r="Y122" s="1098"/>
      <c r="Z122" s="1098"/>
      <c r="AA122" s="1098"/>
      <c r="AB122" s="1098"/>
      <c r="AC122" s="1098"/>
      <c r="AD122" s="1098"/>
      <c r="AE122" s="1098"/>
      <c r="AF122" s="1098"/>
      <c r="AG122" s="1098"/>
      <c r="AH122" s="1098"/>
      <c r="AI122" s="1098"/>
      <c r="AJ122" s="1098"/>
      <c r="AK122" s="1098"/>
      <c r="AL122" s="1098"/>
      <c r="AM122" s="1098"/>
      <c r="AN122" s="1098"/>
      <c r="AO122" s="1098"/>
      <c r="AP122" s="1098"/>
      <c r="AQ122" s="1098"/>
      <c r="AR122" s="1098"/>
      <c r="AS122" s="1098"/>
      <c r="AT122" s="1098"/>
      <c r="AU122" s="1098"/>
      <c r="AV122" s="1098"/>
      <c r="AW122" s="1098"/>
      <c r="AX122" s="1098"/>
      <c r="AY122" s="1098"/>
      <c r="AZ122" s="1098"/>
      <c r="BA122" s="1098"/>
      <c r="BB122" s="1098"/>
      <c r="BC122" s="1098"/>
      <c r="BD122" s="1098"/>
      <c r="BE122" s="1098"/>
      <c r="BF122" s="1098"/>
      <c r="BG122" s="1098"/>
      <c r="BH122" s="1098"/>
      <c r="BI122" s="1098"/>
      <c r="BJ122" s="1098"/>
      <c r="BK122" s="1098"/>
      <c r="BL122" s="1098"/>
      <c r="BM122" s="1098"/>
      <c r="BN122" s="1098"/>
      <c r="BO122" s="1098"/>
      <c r="BP122" s="1098"/>
      <c r="BQ122" s="1098"/>
      <c r="BR122" s="1098"/>
      <c r="BS122" s="1098"/>
      <c r="BT122" s="1098"/>
      <c r="BU122" s="1098"/>
    </row>
    <row r="123" spans="1:73" x14ac:dyDescent="0.25">
      <c r="A123" s="1098"/>
      <c r="B123" s="1098"/>
      <c r="C123" s="1122"/>
      <c r="D123" s="1102"/>
      <c r="E123" s="1115"/>
      <c r="F123" s="1115"/>
      <c r="G123" s="1115"/>
      <c r="H123" s="1115">
        <f t="shared" ref="H123:S123" ca="1" si="55">OFFSET(H$76,MATCH($C122,$N$101:$N$107,0)*3,0)</f>
        <v>0.15055385219869918</v>
      </c>
      <c r="I123" s="1115">
        <f t="shared" ca="1" si="55"/>
        <v>0.12403020514642495</v>
      </c>
      <c r="J123" s="1115">
        <f t="shared" ca="1" si="55"/>
        <v>1.5827606294927837E-2</v>
      </c>
      <c r="K123" s="1115">
        <f t="shared" ca="1" si="55"/>
        <v>9.4610086477384082E-4</v>
      </c>
      <c r="L123" s="1115">
        <f t="shared" ca="1" si="55"/>
        <v>1.6324451077206019E-3</v>
      </c>
      <c r="M123" s="1115">
        <f t="shared" ca="1" si="55"/>
        <v>0.12549555129032774</v>
      </c>
      <c r="N123" s="1115">
        <f t="shared" ca="1" si="55"/>
        <v>0.82524955783637044</v>
      </c>
      <c r="O123" s="1115">
        <f t="shared" ca="1" si="55"/>
        <v>0</v>
      </c>
      <c r="P123" s="1115">
        <f t="shared" ca="1" si="55"/>
        <v>0.21003533217222101</v>
      </c>
      <c r="Q123" s="1115">
        <f t="shared" ca="1" si="55"/>
        <v>9.8903646377048182E-2</v>
      </c>
      <c r="R123" s="1115">
        <f t="shared" ca="1" si="55"/>
        <v>2.8317196303535606E-2</v>
      </c>
      <c r="S123" s="1115">
        <f t="shared" ca="1" si="55"/>
        <v>4.4429774478303456E-3</v>
      </c>
      <c r="T123" s="1098"/>
      <c r="U123" s="1098"/>
      <c r="V123" s="1098"/>
      <c r="W123" s="1098"/>
      <c r="X123" s="1098"/>
      <c r="Y123" s="1098"/>
      <c r="Z123" s="1098"/>
      <c r="AA123" s="1098"/>
      <c r="AB123" s="1098"/>
      <c r="AC123" s="1098"/>
      <c r="AD123" s="1098"/>
      <c r="AE123" s="1098"/>
      <c r="AF123" s="1098"/>
      <c r="AG123" s="1098"/>
      <c r="AH123" s="1098"/>
      <c r="AI123" s="1098"/>
      <c r="AJ123" s="1098"/>
      <c r="AK123" s="1098"/>
      <c r="AL123" s="1098"/>
      <c r="AM123" s="1098"/>
      <c r="AN123" s="1098"/>
      <c r="AO123" s="1098"/>
      <c r="AP123" s="1098"/>
      <c r="AQ123" s="1098"/>
      <c r="AR123" s="1098"/>
      <c r="AS123" s="1098"/>
      <c r="AT123" s="1098"/>
      <c r="AU123" s="1098"/>
      <c r="AV123" s="1098"/>
      <c r="AW123" s="1098"/>
      <c r="AX123" s="1098"/>
      <c r="AY123" s="1098"/>
      <c r="AZ123" s="1098"/>
      <c r="BA123" s="1098"/>
      <c r="BB123" s="1098"/>
      <c r="BC123" s="1098"/>
      <c r="BD123" s="1098"/>
      <c r="BE123" s="1098"/>
      <c r="BF123" s="1098"/>
      <c r="BG123" s="1098"/>
      <c r="BH123" s="1098"/>
      <c r="BI123" s="1098"/>
      <c r="BJ123" s="1098"/>
      <c r="BK123" s="1098"/>
      <c r="BL123" s="1098"/>
      <c r="BM123" s="1098"/>
      <c r="BN123" s="1098"/>
      <c r="BO123" s="1098"/>
      <c r="BP123" s="1098"/>
      <c r="BQ123" s="1098"/>
      <c r="BR123" s="1098"/>
      <c r="BS123" s="1098"/>
      <c r="BT123" s="1098"/>
      <c r="BU123" s="1098"/>
    </row>
    <row r="124" spans="1:73" x14ac:dyDescent="0.25">
      <c r="A124" s="1098"/>
      <c r="B124" s="1098"/>
      <c r="C124" s="1122"/>
      <c r="D124" s="1102"/>
      <c r="E124" s="1115"/>
      <c r="F124" s="1115"/>
      <c r="G124" s="1115"/>
      <c r="H124" s="1115"/>
      <c r="I124" s="1115"/>
      <c r="J124" s="1115"/>
      <c r="K124" s="1115"/>
      <c r="L124" s="1115"/>
      <c r="M124" s="1115"/>
      <c r="N124" s="1115"/>
      <c r="O124" s="1115"/>
      <c r="P124" s="1115"/>
      <c r="Q124" s="1115"/>
      <c r="R124" s="1115"/>
      <c r="S124" s="1115"/>
      <c r="T124" s="1098"/>
      <c r="U124" s="1098"/>
      <c r="V124" s="1098"/>
      <c r="W124" s="1098"/>
      <c r="X124" s="1098"/>
      <c r="Y124" s="1098"/>
      <c r="Z124" s="1098"/>
      <c r="AA124" s="1098"/>
      <c r="AB124" s="1098"/>
      <c r="AC124" s="1098"/>
      <c r="AD124" s="1098"/>
      <c r="AE124" s="1098"/>
      <c r="AF124" s="1098"/>
      <c r="AG124" s="1098"/>
      <c r="AH124" s="1098"/>
      <c r="AI124" s="1098"/>
      <c r="AJ124" s="1098"/>
      <c r="AK124" s="1098"/>
      <c r="AL124" s="1098"/>
      <c r="AM124" s="1098"/>
      <c r="AN124" s="1098"/>
      <c r="AO124" s="1098"/>
      <c r="AP124" s="1098"/>
      <c r="AQ124" s="1098"/>
      <c r="AR124" s="1098"/>
      <c r="AS124" s="1098"/>
      <c r="AT124" s="1098"/>
      <c r="AU124" s="1098"/>
      <c r="AV124" s="1098"/>
      <c r="AW124" s="1098"/>
      <c r="AX124" s="1098"/>
      <c r="AY124" s="1098"/>
      <c r="AZ124" s="1098"/>
      <c r="BA124" s="1098"/>
      <c r="BB124" s="1098"/>
      <c r="BC124" s="1098"/>
      <c r="BD124" s="1098"/>
      <c r="BE124" s="1098"/>
      <c r="BF124" s="1098"/>
      <c r="BG124" s="1098"/>
      <c r="BH124" s="1098"/>
      <c r="BI124" s="1098"/>
      <c r="BJ124" s="1098"/>
      <c r="BK124" s="1098"/>
      <c r="BL124" s="1098"/>
      <c r="BM124" s="1098"/>
      <c r="BN124" s="1098"/>
      <c r="BO124" s="1098"/>
      <c r="BP124" s="1098"/>
      <c r="BQ124" s="1098"/>
      <c r="BR124" s="1098"/>
      <c r="BS124" s="1098"/>
      <c r="BT124" s="1098"/>
      <c r="BU124" s="1098"/>
    </row>
    <row r="125" spans="1:73" x14ac:dyDescent="0.25">
      <c r="A125" s="1098"/>
      <c r="B125" s="1098"/>
      <c r="C125" s="1122">
        <v>3</v>
      </c>
      <c r="D125" s="1102" t="str">
        <f t="shared" ref="D125:G125" ca="1" si="56">OFFSET(D$76,MATCH($C125,$N$101:$N$107,0)*3-2,0)</f>
        <v>Total Capital Investment = $460,000K</v>
      </c>
      <c r="E125" s="1115">
        <f t="shared" ca="1" si="56"/>
        <v>1.5419997659953315</v>
      </c>
      <c r="F125" s="1115">
        <f t="shared" ca="1" si="56"/>
        <v>0</v>
      </c>
      <c r="G125" s="1115">
        <f t="shared" ca="1" si="56"/>
        <v>1.4823213478514154E-3</v>
      </c>
      <c r="H125" s="1115"/>
      <c r="I125" s="1115"/>
      <c r="J125" s="1115"/>
      <c r="K125" s="1115"/>
      <c r="L125" s="1115"/>
      <c r="M125" s="1115"/>
      <c r="N125" s="1115"/>
      <c r="O125" s="1115"/>
      <c r="P125" s="1115"/>
      <c r="Q125" s="1115"/>
      <c r="R125" s="1115"/>
      <c r="S125" s="1115"/>
      <c r="T125" s="1098"/>
      <c r="U125" s="1098"/>
      <c r="V125" s="1098"/>
      <c r="W125" s="1098"/>
      <c r="X125" s="1098"/>
      <c r="Y125" s="1098"/>
      <c r="Z125" s="1098"/>
      <c r="AA125" s="1098"/>
      <c r="AB125" s="1098"/>
      <c r="AC125" s="1098"/>
      <c r="AD125" s="1098"/>
      <c r="AE125" s="1098"/>
      <c r="AF125" s="1098"/>
      <c r="AG125" s="1098"/>
      <c r="AH125" s="1098"/>
      <c r="AI125" s="1098"/>
      <c r="AJ125" s="1098"/>
      <c r="AK125" s="1098"/>
      <c r="AL125" s="1098"/>
      <c r="AM125" s="1098"/>
      <c r="AN125" s="1098"/>
      <c r="AO125" s="1098"/>
      <c r="AP125" s="1098"/>
      <c r="AQ125" s="1098"/>
      <c r="AR125" s="1098"/>
      <c r="AS125" s="1098"/>
      <c r="AT125" s="1098"/>
      <c r="AU125" s="1098"/>
      <c r="AV125" s="1098"/>
      <c r="AW125" s="1098"/>
      <c r="AX125" s="1098"/>
      <c r="AY125" s="1098"/>
      <c r="AZ125" s="1098"/>
      <c r="BA125" s="1098"/>
      <c r="BB125" s="1098"/>
      <c r="BC125" s="1098"/>
      <c r="BD125" s="1098"/>
      <c r="BE125" s="1098"/>
      <c r="BF125" s="1098"/>
      <c r="BG125" s="1098"/>
      <c r="BH125" s="1098"/>
      <c r="BI125" s="1098"/>
      <c r="BJ125" s="1098"/>
      <c r="BK125" s="1098"/>
      <c r="BL125" s="1098"/>
      <c r="BM125" s="1098"/>
      <c r="BN125" s="1098"/>
      <c r="BO125" s="1098"/>
      <c r="BP125" s="1098"/>
      <c r="BQ125" s="1098"/>
      <c r="BR125" s="1098"/>
      <c r="BS125" s="1098"/>
      <c r="BT125" s="1098"/>
      <c r="BU125" s="1098"/>
    </row>
    <row r="126" spans="1:73" x14ac:dyDescent="0.25">
      <c r="A126" s="1098"/>
      <c r="B126" s="1098"/>
      <c r="C126" s="1122"/>
      <c r="D126" s="1102"/>
      <c r="E126" s="1115"/>
      <c r="F126" s="1115"/>
      <c r="G126" s="1115"/>
      <c r="H126" s="1115">
        <f t="shared" ref="H126:S126" ca="1" si="57">OFFSET(H$76,MATCH($C125,$N$101:$N$107,0)*3-2,0)</f>
        <v>0.13638141395062564</v>
      </c>
      <c r="I126" s="1115">
        <f t="shared" ca="1" si="57"/>
        <v>0.12137220296106475</v>
      </c>
      <c r="J126" s="1115">
        <f t="shared" ca="1" si="57"/>
        <v>1.5631707515553917E-2</v>
      </c>
      <c r="K126" s="1115">
        <f t="shared" ca="1" si="57"/>
        <v>8.987958215351488E-4</v>
      </c>
      <c r="L126" s="1115">
        <f t="shared" ca="1" si="57"/>
        <v>1.4787743304893036E-3</v>
      </c>
      <c r="M126" s="1115">
        <f t="shared" ca="1" si="57"/>
        <v>0.1155603097495482</v>
      </c>
      <c r="N126" s="1115">
        <f t="shared" ca="1" si="57"/>
        <v>0.82524955783637077</v>
      </c>
      <c r="O126" s="1115">
        <f t="shared" ca="1" si="57"/>
        <v>0</v>
      </c>
      <c r="P126" s="1115">
        <f t="shared" ca="1" si="57"/>
        <v>0.20561571448089225</v>
      </c>
      <c r="Q126" s="1115">
        <f t="shared" ca="1" si="57"/>
        <v>8.9593317877860595E-2</v>
      </c>
      <c r="R126" s="1115">
        <f t="shared" ca="1" si="57"/>
        <v>2.7675556569476258E-2</v>
      </c>
      <c r="S126" s="1115">
        <f t="shared" ca="1" si="57"/>
        <v>4.0247362497648521E-3</v>
      </c>
      <c r="T126" s="1098"/>
      <c r="U126" s="1098"/>
      <c r="V126" s="1098"/>
      <c r="W126" s="1098"/>
      <c r="X126" s="1098"/>
      <c r="Y126" s="1098"/>
      <c r="Z126" s="1098"/>
      <c r="AA126" s="1098"/>
      <c r="AB126" s="1098"/>
      <c r="AC126" s="1098"/>
      <c r="AD126" s="1098"/>
      <c r="AE126" s="1098"/>
      <c r="AF126" s="1098"/>
      <c r="AG126" s="1098"/>
      <c r="AH126" s="1098"/>
      <c r="AI126" s="1098"/>
      <c r="AJ126" s="1098"/>
      <c r="AK126" s="1098"/>
      <c r="AL126" s="1098"/>
      <c r="AM126" s="1098"/>
      <c r="AN126" s="1098"/>
      <c r="AO126" s="1098"/>
      <c r="AP126" s="1098"/>
      <c r="AQ126" s="1098"/>
      <c r="AR126" s="1098"/>
      <c r="AS126" s="1098"/>
      <c r="AT126" s="1098"/>
      <c r="AU126" s="1098"/>
      <c r="AV126" s="1098"/>
      <c r="AW126" s="1098"/>
      <c r="AX126" s="1098"/>
      <c r="AY126" s="1098"/>
      <c r="AZ126" s="1098"/>
      <c r="BA126" s="1098"/>
      <c r="BB126" s="1098"/>
      <c r="BC126" s="1098"/>
      <c r="BD126" s="1098"/>
      <c r="BE126" s="1098"/>
      <c r="BF126" s="1098"/>
      <c r="BG126" s="1098"/>
      <c r="BH126" s="1098"/>
      <c r="BI126" s="1098"/>
      <c r="BJ126" s="1098"/>
      <c r="BK126" s="1098"/>
      <c r="BL126" s="1098"/>
      <c r="BM126" s="1098"/>
      <c r="BN126" s="1098"/>
      <c r="BO126" s="1098"/>
      <c r="BP126" s="1098"/>
      <c r="BQ126" s="1098"/>
      <c r="BR126" s="1098"/>
      <c r="BS126" s="1098"/>
      <c r="BT126" s="1098"/>
      <c r="BU126" s="1098"/>
    </row>
    <row r="127" spans="1:73" x14ac:dyDescent="0.25">
      <c r="A127" s="1098"/>
      <c r="B127" s="1098"/>
      <c r="C127" s="1122">
        <v>3</v>
      </c>
      <c r="D127" s="1102" t="str">
        <f t="shared" ref="D127:G127" ca="1" si="58">OFFSET(D$76,MATCH($C127,$N$101:$N$107,0)*3,0)</f>
        <v>Total Capital Investment = $508,421K</v>
      </c>
      <c r="E127" s="1115">
        <f t="shared" ca="1" si="58"/>
        <v>1.574439807063454</v>
      </c>
      <c r="F127" s="1115">
        <f t="shared" ca="1" si="58"/>
        <v>0</v>
      </c>
      <c r="G127" s="1115">
        <f t="shared" ca="1" si="58"/>
        <v>1.638355173941038E-3</v>
      </c>
      <c r="H127" s="1115"/>
      <c r="I127" s="1115"/>
      <c r="J127" s="1115"/>
      <c r="K127" s="1115"/>
      <c r="L127" s="1115"/>
      <c r="M127" s="1115"/>
      <c r="N127" s="1115"/>
      <c r="O127" s="1115"/>
      <c r="P127" s="1115"/>
      <c r="Q127" s="1115"/>
      <c r="R127" s="1115"/>
      <c r="S127" s="1115"/>
      <c r="T127" s="1098"/>
      <c r="U127" s="1098"/>
      <c r="V127" s="1098"/>
      <c r="W127" s="1098"/>
      <c r="X127" s="1098"/>
      <c r="Y127" s="1098"/>
      <c r="Z127" s="1098"/>
      <c r="AA127" s="1098"/>
      <c r="AB127" s="1098"/>
      <c r="AC127" s="1098"/>
      <c r="AD127" s="1098"/>
      <c r="AE127" s="1098"/>
      <c r="AF127" s="1098"/>
      <c r="AG127" s="1098"/>
      <c r="AH127" s="1098"/>
      <c r="AI127" s="1098"/>
      <c r="AJ127" s="1098"/>
      <c r="AK127" s="1098"/>
      <c r="AL127" s="1098"/>
      <c r="AM127" s="1098"/>
      <c r="AN127" s="1098"/>
      <c r="AO127" s="1098"/>
      <c r="AP127" s="1098"/>
      <c r="AQ127" s="1098"/>
      <c r="AR127" s="1098"/>
      <c r="AS127" s="1098"/>
      <c r="AT127" s="1098"/>
      <c r="AU127" s="1098"/>
      <c r="AV127" s="1098"/>
      <c r="AW127" s="1098"/>
      <c r="AX127" s="1098"/>
      <c r="AY127" s="1098"/>
      <c r="AZ127" s="1098"/>
      <c r="BA127" s="1098"/>
      <c r="BB127" s="1098"/>
      <c r="BC127" s="1098"/>
      <c r="BD127" s="1098"/>
      <c r="BE127" s="1098"/>
      <c r="BF127" s="1098"/>
      <c r="BG127" s="1098"/>
      <c r="BH127" s="1098"/>
      <c r="BI127" s="1098"/>
      <c r="BJ127" s="1098"/>
      <c r="BK127" s="1098"/>
      <c r="BL127" s="1098"/>
      <c r="BM127" s="1098"/>
      <c r="BN127" s="1098"/>
      <c r="BO127" s="1098"/>
      <c r="BP127" s="1098"/>
      <c r="BQ127" s="1098"/>
      <c r="BR127" s="1098"/>
      <c r="BS127" s="1098"/>
      <c r="BT127" s="1098"/>
      <c r="BU127" s="1098"/>
    </row>
    <row r="128" spans="1:73" x14ac:dyDescent="0.25">
      <c r="A128" s="1098"/>
      <c r="B128" s="1098"/>
      <c r="C128" s="1122"/>
      <c r="D128" s="1102"/>
      <c r="E128" s="1115"/>
      <c r="F128" s="1115"/>
      <c r="G128" s="1115"/>
      <c r="H128" s="1115">
        <f t="shared" ref="H128:S128" ca="1" si="59">OFFSET(H$76,MATCH($C127,$N$101:$N$107,0)*3,0)</f>
        <v>0.15077178669883767</v>
      </c>
      <c r="I128" s="1115">
        <f t="shared" ca="1" si="59"/>
        <v>0.12137220296106475</v>
      </c>
      <c r="J128" s="1115">
        <f t="shared" ca="1" si="59"/>
        <v>1.5739891409945753E-2</v>
      </c>
      <c r="K128" s="1115">
        <f t="shared" ca="1" si="59"/>
        <v>8.987958215351488E-4</v>
      </c>
      <c r="L128" s="1115">
        <f t="shared" ca="1" si="59"/>
        <v>1.6348081565789267E-3</v>
      </c>
      <c r="M128" s="1115">
        <f t="shared" ca="1" si="59"/>
        <v>0.1234876923640896</v>
      </c>
      <c r="N128" s="1115">
        <f t="shared" ca="1" si="59"/>
        <v>0.82524955783637077</v>
      </c>
      <c r="O128" s="1115">
        <f t="shared" ca="1" si="59"/>
        <v>0</v>
      </c>
      <c r="P128" s="1115">
        <f t="shared" ca="1" si="59"/>
        <v>0.20561571448089225</v>
      </c>
      <c r="Q128" s="1115">
        <f t="shared" ca="1" si="59"/>
        <v>9.9046814528644889E-2</v>
      </c>
      <c r="R128" s="1115">
        <f t="shared" ca="1" si="59"/>
        <v>2.7811489091589866E-2</v>
      </c>
      <c r="S128" s="1115">
        <f t="shared" ca="1" si="59"/>
        <v>4.4494088878438585E-3</v>
      </c>
      <c r="T128" s="1098"/>
      <c r="U128" s="1098"/>
      <c r="V128" s="1098"/>
      <c r="W128" s="1098"/>
      <c r="X128" s="1098"/>
      <c r="Y128" s="1098"/>
      <c r="Z128" s="1098"/>
      <c r="AA128" s="1098"/>
      <c r="AB128" s="1098"/>
      <c r="AC128" s="1098"/>
      <c r="AD128" s="1098"/>
      <c r="AE128" s="1098"/>
      <c r="AF128" s="1098"/>
      <c r="AG128" s="1098"/>
      <c r="AH128" s="1098"/>
      <c r="AI128" s="1098"/>
      <c r="AJ128" s="1098"/>
      <c r="AK128" s="1098"/>
      <c r="AL128" s="1098"/>
      <c r="AM128" s="1098"/>
      <c r="AN128" s="1098"/>
      <c r="AO128" s="1098"/>
      <c r="AP128" s="1098"/>
      <c r="AQ128" s="1098"/>
      <c r="AR128" s="1098"/>
      <c r="AS128" s="1098"/>
      <c r="AT128" s="1098"/>
      <c r="AU128" s="1098"/>
      <c r="AV128" s="1098"/>
      <c r="AW128" s="1098"/>
      <c r="AX128" s="1098"/>
      <c r="AY128" s="1098"/>
      <c r="AZ128" s="1098"/>
      <c r="BA128" s="1098"/>
      <c r="BB128" s="1098"/>
      <c r="BC128" s="1098"/>
      <c r="BD128" s="1098"/>
      <c r="BE128" s="1098"/>
      <c r="BF128" s="1098"/>
      <c r="BG128" s="1098"/>
      <c r="BH128" s="1098"/>
      <c r="BI128" s="1098"/>
      <c r="BJ128" s="1098"/>
      <c r="BK128" s="1098"/>
      <c r="BL128" s="1098"/>
      <c r="BM128" s="1098"/>
      <c r="BN128" s="1098"/>
      <c r="BO128" s="1098"/>
      <c r="BP128" s="1098"/>
      <c r="BQ128" s="1098"/>
      <c r="BR128" s="1098"/>
      <c r="BS128" s="1098"/>
      <c r="BT128" s="1098"/>
      <c r="BU128" s="1098"/>
    </row>
    <row r="129" spans="1:73" x14ac:dyDescent="0.25">
      <c r="A129" s="1098"/>
      <c r="B129" s="1098"/>
      <c r="C129" s="1122"/>
      <c r="D129" s="1102"/>
      <c r="E129" s="1115"/>
      <c r="F129" s="1115"/>
      <c r="G129" s="1115"/>
      <c r="H129" s="1115"/>
      <c r="I129" s="1115"/>
      <c r="J129" s="1115"/>
      <c r="K129" s="1115"/>
      <c r="L129" s="1115"/>
      <c r="M129" s="1115"/>
      <c r="N129" s="1115"/>
      <c r="O129" s="1115"/>
      <c r="P129" s="1115"/>
      <c r="Q129" s="1115"/>
      <c r="R129" s="1115"/>
      <c r="S129" s="1115"/>
      <c r="T129" s="1098"/>
      <c r="U129" s="1098"/>
      <c r="V129" s="1098"/>
      <c r="W129" s="1098"/>
      <c r="X129" s="1098"/>
      <c r="Y129" s="1098"/>
      <c r="Z129" s="1098"/>
      <c r="AA129" s="1098"/>
      <c r="AB129" s="1098"/>
      <c r="AC129" s="1098"/>
      <c r="AD129" s="1098"/>
      <c r="AE129" s="1098"/>
      <c r="AF129" s="1098"/>
      <c r="AG129" s="1098"/>
      <c r="AH129" s="1098"/>
      <c r="AI129" s="1098"/>
      <c r="AJ129" s="1098"/>
      <c r="AK129" s="1098"/>
      <c r="AL129" s="1098"/>
      <c r="AM129" s="1098"/>
      <c r="AN129" s="1098"/>
      <c r="AO129" s="1098"/>
      <c r="AP129" s="1098"/>
      <c r="AQ129" s="1098"/>
      <c r="AR129" s="1098"/>
      <c r="AS129" s="1098"/>
      <c r="AT129" s="1098"/>
      <c r="AU129" s="1098"/>
      <c r="AV129" s="1098"/>
      <c r="AW129" s="1098"/>
      <c r="AX129" s="1098"/>
      <c r="AY129" s="1098"/>
      <c r="AZ129" s="1098"/>
      <c r="BA129" s="1098"/>
      <c r="BB129" s="1098"/>
      <c r="BC129" s="1098"/>
      <c r="BD129" s="1098"/>
      <c r="BE129" s="1098"/>
      <c r="BF129" s="1098"/>
      <c r="BG129" s="1098"/>
      <c r="BH129" s="1098"/>
      <c r="BI129" s="1098"/>
      <c r="BJ129" s="1098"/>
      <c r="BK129" s="1098"/>
      <c r="BL129" s="1098"/>
      <c r="BM129" s="1098"/>
      <c r="BN129" s="1098"/>
      <c r="BO129" s="1098"/>
      <c r="BP129" s="1098"/>
      <c r="BQ129" s="1098"/>
      <c r="BR129" s="1098"/>
      <c r="BS129" s="1098"/>
      <c r="BT129" s="1098"/>
      <c r="BU129" s="1098"/>
    </row>
    <row r="130" spans="1:73" x14ac:dyDescent="0.25">
      <c r="A130" s="1098"/>
      <c r="B130" s="1098"/>
      <c r="C130" s="1122">
        <v>4</v>
      </c>
      <c r="D130" s="1102" t="str">
        <f t="shared" ref="D130:G130" ca="1" si="60">OFFSET(D$76,MATCH($C130,$N$101:$N$107,0)*3-2,0)</f>
        <v>Plant Design Capacity (kg of H2/day) = 398,356</v>
      </c>
      <c r="E130" s="1115">
        <f t="shared" ca="1" si="60"/>
        <v>1.5440945172151936</v>
      </c>
      <c r="F130" s="1115">
        <f t="shared" ca="1" si="60"/>
        <v>0</v>
      </c>
      <c r="G130" s="1115">
        <f t="shared" ca="1" si="60"/>
        <v>1.5177720394748549E-3</v>
      </c>
      <c r="H130" s="1115"/>
      <c r="I130" s="1115"/>
      <c r="J130" s="1115"/>
      <c r="K130" s="1115"/>
      <c r="L130" s="1115"/>
      <c r="M130" s="1115"/>
      <c r="N130" s="1115"/>
      <c r="O130" s="1115"/>
      <c r="P130" s="1115"/>
      <c r="Q130" s="1115"/>
      <c r="R130" s="1115"/>
      <c r="S130" s="1115"/>
      <c r="T130" s="1098"/>
      <c r="U130" s="1098"/>
      <c r="V130" s="1098"/>
      <c r="W130" s="1098"/>
      <c r="X130" s="1098"/>
      <c r="Y130" s="1098"/>
      <c r="Z130" s="1098"/>
      <c r="AA130" s="1098"/>
      <c r="AB130" s="1098"/>
      <c r="AC130" s="1098"/>
      <c r="AD130" s="1098"/>
      <c r="AE130" s="1098"/>
      <c r="AF130" s="1098"/>
      <c r="AG130" s="1098"/>
      <c r="AH130" s="1098"/>
      <c r="AI130" s="1098"/>
      <c r="AJ130" s="1098"/>
      <c r="AK130" s="1098"/>
      <c r="AL130" s="1098"/>
      <c r="AM130" s="1098"/>
      <c r="AN130" s="1098"/>
      <c r="AO130" s="1098"/>
      <c r="AP130" s="1098"/>
      <c r="AQ130" s="1098"/>
      <c r="AR130" s="1098"/>
      <c r="AS130" s="1098"/>
      <c r="AT130" s="1098"/>
      <c r="AU130" s="1098"/>
      <c r="AV130" s="1098"/>
      <c r="AW130" s="1098"/>
      <c r="AX130" s="1098"/>
      <c r="AY130" s="1098"/>
      <c r="AZ130" s="1098"/>
      <c r="BA130" s="1098"/>
      <c r="BB130" s="1098"/>
      <c r="BC130" s="1098"/>
      <c r="BD130" s="1098"/>
      <c r="BE130" s="1098"/>
      <c r="BF130" s="1098"/>
      <c r="BG130" s="1098"/>
      <c r="BH130" s="1098"/>
      <c r="BI130" s="1098"/>
      <c r="BJ130" s="1098"/>
      <c r="BK130" s="1098"/>
      <c r="BL130" s="1098"/>
      <c r="BM130" s="1098"/>
      <c r="BN130" s="1098"/>
      <c r="BO130" s="1098"/>
      <c r="BP130" s="1098"/>
      <c r="BQ130" s="1098"/>
      <c r="BR130" s="1098"/>
      <c r="BS130" s="1098"/>
      <c r="BT130" s="1098"/>
      <c r="BU130" s="1098"/>
    </row>
    <row r="131" spans="1:73" x14ac:dyDescent="0.25">
      <c r="A131" s="1098"/>
      <c r="B131" s="1098"/>
      <c r="C131" s="1122"/>
      <c r="D131" s="1102"/>
      <c r="E131" s="1115"/>
      <c r="F131" s="1115"/>
      <c r="G131" s="1115"/>
      <c r="H131" s="1115">
        <f t="shared" ref="H131:S131" ca="1" si="61">OFFSET(H$76,MATCH($C130,$N$101:$N$107,0)*3-2,0)</f>
        <v>0.13965721111896354</v>
      </c>
      <c r="I131" s="1115">
        <f t="shared" ca="1" si="61"/>
        <v>0.11924128709371848</v>
      </c>
      <c r="J131" s="1115">
        <f t="shared" ca="1" si="61"/>
        <v>1.5619260240447509E-2</v>
      </c>
      <c r="K131" s="1115">
        <f t="shared" ca="1" si="61"/>
        <v>8.8142492042780571E-4</v>
      </c>
      <c r="L131" s="1115">
        <f t="shared" ca="1" si="61"/>
        <v>1.5142935748210973E-3</v>
      </c>
      <c r="M131" s="1115">
        <f t="shared" ca="1" si="61"/>
        <v>0.11609376862927953</v>
      </c>
      <c r="N131" s="1115">
        <f t="shared" ca="1" si="61"/>
        <v>0.82524955783637055</v>
      </c>
      <c r="O131" s="1115">
        <f t="shared" ca="1" si="61"/>
        <v>0</v>
      </c>
      <c r="P131" s="1115">
        <f t="shared" ca="1" si="61"/>
        <v>0.20417015763647942</v>
      </c>
      <c r="Q131" s="1115">
        <f t="shared" ca="1" si="61"/>
        <v>9.1745293931669136E-2</v>
      </c>
      <c r="R131" s="1115">
        <f t="shared" ca="1" si="61"/>
        <v>2.7318626348570359E-2</v>
      </c>
      <c r="S131" s="1115">
        <f t="shared" ca="1" si="61"/>
        <v>4.1214079239202455E-3</v>
      </c>
      <c r="T131" s="1098"/>
      <c r="U131" s="1098"/>
      <c r="V131" s="1098"/>
      <c r="W131" s="1098"/>
      <c r="X131" s="1098"/>
      <c r="Y131" s="1098"/>
      <c r="Z131" s="1098"/>
      <c r="AA131" s="1098"/>
      <c r="AB131" s="1098"/>
      <c r="AC131" s="1098"/>
      <c r="AD131" s="1098"/>
      <c r="AE131" s="1098"/>
      <c r="AF131" s="1098"/>
      <c r="AG131" s="1098"/>
      <c r="AH131" s="1098"/>
      <c r="AI131" s="1098"/>
      <c r="AJ131" s="1098"/>
      <c r="AK131" s="1098"/>
      <c r="AL131" s="1098"/>
      <c r="AM131" s="1098"/>
      <c r="AN131" s="1098"/>
      <c r="AO131" s="1098"/>
      <c r="AP131" s="1098"/>
      <c r="AQ131" s="1098"/>
      <c r="AR131" s="1098"/>
      <c r="AS131" s="1098"/>
      <c r="AT131" s="1098"/>
      <c r="AU131" s="1098"/>
      <c r="AV131" s="1098"/>
      <c r="AW131" s="1098"/>
      <c r="AX131" s="1098"/>
      <c r="AY131" s="1098"/>
      <c r="AZ131" s="1098"/>
      <c r="BA131" s="1098"/>
      <c r="BB131" s="1098"/>
      <c r="BC131" s="1098"/>
      <c r="BD131" s="1098"/>
      <c r="BE131" s="1098"/>
      <c r="BF131" s="1098"/>
      <c r="BG131" s="1098"/>
      <c r="BH131" s="1098"/>
      <c r="BI131" s="1098"/>
      <c r="BJ131" s="1098"/>
      <c r="BK131" s="1098"/>
      <c r="BL131" s="1098"/>
      <c r="BM131" s="1098"/>
      <c r="BN131" s="1098"/>
      <c r="BO131" s="1098"/>
      <c r="BP131" s="1098"/>
      <c r="BQ131" s="1098"/>
      <c r="BR131" s="1098"/>
      <c r="BS131" s="1098"/>
      <c r="BT131" s="1098"/>
      <c r="BU131" s="1098"/>
    </row>
    <row r="132" spans="1:73" x14ac:dyDescent="0.25">
      <c r="A132" s="1098"/>
      <c r="B132" s="1098"/>
      <c r="C132" s="1122">
        <v>4</v>
      </c>
      <c r="D132" s="1102" t="str">
        <f t="shared" ref="D132:G132" ca="1" si="62">OFFSET(D$76,MATCH($C132,$N$101:$N$107,0)*3,0)</f>
        <v>Plant Design Capacity (kg of H2/day) = 360,418</v>
      </c>
      <c r="E132" s="1115">
        <f t="shared" ca="1" si="62"/>
        <v>1.5734415536126003</v>
      </c>
      <c r="F132" s="1115">
        <f t="shared" ca="1" si="62"/>
        <v>0</v>
      </c>
      <c r="G132" s="1115">
        <f t="shared" ca="1" si="62"/>
        <v>1.6062819276984263E-3</v>
      </c>
      <c r="H132" s="1115"/>
      <c r="I132" s="1115"/>
      <c r="J132" s="1115"/>
      <c r="K132" s="1115"/>
      <c r="L132" s="1115"/>
      <c r="M132" s="1115"/>
      <c r="N132" s="1115"/>
      <c r="O132" s="1115"/>
      <c r="P132" s="1115"/>
      <c r="Q132" s="1115"/>
      <c r="R132" s="1115"/>
      <c r="S132" s="1115"/>
      <c r="T132" s="1098"/>
      <c r="U132" s="1098"/>
      <c r="V132" s="1098"/>
      <c r="W132" s="1098"/>
      <c r="X132" s="1098"/>
      <c r="Y132" s="1098"/>
      <c r="Z132" s="1098"/>
      <c r="AA132" s="1098"/>
      <c r="AB132" s="1098"/>
      <c r="AC132" s="1098"/>
      <c r="AD132" s="1098"/>
      <c r="AE132" s="1098"/>
      <c r="AF132" s="1098"/>
      <c r="AG132" s="1098"/>
      <c r="AH132" s="1098"/>
      <c r="AI132" s="1098"/>
      <c r="AJ132" s="1098"/>
      <c r="AK132" s="1098"/>
      <c r="AL132" s="1098"/>
      <c r="AM132" s="1098"/>
      <c r="AN132" s="1098"/>
      <c r="AO132" s="1098"/>
      <c r="AP132" s="1098"/>
      <c r="AQ132" s="1098"/>
      <c r="AR132" s="1098"/>
      <c r="AS132" s="1098"/>
      <c r="AT132" s="1098"/>
      <c r="AU132" s="1098"/>
      <c r="AV132" s="1098"/>
      <c r="AW132" s="1098"/>
      <c r="AX132" s="1098"/>
      <c r="AY132" s="1098"/>
      <c r="AZ132" s="1098"/>
      <c r="BA132" s="1098"/>
      <c r="BB132" s="1098"/>
      <c r="BC132" s="1098"/>
      <c r="BD132" s="1098"/>
      <c r="BE132" s="1098"/>
      <c r="BF132" s="1098"/>
      <c r="BG132" s="1098"/>
      <c r="BH132" s="1098"/>
      <c r="BI132" s="1098"/>
      <c r="BJ132" s="1098"/>
      <c r="BK132" s="1098"/>
      <c r="BL132" s="1098"/>
      <c r="BM132" s="1098"/>
      <c r="BN132" s="1098"/>
      <c r="BO132" s="1098"/>
      <c r="BP132" s="1098"/>
      <c r="BQ132" s="1098"/>
      <c r="BR132" s="1098"/>
      <c r="BS132" s="1098"/>
      <c r="BT132" s="1098"/>
      <c r="BU132" s="1098"/>
    </row>
    <row r="133" spans="1:73" x14ac:dyDescent="0.25">
      <c r="A133" s="1098"/>
      <c r="B133" s="1098"/>
      <c r="C133" s="1122"/>
      <c r="D133" s="1102"/>
      <c r="E133" s="1115"/>
      <c r="F133" s="1115"/>
      <c r="G133" s="1115"/>
      <c r="H133" s="1115">
        <f t="shared" ref="H133:S133" ca="1" si="63">OFFSET(H$76,MATCH($C132,$N$101:$N$107,0)*3,0)</f>
        <v>0.14780701898736265</v>
      </c>
      <c r="I133" s="1115">
        <f t="shared" ca="1" si="63"/>
        <v>0.12364442174887701</v>
      </c>
      <c r="J133" s="1115">
        <f t="shared" ca="1" si="63"/>
        <v>1.5757730679198067E-2</v>
      </c>
      <c r="K133" s="1115">
        <f t="shared" ca="1" si="63"/>
        <v>9.1742718017115757E-4</v>
      </c>
      <c r="L133" s="1115">
        <f t="shared" ca="1" si="63"/>
        <v>1.6026613833450025E-3</v>
      </c>
      <c r="M133" s="1115">
        <f t="shared" ca="1" si="63"/>
        <v>0.12323789567528204</v>
      </c>
      <c r="N133" s="1115">
        <f t="shared" ca="1" si="63"/>
        <v>0.82524955783637088</v>
      </c>
      <c r="O133" s="1115">
        <f t="shared" ca="1" si="63"/>
        <v>0</v>
      </c>
      <c r="P133" s="1115">
        <f t="shared" ca="1" si="63"/>
        <v>0.20717271785771227</v>
      </c>
      <c r="Q133" s="1115">
        <f t="shared" ca="1" si="63"/>
        <v>9.7099163684488357E-2</v>
      </c>
      <c r="R133" s="1115">
        <f t="shared" ca="1" si="63"/>
        <v>2.8197324539207081E-2</v>
      </c>
      <c r="S133" s="1115">
        <f t="shared" ca="1" si="63"/>
        <v>4.361915968282064E-3</v>
      </c>
      <c r="T133" s="1098"/>
      <c r="U133" s="1098"/>
      <c r="V133" s="1098"/>
      <c r="W133" s="1098"/>
      <c r="X133" s="1098"/>
      <c r="Y133" s="1098"/>
      <c r="Z133" s="1098"/>
      <c r="AA133" s="1098"/>
      <c r="AB133" s="1098"/>
      <c r="AC133" s="1098"/>
      <c r="AD133" s="1098"/>
      <c r="AE133" s="1098"/>
      <c r="AF133" s="1098"/>
      <c r="AG133" s="1098"/>
      <c r="AH133" s="1098"/>
      <c r="AI133" s="1098"/>
      <c r="AJ133" s="1098"/>
      <c r="AK133" s="1098"/>
      <c r="AL133" s="1098"/>
      <c r="AM133" s="1098"/>
      <c r="AN133" s="1098"/>
      <c r="AO133" s="1098"/>
      <c r="AP133" s="1098"/>
      <c r="AQ133" s="1098"/>
      <c r="AR133" s="1098"/>
      <c r="AS133" s="1098"/>
      <c r="AT133" s="1098"/>
      <c r="AU133" s="1098"/>
      <c r="AV133" s="1098"/>
      <c r="AW133" s="1098"/>
      <c r="AX133" s="1098"/>
      <c r="AY133" s="1098"/>
      <c r="AZ133" s="1098"/>
      <c r="BA133" s="1098"/>
      <c r="BB133" s="1098"/>
      <c r="BC133" s="1098"/>
      <c r="BD133" s="1098"/>
      <c r="BE133" s="1098"/>
      <c r="BF133" s="1098"/>
      <c r="BG133" s="1098"/>
      <c r="BH133" s="1098"/>
      <c r="BI133" s="1098"/>
      <c r="BJ133" s="1098"/>
      <c r="BK133" s="1098"/>
      <c r="BL133" s="1098"/>
      <c r="BM133" s="1098"/>
      <c r="BN133" s="1098"/>
      <c r="BO133" s="1098"/>
      <c r="BP133" s="1098"/>
      <c r="BQ133" s="1098"/>
      <c r="BR133" s="1098"/>
      <c r="BS133" s="1098"/>
      <c r="BT133" s="1098"/>
      <c r="BU133" s="1098"/>
    </row>
    <row r="134" spans="1:73" x14ac:dyDescent="0.25">
      <c r="A134" s="1098"/>
      <c r="B134" s="1098"/>
      <c r="C134" s="1122"/>
      <c r="D134" s="1102"/>
      <c r="E134" s="1115"/>
      <c r="F134" s="1115"/>
      <c r="G134" s="1115"/>
      <c r="H134" s="1115"/>
      <c r="I134" s="1115"/>
      <c r="J134" s="1115"/>
      <c r="K134" s="1115"/>
      <c r="L134" s="1115"/>
      <c r="M134" s="1115"/>
      <c r="N134" s="1115"/>
      <c r="O134" s="1115"/>
      <c r="P134" s="1115"/>
      <c r="Q134" s="1115"/>
      <c r="R134" s="1115"/>
      <c r="S134" s="1115"/>
      <c r="T134" s="1098"/>
      <c r="U134" s="1098"/>
      <c r="V134" s="1098"/>
      <c r="W134" s="1098"/>
      <c r="X134" s="1098"/>
      <c r="Y134" s="1098"/>
      <c r="Z134" s="1098"/>
      <c r="AA134" s="1098"/>
      <c r="AB134" s="1098"/>
      <c r="AC134" s="1098"/>
      <c r="AD134" s="1098"/>
      <c r="AE134" s="1098"/>
      <c r="AF134" s="1098"/>
      <c r="AG134" s="1098"/>
      <c r="AH134" s="1098"/>
      <c r="AI134" s="1098"/>
      <c r="AJ134" s="1098"/>
      <c r="AK134" s="1098"/>
      <c r="AL134" s="1098"/>
      <c r="AM134" s="1098"/>
      <c r="AN134" s="1098"/>
      <c r="AO134" s="1098"/>
      <c r="AP134" s="1098"/>
      <c r="AQ134" s="1098"/>
      <c r="AR134" s="1098"/>
      <c r="AS134" s="1098"/>
      <c r="AT134" s="1098"/>
      <c r="AU134" s="1098"/>
      <c r="AV134" s="1098"/>
      <c r="AW134" s="1098"/>
      <c r="AX134" s="1098"/>
      <c r="AY134" s="1098"/>
      <c r="AZ134" s="1098"/>
      <c r="BA134" s="1098"/>
      <c r="BB134" s="1098"/>
      <c r="BC134" s="1098"/>
      <c r="BD134" s="1098"/>
      <c r="BE134" s="1098"/>
      <c r="BF134" s="1098"/>
      <c r="BG134" s="1098"/>
      <c r="BH134" s="1098"/>
      <c r="BI134" s="1098"/>
      <c r="BJ134" s="1098"/>
      <c r="BK134" s="1098"/>
      <c r="BL134" s="1098"/>
      <c r="BM134" s="1098"/>
      <c r="BN134" s="1098"/>
      <c r="BO134" s="1098"/>
      <c r="BP134" s="1098"/>
      <c r="BQ134" s="1098"/>
      <c r="BR134" s="1098"/>
      <c r="BS134" s="1098"/>
      <c r="BT134" s="1098"/>
      <c r="BU134" s="1098"/>
    </row>
    <row r="135" spans="1:73" x14ac:dyDescent="0.25">
      <c r="A135" s="1098"/>
      <c r="B135" s="1098"/>
      <c r="C135" s="1122">
        <v>5</v>
      </c>
      <c r="D135" s="1102" t="str">
        <f t="shared" ref="D135:G135" ca="1" si="64">OFFSET(D$76,MATCH($C135,$N$101:$N$107,0)*3-2,0)</f>
        <v>After-tax Real IRR = 8%</v>
      </c>
      <c r="E135" s="1115">
        <f t="shared" ca="1" si="64"/>
        <v>1.551049937139557</v>
      </c>
      <c r="F135" s="1115">
        <f t="shared" ca="1" si="64"/>
        <v>0</v>
      </c>
      <c r="G135" s="1115">
        <f t="shared" ca="1" si="64"/>
        <v>1.730147936704819E-3</v>
      </c>
      <c r="H135" s="1115"/>
      <c r="I135" s="1115"/>
      <c r="J135" s="1115"/>
      <c r="K135" s="1115"/>
      <c r="L135" s="1115"/>
      <c r="M135" s="1115"/>
      <c r="N135" s="1115"/>
      <c r="O135" s="1115"/>
      <c r="P135" s="1115"/>
      <c r="Q135" s="1115"/>
      <c r="R135" s="1115"/>
      <c r="S135" s="1115"/>
      <c r="T135" s="1098"/>
      <c r="U135" s="1098"/>
      <c r="V135" s="1098"/>
      <c r="W135" s="1098"/>
      <c r="X135" s="1098"/>
      <c r="Y135" s="1098"/>
      <c r="Z135" s="1098"/>
      <c r="AA135" s="1098"/>
      <c r="AB135" s="1098"/>
      <c r="AC135" s="1098"/>
      <c r="AD135" s="1098"/>
      <c r="AE135" s="1098"/>
      <c r="AF135" s="1098"/>
      <c r="AG135" s="1098"/>
      <c r="AH135" s="1098"/>
      <c r="AI135" s="1098"/>
      <c r="AJ135" s="1098"/>
      <c r="AK135" s="1098"/>
      <c r="AL135" s="1098"/>
      <c r="AM135" s="1098"/>
      <c r="AN135" s="1098"/>
      <c r="AO135" s="1098"/>
      <c r="AP135" s="1098"/>
      <c r="AQ135" s="1098"/>
      <c r="AR135" s="1098"/>
      <c r="AS135" s="1098"/>
      <c r="AT135" s="1098"/>
      <c r="AU135" s="1098"/>
      <c r="AV135" s="1098"/>
      <c r="AW135" s="1098"/>
      <c r="AX135" s="1098"/>
      <c r="AY135" s="1098"/>
      <c r="AZ135" s="1098"/>
      <c r="BA135" s="1098"/>
      <c r="BB135" s="1098"/>
      <c r="BC135" s="1098"/>
      <c r="BD135" s="1098"/>
      <c r="BE135" s="1098"/>
      <c r="BF135" s="1098"/>
      <c r="BG135" s="1098"/>
      <c r="BH135" s="1098"/>
      <c r="BI135" s="1098"/>
      <c r="BJ135" s="1098"/>
      <c r="BK135" s="1098"/>
      <c r="BL135" s="1098"/>
      <c r="BM135" s="1098"/>
      <c r="BN135" s="1098"/>
      <c r="BO135" s="1098"/>
      <c r="BP135" s="1098"/>
      <c r="BQ135" s="1098"/>
      <c r="BR135" s="1098"/>
      <c r="BS135" s="1098"/>
      <c r="BT135" s="1098"/>
      <c r="BU135" s="1098"/>
    </row>
    <row r="136" spans="1:73" x14ac:dyDescent="0.25">
      <c r="A136" s="1098"/>
      <c r="B136" s="1098"/>
      <c r="C136" s="1122"/>
      <c r="D136" s="1102"/>
      <c r="E136" s="1115"/>
      <c r="F136" s="1115"/>
      <c r="G136" s="1115"/>
      <c r="H136" s="1115">
        <f t="shared" ref="H136:S136" ca="1" si="65">OFFSET(H$76,MATCH($C135,$N$101:$N$107,0)*3-2,0)</f>
        <v>0.13684298054419414</v>
      </c>
      <c r="I136" s="1115">
        <f t="shared" ca="1" si="65"/>
        <v>0.12151324734350721</v>
      </c>
      <c r="J136" s="1115">
        <f t="shared" ca="1" si="65"/>
        <v>1.513945234948154E-2</v>
      </c>
      <c r="K136" s="1115">
        <f t="shared" ca="1" si="65"/>
        <v>8.5279214492318847E-4</v>
      </c>
      <c r="L136" s="1115">
        <f t="shared" ca="1" si="65"/>
        <v>1.7262149018467312E-3</v>
      </c>
      <c r="M136" s="1115">
        <f t="shared" ca="1" si="65"/>
        <v>0.11942802401294346</v>
      </c>
      <c r="N136" s="1115">
        <f t="shared" ca="1" si="65"/>
        <v>0.82859057540702719</v>
      </c>
      <c r="O136" s="1115">
        <f t="shared" ca="1" si="65"/>
        <v>0</v>
      </c>
      <c r="P136" s="1115">
        <f t="shared" ca="1" si="65"/>
        <v>0.20552806689413086</v>
      </c>
      <c r="Q136" s="1115">
        <f t="shared" ca="1" si="65"/>
        <v>9.2663347110224212E-2</v>
      </c>
      <c r="R136" s="1115">
        <f t="shared" ca="1" si="65"/>
        <v>2.5797196451745236E-2</v>
      </c>
      <c r="S136" s="1115">
        <f t="shared" ca="1" si="65"/>
        <v>4.6981879162373424E-3</v>
      </c>
      <c r="T136" s="1098"/>
      <c r="U136" s="1098"/>
      <c r="V136" s="1098"/>
      <c r="W136" s="1098"/>
      <c r="X136" s="1098"/>
      <c r="Y136" s="1098"/>
      <c r="Z136" s="1098"/>
      <c r="AA136" s="1098"/>
      <c r="AB136" s="1098"/>
      <c r="AC136" s="1098"/>
      <c r="AD136" s="1098"/>
      <c r="AE136" s="1098"/>
      <c r="AF136" s="1098"/>
      <c r="AG136" s="1098"/>
      <c r="AH136" s="1098"/>
      <c r="AI136" s="1098"/>
      <c r="AJ136" s="1098"/>
      <c r="AK136" s="1098"/>
      <c r="AL136" s="1098"/>
      <c r="AM136" s="1098"/>
      <c r="AN136" s="1098"/>
      <c r="AO136" s="1098"/>
      <c r="AP136" s="1098"/>
      <c r="AQ136" s="1098"/>
      <c r="AR136" s="1098"/>
      <c r="AS136" s="1098"/>
      <c r="AT136" s="1098"/>
      <c r="AU136" s="1098"/>
      <c r="AV136" s="1098"/>
      <c r="AW136" s="1098"/>
      <c r="AX136" s="1098"/>
      <c r="AY136" s="1098"/>
      <c r="AZ136" s="1098"/>
      <c r="BA136" s="1098"/>
      <c r="BB136" s="1098"/>
      <c r="BC136" s="1098"/>
      <c r="BD136" s="1098"/>
      <c r="BE136" s="1098"/>
      <c r="BF136" s="1098"/>
      <c r="BG136" s="1098"/>
      <c r="BH136" s="1098"/>
      <c r="BI136" s="1098"/>
      <c r="BJ136" s="1098"/>
      <c r="BK136" s="1098"/>
      <c r="BL136" s="1098"/>
      <c r="BM136" s="1098"/>
      <c r="BN136" s="1098"/>
      <c r="BO136" s="1098"/>
      <c r="BP136" s="1098"/>
      <c r="BQ136" s="1098"/>
      <c r="BR136" s="1098"/>
      <c r="BS136" s="1098"/>
      <c r="BT136" s="1098"/>
      <c r="BU136" s="1098"/>
    </row>
    <row r="137" spans="1:73" x14ac:dyDescent="0.25">
      <c r="A137" s="1098"/>
      <c r="B137" s="1098"/>
      <c r="C137" s="1122">
        <v>5</v>
      </c>
      <c r="D137" s="1102" t="str">
        <f t="shared" ref="D137:G137" ca="1" si="66">OFFSET(D$76,MATCH($C137,$N$101:$N$107,0)*3,0)</f>
        <v>After-tax Real IRR = 8%</v>
      </c>
      <c r="E137" s="1115">
        <f t="shared" ca="1" si="66"/>
        <v>1.565709003382735</v>
      </c>
      <c r="F137" s="1115">
        <f t="shared" ca="1" si="66"/>
        <v>0</v>
      </c>
      <c r="G137" s="1115">
        <f t="shared" ca="1" si="66"/>
        <v>1.4060627426016891E-3</v>
      </c>
      <c r="H137" s="1115"/>
      <c r="I137" s="1115"/>
      <c r="J137" s="1115"/>
      <c r="K137" s="1115"/>
      <c r="L137" s="1115"/>
      <c r="M137" s="1115"/>
      <c r="N137" s="1115"/>
      <c r="O137" s="1115"/>
      <c r="P137" s="1115"/>
      <c r="Q137" s="1115"/>
      <c r="R137" s="1115"/>
      <c r="S137" s="1115"/>
      <c r="T137" s="1098"/>
      <c r="U137" s="1098"/>
      <c r="V137" s="1098"/>
      <c r="W137" s="1098"/>
      <c r="X137" s="1098"/>
      <c r="Y137" s="1098"/>
      <c r="Z137" s="1098"/>
      <c r="AA137" s="1098"/>
      <c r="AB137" s="1098"/>
      <c r="AC137" s="1098"/>
      <c r="AD137" s="1098"/>
      <c r="AE137" s="1098"/>
      <c r="AF137" s="1098"/>
      <c r="AG137" s="1098"/>
      <c r="AH137" s="1098"/>
      <c r="AI137" s="1098"/>
      <c r="AJ137" s="1098"/>
      <c r="AK137" s="1098"/>
      <c r="AL137" s="1098"/>
      <c r="AM137" s="1098"/>
      <c r="AN137" s="1098"/>
      <c r="AO137" s="1098"/>
      <c r="AP137" s="1098"/>
      <c r="AQ137" s="1098"/>
      <c r="AR137" s="1098"/>
      <c r="AS137" s="1098"/>
      <c r="AT137" s="1098"/>
      <c r="AU137" s="1098"/>
      <c r="AV137" s="1098"/>
      <c r="AW137" s="1098"/>
      <c r="AX137" s="1098"/>
      <c r="AY137" s="1098"/>
      <c r="AZ137" s="1098"/>
      <c r="BA137" s="1098"/>
      <c r="BB137" s="1098"/>
      <c r="BC137" s="1098"/>
      <c r="BD137" s="1098"/>
      <c r="BE137" s="1098"/>
      <c r="BF137" s="1098"/>
      <c r="BG137" s="1098"/>
      <c r="BH137" s="1098"/>
      <c r="BI137" s="1098"/>
      <c r="BJ137" s="1098"/>
      <c r="BK137" s="1098"/>
      <c r="BL137" s="1098"/>
      <c r="BM137" s="1098"/>
      <c r="BN137" s="1098"/>
      <c r="BO137" s="1098"/>
      <c r="BP137" s="1098"/>
      <c r="BQ137" s="1098"/>
      <c r="BR137" s="1098"/>
      <c r="BS137" s="1098"/>
      <c r="BT137" s="1098"/>
      <c r="BU137" s="1098"/>
    </row>
    <row r="138" spans="1:73" x14ac:dyDescent="0.25">
      <c r="A138" s="1098"/>
      <c r="B138" s="1098"/>
      <c r="C138" s="1122"/>
      <c r="D138" s="1102"/>
      <c r="E138" s="1115"/>
      <c r="F138" s="1115"/>
      <c r="G138" s="1115"/>
      <c r="H138" s="1115">
        <f t="shared" ref="H138:S138" ca="1" si="67">OFFSET(H$76,MATCH($C137,$N$101:$N$107,0)*3,0)</f>
        <v>0.15043687248607535</v>
      </c>
      <c r="I138" s="1115">
        <f t="shared" ca="1" si="67"/>
        <v>0.12123004842019204</v>
      </c>
      <c r="J138" s="1115">
        <f t="shared" ca="1" si="67"/>
        <v>1.6225702427426755E-2</v>
      </c>
      <c r="K138" s="1115">
        <f t="shared" ca="1" si="67"/>
        <v>9.4597380273744056E-4</v>
      </c>
      <c r="L138" s="1115">
        <f t="shared" ca="1" si="67"/>
        <v>1.4028664299269226E-3</v>
      </c>
      <c r="M138" s="1115">
        <f t="shared" ca="1" si="67"/>
        <v>0.11962073353471103</v>
      </c>
      <c r="N138" s="1115">
        <f t="shared" ca="1" si="67"/>
        <v>0.82198924956172759</v>
      </c>
      <c r="O138" s="1115">
        <f t="shared" ca="1" si="67"/>
        <v>0</v>
      </c>
      <c r="P138" s="1115">
        <f t="shared" ca="1" si="67"/>
        <v>0.20570627486975962</v>
      </c>
      <c r="Q138" s="1115">
        <f t="shared" ca="1" si="67"/>
        <v>9.598851124707479E-2</v>
      </c>
      <c r="R138" s="1115">
        <f t="shared" ca="1" si="67"/>
        <v>2.975069337823669E-2</v>
      </c>
      <c r="S138" s="1115">
        <f t="shared" ca="1" si="67"/>
        <v>3.8181399674667446E-3</v>
      </c>
      <c r="T138" s="1098"/>
      <c r="U138" s="1098"/>
      <c r="V138" s="1098"/>
      <c r="W138" s="1098"/>
      <c r="X138" s="1098"/>
      <c r="Y138" s="1098"/>
      <c r="Z138" s="1098"/>
      <c r="AA138" s="1098"/>
      <c r="AB138" s="1098"/>
      <c r="AC138" s="1098"/>
      <c r="AD138" s="1098"/>
      <c r="AE138" s="1098"/>
      <c r="AF138" s="1098"/>
      <c r="AG138" s="1098"/>
      <c r="AH138" s="1098"/>
      <c r="AI138" s="1098"/>
      <c r="AJ138" s="1098"/>
      <c r="AK138" s="1098"/>
      <c r="AL138" s="1098"/>
      <c r="AM138" s="1098"/>
      <c r="AN138" s="1098"/>
      <c r="AO138" s="1098"/>
      <c r="AP138" s="1098"/>
      <c r="AQ138" s="1098"/>
      <c r="AR138" s="1098"/>
      <c r="AS138" s="1098"/>
      <c r="AT138" s="1098"/>
      <c r="AU138" s="1098"/>
      <c r="AV138" s="1098"/>
      <c r="AW138" s="1098"/>
      <c r="AX138" s="1098"/>
      <c r="AY138" s="1098"/>
      <c r="AZ138" s="1098"/>
      <c r="BA138" s="1098"/>
      <c r="BB138" s="1098"/>
      <c r="BC138" s="1098"/>
      <c r="BD138" s="1098"/>
      <c r="BE138" s="1098"/>
      <c r="BF138" s="1098"/>
      <c r="BG138" s="1098"/>
      <c r="BH138" s="1098"/>
      <c r="BI138" s="1098"/>
      <c r="BJ138" s="1098"/>
      <c r="BK138" s="1098"/>
      <c r="BL138" s="1098"/>
      <c r="BM138" s="1098"/>
      <c r="BN138" s="1098"/>
      <c r="BO138" s="1098"/>
      <c r="BP138" s="1098"/>
      <c r="BQ138" s="1098"/>
      <c r="BR138" s="1098"/>
      <c r="BS138" s="1098"/>
      <c r="BT138" s="1098"/>
      <c r="BU138" s="1098"/>
    </row>
    <row r="139" spans="1:73" x14ac:dyDescent="0.25">
      <c r="A139" s="1098"/>
      <c r="B139" s="1098"/>
      <c r="C139" s="1122"/>
      <c r="D139" s="1102"/>
      <c r="E139" s="1115"/>
      <c r="F139" s="1115"/>
      <c r="G139" s="1115"/>
      <c r="H139" s="1115"/>
      <c r="I139" s="1115"/>
      <c r="J139" s="1115"/>
      <c r="K139" s="1115"/>
      <c r="L139" s="1115"/>
      <c r="M139" s="1115"/>
      <c r="N139" s="1115"/>
      <c r="O139" s="1115"/>
      <c r="P139" s="1115"/>
      <c r="Q139" s="1115"/>
      <c r="R139" s="1115"/>
      <c r="S139" s="1115"/>
      <c r="T139" s="1098"/>
      <c r="U139" s="1098"/>
      <c r="V139" s="1098"/>
      <c r="W139" s="1098"/>
      <c r="X139" s="1098"/>
      <c r="Y139" s="1098"/>
      <c r="Z139" s="1098"/>
      <c r="AA139" s="1098"/>
      <c r="AB139" s="1098"/>
      <c r="AC139" s="1098"/>
      <c r="AD139" s="1098"/>
      <c r="AE139" s="1098"/>
      <c r="AF139" s="1098"/>
      <c r="AG139" s="1098"/>
      <c r="AH139" s="1098"/>
      <c r="AI139" s="1098"/>
      <c r="AJ139" s="1098"/>
      <c r="AK139" s="1098"/>
      <c r="AL139" s="1098"/>
      <c r="AM139" s="1098"/>
      <c r="AN139" s="1098"/>
      <c r="AO139" s="1098"/>
      <c r="AP139" s="1098"/>
      <c r="AQ139" s="1098"/>
      <c r="AR139" s="1098"/>
      <c r="AS139" s="1098"/>
      <c r="AT139" s="1098"/>
      <c r="AU139" s="1098"/>
      <c r="AV139" s="1098"/>
      <c r="AW139" s="1098"/>
      <c r="AX139" s="1098"/>
      <c r="AY139" s="1098"/>
      <c r="AZ139" s="1098"/>
      <c r="BA139" s="1098"/>
      <c r="BB139" s="1098"/>
      <c r="BC139" s="1098"/>
      <c r="BD139" s="1098"/>
      <c r="BE139" s="1098"/>
      <c r="BF139" s="1098"/>
      <c r="BG139" s="1098"/>
      <c r="BH139" s="1098"/>
      <c r="BI139" s="1098"/>
      <c r="BJ139" s="1098"/>
      <c r="BK139" s="1098"/>
      <c r="BL139" s="1098"/>
      <c r="BM139" s="1098"/>
      <c r="BN139" s="1098"/>
      <c r="BO139" s="1098"/>
      <c r="BP139" s="1098"/>
      <c r="BQ139" s="1098"/>
      <c r="BR139" s="1098"/>
      <c r="BS139" s="1098"/>
      <c r="BT139" s="1098"/>
      <c r="BU139" s="1098"/>
    </row>
    <row r="140" spans="1:73" x14ac:dyDescent="0.25">
      <c r="A140" s="1098"/>
      <c r="B140" s="1098"/>
      <c r="C140" s="1122">
        <v>6</v>
      </c>
      <c r="D140" s="1102" t="str">
        <f t="shared" ref="D140:G140" ca="1" si="68">OFFSET(D$76,MATCH($C140,$N$101:$N$107,0)*3-2,0)</f>
        <v>Total Fixed Operating Cost = $13,871K</v>
      </c>
      <c r="E140" s="1115">
        <f t="shared" ca="1" si="68"/>
        <v>1.5521337610311308</v>
      </c>
      <c r="F140" s="1115">
        <f t="shared" ca="1" si="68"/>
        <v>0</v>
      </c>
      <c r="G140" s="1115">
        <f t="shared" ca="1" si="68"/>
        <v>1.5603382608962266E-3</v>
      </c>
      <c r="H140" s="1115"/>
      <c r="I140" s="1115"/>
      <c r="J140" s="1115"/>
      <c r="K140" s="1115"/>
      <c r="L140" s="1115"/>
      <c r="M140" s="1115"/>
      <c r="N140" s="1115"/>
      <c r="O140" s="1115"/>
      <c r="P140" s="1115"/>
      <c r="Q140" s="1115"/>
      <c r="R140" s="1115"/>
      <c r="S140" s="1115"/>
      <c r="T140" s="1098"/>
      <c r="U140" s="1098"/>
      <c r="V140" s="1098"/>
      <c r="W140" s="1098"/>
      <c r="X140" s="1098"/>
      <c r="Y140" s="1098"/>
      <c r="Z140" s="1098"/>
      <c r="AA140" s="1098"/>
      <c r="AB140" s="1098"/>
      <c r="AC140" s="1098"/>
      <c r="AD140" s="1098"/>
      <c r="AE140" s="1098"/>
      <c r="AF140" s="1098"/>
      <c r="AG140" s="1098"/>
      <c r="AH140" s="1098"/>
      <c r="AI140" s="1098"/>
      <c r="AJ140" s="1098"/>
      <c r="AK140" s="1098"/>
      <c r="AL140" s="1098"/>
      <c r="AM140" s="1098"/>
      <c r="AN140" s="1098"/>
      <c r="AO140" s="1098"/>
      <c r="AP140" s="1098"/>
      <c r="AQ140" s="1098"/>
      <c r="AR140" s="1098"/>
      <c r="AS140" s="1098"/>
      <c r="AT140" s="1098"/>
      <c r="AU140" s="1098"/>
      <c r="AV140" s="1098"/>
      <c r="AW140" s="1098"/>
      <c r="AX140" s="1098"/>
      <c r="AY140" s="1098"/>
      <c r="AZ140" s="1098"/>
      <c r="BA140" s="1098"/>
      <c r="BB140" s="1098"/>
      <c r="BC140" s="1098"/>
      <c r="BD140" s="1098"/>
      <c r="BE140" s="1098"/>
      <c r="BF140" s="1098"/>
      <c r="BG140" s="1098"/>
      <c r="BH140" s="1098"/>
      <c r="BI140" s="1098"/>
      <c r="BJ140" s="1098"/>
      <c r="BK140" s="1098"/>
      <c r="BL140" s="1098"/>
      <c r="BM140" s="1098"/>
      <c r="BN140" s="1098"/>
      <c r="BO140" s="1098"/>
      <c r="BP140" s="1098"/>
      <c r="BQ140" s="1098"/>
      <c r="BR140" s="1098"/>
      <c r="BS140" s="1098"/>
      <c r="BT140" s="1098"/>
      <c r="BU140" s="1098"/>
    </row>
    <row r="141" spans="1:73" x14ac:dyDescent="0.25">
      <c r="A141" s="1098"/>
      <c r="B141" s="1098"/>
      <c r="C141" s="1122"/>
      <c r="D141" s="1102"/>
      <c r="E141" s="1115"/>
      <c r="F141" s="1115"/>
      <c r="G141" s="1115"/>
      <c r="H141" s="1115">
        <f t="shared" ref="H141:S141" ca="1" si="69">OFFSET(H$76,MATCH($C140,$N$101:$N$107,0)*3-2,0)</f>
        <v>0.1435766003247316</v>
      </c>
      <c r="I141" s="1115">
        <f t="shared" ca="1" si="69"/>
        <v>0.12137220296106475</v>
      </c>
      <c r="J141" s="1115">
        <f t="shared" ca="1" si="69"/>
        <v>1.5604243086980222E-2</v>
      </c>
      <c r="K141" s="1115">
        <f t="shared" ca="1" si="69"/>
        <v>8.987958215351488E-4</v>
      </c>
      <c r="L141" s="1115">
        <f t="shared" ca="1" si="69"/>
        <v>1.5567912435341155E-3</v>
      </c>
      <c r="M141" s="1115">
        <f t="shared" ca="1" si="69"/>
        <v>0.11354780100397795</v>
      </c>
      <c r="N141" s="1115">
        <f t="shared" ca="1" si="69"/>
        <v>0.82524955783637077</v>
      </c>
      <c r="O141" s="1115">
        <f t="shared" ca="1" si="69"/>
        <v>0</v>
      </c>
      <c r="P141" s="1115">
        <f t="shared" ca="1" si="69"/>
        <v>0.20561571448089225</v>
      </c>
      <c r="Q141" s="1115">
        <f t="shared" ca="1" si="69"/>
        <v>9.432006620325277E-2</v>
      </c>
      <c r="R141" s="1115">
        <f t="shared" ca="1" si="69"/>
        <v>2.7715253760881676E-2</v>
      </c>
      <c r="S141" s="1115">
        <f t="shared" ca="1" si="69"/>
        <v>4.2370725688043549E-3</v>
      </c>
      <c r="T141" s="1098"/>
      <c r="U141" s="1098"/>
      <c r="V141" s="1098"/>
      <c r="W141" s="1098"/>
      <c r="X141" s="1098"/>
      <c r="Y141" s="1098"/>
      <c r="Z141" s="1098"/>
      <c r="AA141" s="1098"/>
      <c r="AB141" s="1098"/>
      <c r="AC141" s="1098"/>
      <c r="AD141" s="1098"/>
      <c r="AE141" s="1098"/>
      <c r="AF141" s="1098"/>
      <c r="AG141" s="1098"/>
      <c r="AH141" s="1098"/>
      <c r="AI141" s="1098"/>
      <c r="AJ141" s="1098"/>
      <c r="AK141" s="1098"/>
      <c r="AL141" s="1098"/>
      <c r="AM141" s="1098"/>
      <c r="AN141" s="1098"/>
      <c r="AO141" s="1098"/>
      <c r="AP141" s="1098"/>
      <c r="AQ141" s="1098"/>
      <c r="AR141" s="1098"/>
      <c r="AS141" s="1098"/>
      <c r="AT141" s="1098"/>
      <c r="AU141" s="1098"/>
      <c r="AV141" s="1098"/>
      <c r="AW141" s="1098"/>
      <c r="AX141" s="1098"/>
      <c r="AY141" s="1098"/>
      <c r="AZ141" s="1098"/>
      <c r="BA141" s="1098"/>
      <c r="BB141" s="1098"/>
      <c r="BC141" s="1098"/>
      <c r="BD141" s="1098"/>
      <c r="BE141" s="1098"/>
      <c r="BF141" s="1098"/>
      <c r="BG141" s="1098"/>
      <c r="BH141" s="1098"/>
      <c r="BI141" s="1098"/>
      <c r="BJ141" s="1098"/>
      <c r="BK141" s="1098"/>
      <c r="BL141" s="1098"/>
      <c r="BM141" s="1098"/>
      <c r="BN141" s="1098"/>
      <c r="BO141" s="1098"/>
      <c r="BP141" s="1098"/>
      <c r="BQ141" s="1098"/>
      <c r="BR141" s="1098"/>
      <c r="BS141" s="1098"/>
      <c r="BT141" s="1098"/>
      <c r="BU141" s="1098"/>
    </row>
    <row r="142" spans="1:73" x14ac:dyDescent="0.25">
      <c r="A142" s="1098"/>
      <c r="B142" s="1098"/>
      <c r="C142" s="1122">
        <v>6</v>
      </c>
      <c r="D142" s="1102" t="str">
        <f t="shared" ref="D142:G142" ca="1" si="70">OFFSET(D$76,MATCH($C142,$N$101:$N$107,0)*3,0)</f>
        <v>Total Fixed Operating Cost = $15,331K</v>
      </c>
      <c r="E142" s="1115">
        <f t="shared" ca="1" si="70"/>
        <v>1.5643058120276547</v>
      </c>
      <c r="F142" s="1115">
        <f t="shared" ca="1" si="70"/>
        <v>0</v>
      </c>
      <c r="G142" s="1115">
        <f t="shared" ca="1" si="70"/>
        <v>1.5603382608962266E-3</v>
      </c>
      <c r="H142" s="1115"/>
      <c r="I142" s="1115"/>
      <c r="J142" s="1115"/>
      <c r="K142" s="1115"/>
      <c r="L142" s="1115"/>
      <c r="M142" s="1115"/>
      <c r="N142" s="1115"/>
      <c r="O142" s="1115"/>
      <c r="P142" s="1115"/>
      <c r="Q142" s="1115"/>
      <c r="R142" s="1115"/>
      <c r="S142" s="1115"/>
      <c r="T142" s="1098"/>
      <c r="U142" s="1098"/>
      <c r="V142" s="1098"/>
      <c r="W142" s="1098"/>
      <c r="X142" s="1098"/>
      <c r="Y142" s="1098"/>
      <c r="Z142" s="1098"/>
      <c r="AA142" s="1098"/>
      <c r="AB142" s="1098"/>
      <c r="AC142" s="1098"/>
      <c r="AD142" s="1098"/>
      <c r="AE142" s="1098"/>
      <c r="AF142" s="1098"/>
      <c r="AG142" s="1098"/>
      <c r="AH142" s="1098"/>
      <c r="AI142" s="1098"/>
      <c r="AJ142" s="1098"/>
      <c r="AK142" s="1098"/>
      <c r="AL142" s="1098"/>
      <c r="AM142" s="1098"/>
      <c r="AN142" s="1098"/>
      <c r="AO142" s="1098"/>
      <c r="AP142" s="1098"/>
      <c r="AQ142" s="1098"/>
      <c r="AR142" s="1098"/>
      <c r="AS142" s="1098"/>
      <c r="AT142" s="1098"/>
      <c r="AU142" s="1098"/>
      <c r="AV142" s="1098"/>
      <c r="AW142" s="1098"/>
      <c r="AX142" s="1098"/>
      <c r="AY142" s="1098"/>
      <c r="AZ142" s="1098"/>
      <c r="BA142" s="1098"/>
      <c r="BB142" s="1098"/>
      <c r="BC142" s="1098"/>
      <c r="BD142" s="1098"/>
      <c r="BE142" s="1098"/>
      <c r="BF142" s="1098"/>
      <c r="BG142" s="1098"/>
      <c r="BH142" s="1098"/>
      <c r="BI142" s="1098"/>
      <c r="BJ142" s="1098"/>
      <c r="BK142" s="1098"/>
      <c r="BL142" s="1098"/>
      <c r="BM142" s="1098"/>
      <c r="BN142" s="1098"/>
      <c r="BO142" s="1098"/>
      <c r="BP142" s="1098"/>
      <c r="BQ142" s="1098"/>
      <c r="BR142" s="1098"/>
      <c r="BS142" s="1098"/>
      <c r="BT142" s="1098"/>
      <c r="BU142" s="1098"/>
    </row>
    <row r="143" spans="1:73" x14ac:dyDescent="0.25">
      <c r="A143" s="1098"/>
      <c r="B143" s="1098"/>
      <c r="C143" s="1122"/>
      <c r="D143" s="1102"/>
      <c r="E143" s="1115"/>
      <c r="F143" s="1115"/>
      <c r="G143" s="1115"/>
      <c r="H143" s="1115">
        <f t="shared" ref="H143:S143" ca="1" si="71">OFFSET(H$76,MATCH($C142,$N$101:$N$107,0)*3,0)</f>
        <v>0.1435766003247316</v>
      </c>
      <c r="I143" s="1115">
        <f t="shared" ca="1" si="71"/>
        <v>0.12137220296106475</v>
      </c>
      <c r="J143" s="1115">
        <f t="shared" ca="1" si="71"/>
        <v>1.5767355838519452E-2</v>
      </c>
      <c r="K143" s="1115">
        <f t="shared" ca="1" si="71"/>
        <v>8.987958215351488E-4</v>
      </c>
      <c r="L143" s="1115">
        <f t="shared" ca="1" si="71"/>
        <v>1.5567912435341155E-3</v>
      </c>
      <c r="M143" s="1115">
        <f t="shared" ca="1" si="71"/>
        <v>0.12550020110965976</v>
      </c>
      <c r="N143" s="1115">
        <f t="shared" ca="1" si="71"/>
        <v>0.82524955783637077</v>
      </c>
      <c r="O143" s="1115">
        <f t="shared" ca="1" si="71"/>
        <v>0</v>
      </c>
      <c r="P143" s="1115">
        <f t="shared" ca="1" si="71"/>
        <v>0.20561571448089225</v>
      </c>
      <c r="Q143" s="1115">
        <f t="shared" ca="1" si="71"/>
        <v>9.432006620325277E-2</v>
      </c>
      <c r="R143" s="1115">
        <f t="shared" ca="1" si="71"/>
        <v>2.7771791900184448E-2</v>
      </c>
      <c r="S143" s="1115">
        <f t="shared" ca="1" si="71"/>
        <v>4.2370725688043549E-3</v>
      </c>
      <c r="T143" s="1098"/>
      <c r="U143" s="1098"/>
      <c r="V143" s="1098"/>
      <c r="W143" s="1098"/>
      <c r="X143" s="1098"/>
      <c r="Y143" s="1098"/>
      <c r="Z143" s="1098"/>
      <c r="AA143" s="1098"/>
      <c r="AB143" s="1098"/>
      <c r="AC143" s="1098"/>
      <c r="AD143" s="1098"/>
      <c r="AE143" s="1098"/>
      <c r="AF143" s="1098"/>
      <c r="AG143" s="1098"/>
      <c r="AH143" s="1098"/>
      <c r="AI143" s="1098"/>
      <c r="AJ143" s="1098"/>
      <c r="AK143" s="1098"/>
      <c r="AL143" s="1098"/>
      <c r="AM143" s="1098"/>
      <c r="AN143" s="1098"/>
      <c r="AO143" s="1098"/>
      <c r="AP143" s="1098"/>
      <c r="AQ143" s="1098"/>
      <c r="AR143" s="1098"/>
      <c r="AS143" s="1098"/>
      <c r="AT143" s="1098"/>
      <c r="AU143" s="1098"/>
      <c r="AV143" s="1098"/>
      <c r="AW143" s="1098"/>
      <c r="AX143" s="1098"/>
      <c r="AY143" s="1098"/>
      <c r="AZ143" s="1098"/>
      <c r="BA143" s="1098"/>
      <c r="BB143" s="1098"/>
      <c r="BC143" s="1098"/>
      <c r="BD143" s="1098"/>
      <c r="BE143" s="1098"/>
      <c r="BF143" s="1098"/>
      <c r="BG143" s="1098"/>
      <c r="BH143" s="1098"/>
      <c r="BI143" s="1098"/>
      <c r="BJ143" s="1098"/>
      <c r="BK143" s="1098"/>
      <c r="BL143" s="1098"/>
      <c r="BM143" s="1098"/>
      <c r="BN143" s="1098"/>
      <c r="BO143" s="1098"/>
      <c r="BP143" s="1098"/>
      <c r="BQ143" s="1098"/>
      <c r="BR143" s="1098"/>
      <c r="BS143" s="1098"/>
      <c r="BT143" s="1098"/>
      <c r="BU143" s="1098"/>
    </row>
    <row r="144" spans="1:73" x14ac:dyDescent="0.25">
      <c r="A144" s="1098"/>
      <c r="B144" s="1098"/>
      <c r="C144" s="1122"/>
      <c r="D144" s="1102"/>
      <c r="E144" s="1115"/>
      <c r="F144" s="1115"/>
      <c r="G144" s="1115"/>
      <c r="H144" s="1115"/>
      <c r="I144" s="1115"/>
      <c r="J144" s="1115"/>
      <c r="K144" s="1115"/>
      <c r="L144" s="1115"/>
      <c r="M144" s="1115"/>
      <c r="N144" s="1115"/>
      <c r="O144" s="1115"/>
      <c r="P144" s="1115"/>
      <c r="Q144" s="1115"/>
      <c r="R144" s="1115"/>
      <c r="S144" s="1115"/>
      <c r="T144" s="1098"/>
      <c r="U144" s="1098"/>
      <c r="V144" s="1098"/>
      <c r="W144" s="1098"/>
      <c r="X144" s="1098"/>
      <c r="Y144" s="1098"/>
      <c r="Z144" s="1098"/>
      <c r="AA144" s="1098"/>
      <c r="AB144" s="1098"/>
      <c r="AC144" s="1098"/>
      <c r="AD144" s="1098"/>
      <c r="AE144" s="1098"/>
      <c r="AF144" s="1098"/>
      <c r="AG144" s="1098"/>
      <c r="AH144" s="1098"/>
      <c r="AI144" s="1098"/>
      <c r="AJ144" s="1098"/>
      <c r="AK144" s="1098"/>
      <c r="AL144" s="1098"/>
      <c r="AM144" s="1098"/>
      <c r="AN144" s="1098"/>
      <c r="AO144" s="1098"/>
      <c r="AP144" s="1098"/>
      <c r="AQ144" s="1098"/>
      <c r="AR144" s="1098"/>
      <c r="AS144" s="1098"/>
      <c r="AT144" s="1098"/>
      <c r="AU144" s="1098"/>
      <c r="AV144" s="1098"/>
      <c r="AW144" s="1098"/>
      <c r="AX144" s="1098"/>
      <c r="AY144" s="1098"/>
      <c r="AZ144" s="1098"/>
      <c r="BA144" s="1098"/>
      <c r="BB144" s="1098"/>
      <c r="BC144" s="1098"/>
      <c r="BD144" s="1098"/>
      <c r="BE144" s="1098"/>
      <c r="BF144" s="1098"/>
      <c r="BG144" s="1098"/>
      <c r="BH144" s="1098"/>
      <c r="BI144" s="1098"/>
      <c r="BJ144" s="1098"/>
      <c r="BK144" s="1098"/>
      <c r="BL144" s="1098"/>
      <c r="BM144" s="1098"/>
      <c r="BN144" s="1098"/>
      <c r="BO144" s="1098"/>
      <c r="BP144" s="1098"/>
      <c r="BQ144" s="1098"/>
      <c r="BR144" s="1098"/>
      <c r="BS144" s="1098"/>
      <c r="BT144" s="1098"/>
      <c r="BU144" s="1098"/>
    </row>
    <row r="145" spans="1:73" x14ac:dyDescent="0.25">
      <c r="A145" s="1098"/>
      <c r="B145" s="1098"/>
      <c r="C145" s="1122">
        <v>7</v>
      </c>
      <c r="D145" s="1102" t="str">
        <f t="shared" ref="D145:G145" ca="1" si="72">OFFSET(D$76,MATCH($C145,$N$101:$N$107,0)*3-2,0)</f>
        <v>Utilities Consumption (% of baseline) = 95%</v>
      </c>
      <c r="E145" s="1115">
        <f t="shared" ca="1" si="72"/>
        <v>1.5559242505286783</v>
      </c>
      <c r="F145" s="1115">
        <f t="shared" ca="1" si="72"/>
        <v>0</v>
      </c>
      <c r="G145" s="1115">
        <f t="shared" ca="1" si="72"/>
        <v>1.5603382608962266E-3</v>
      </c>
      <c r="H145" s="1115"/>
      <c r="I145" s="1115"/>
      <c r="J145" s="1115"/>
      <c r="K145" s="1115"/>
      <c r="L145" s="1115"/>
      <c r="M145" s="1115"/>
      <c r="N145" s="1115"/>
      <c r="O145" s="1115"/>
      <c r="P145" s="1115"/>
      <c r="Q145" s="1115"/>
      <c r="R145" s="1115"/>
      <c r="S145" s="1115"/>
      <c r="T145" s="1098"/>
      <c r="U145" s="1098"/>
      <c r="V145" s="1098"/>
      <c r="W145" s="1098"/>
      <c r="X145" s="1098"/>
      <c r="Y145" s="1098"/>
      <c r="Z145" s="1098"/>
      <c r="AA145" s="1098"/>
      <c r="AB145" s="1098"/>
      <c r="AC145" s="1098"/>
      <c r="AD145" s="1098"/>
      <c r="AE145" s="1098"/>
      <c r="AF145" s="1098"/>
      <c r="AG145" s="1098"/>
      <c r="AH145" s="1098"/>
      <c r="AI145" s="1098"/>
      <c r="AJ145" s="1098"/>
      <c r="AK145" s="1098"/>
      <c r="AL145" s="1098"/>
      <c r="AM145" s="1098"/>
      <c r="AN145" s="1098"/>
      <c r="AO145" s="1098"/>
      <c r="AP145" s="1098"/>
      <c r="AQ145" s="1098"/>
      <c r="AR145" s="1098"/>
      <c r="AS145" s="1098"/>
      <c r="AT145" s="1098"/>
      <c r="AU145" s="1098"/>
      <c r="AV145" s="1098"/>
      <c r="AW145" s="1098"/>
      <c r="AX145" s="1098"/>
      <c r="AY145" s="1098"/>
      <c r="AZ145" s="1098"/>
      <c r="BA145" s="1098"/>
      <c r="BB145" s="1098"/>
      <c r="BC145" s="1098"/>
      <c r="BD145" s="1098"/>
      <c r="BE145" s="1098"/>
      <c r="BF145" s="1098"/>
      <c r="BG145" s="1098"/>
      <c r="BH145" s="1098"/>
      <c r="BI145" s="1098"/>
      <c r="BJ145" s="1098"/>
      <c r="BK145" s="1098"/>
      <c r="BL145" s="1098"/>
      <c r="BM145" s="1098"/>
      <c r="BN145" s="1098"/>
      <c r="BO145" s="1098"/>
      <c r="BP145" s="1098"/>
      <c r="BQ145" s="1098"/>
      <c r="BR145" s="1098"/>
      <c r="BS145" s="1098"/>
      <c r="BT145" s="1098"/>
      <c r="BU145" s="1098"/>
    </row>
    <row r="146" spans="1:73" x14ac:dyDescent="0.25">
      <c r="A146" s="1098"/>
      <c r="B146" s="1098"/>
      <c r="C146" s="1122"/>
      <c r="D146" s="1102"/>
      <c r="E146" s="1115"/>
      <c r="F146" s="1115"/>
      <c r="G146" s="1115"/>
      <c r="H146" s="1115">
        <f t="shared" ref="H146:S146" ca="1" si="73">OFFSET(H$76,MATCH($C145,$N$101:$N$107,0)*3-2,0)</f>
        <v>0.1435766003247316</v>
      </c>
      <c r="I146" s="1115">
        <f t="shared" ca="1" si="73"/>
        <v>0.12137220296106475</v>
      </c>
      <c r="J146" s="1115">
        <f t="shared" ca="1" si="73"/>
        <v>1.5655048044414834E-2</v>
      </c>
      <c r="K146" s="1115">
        <f t="shared" ca="1" si="73"/>
        <v>8.987958215351488E-4</v>
      </c>
      <c r="L146" s="1115">
        <f t="shared" ca="1" si="73"/>
        <v>1.5567912435341155E-3</v>
      </c>
      <c r="M146" s="1115">
        <f t="shared" ca="1" si="73"/>
        <v>0.11952400105681882</v>
      </c>
      <c r="N146" s="1115">
        <f t="shared" ca="1" si="73"/>
        <v>0.82524955783637077</v>
      </c>
      <c r="O146" s="1115">
        <f t="shared" ca="1" si="73"/>
        <v>0</v>
      </c>
      <c r="P146" s="1115">
        <f t="shared" ca="1" si="73"/>
        <v>0.20336158895463979</v>
      </c>
      <c r="Q146" s="1115">
        <f t="shared" ca="1" si="73"/>
        <v>9.432006620325277E-2</v>
      </c>
      <c r="R146" s="1115">
        <f t="shared" ca="1" si="73"/>
        <v>2.7732863774406636E-2</v>
      </c>
      <c r="S146" s="1115">
        <f t="shared" ca="1" si="73"/>
        <v>4.2370725688043549E-3</v>
      </c>
      <c r="T146" s="1098"/>
      <c r="U146" s="1098"/>
      <c r="V146" s="1098"/>
      <c r="W146" s="1098"/>
      <c r="X146" s="1098"/>
      <c r="Y146" s="1098"/>
      <c r="Z146" s="1098"/>
      <c r="AA146" s="1098"/>
      <c r="AB146" s="1098"/>
      <c r="AC146" s="1098"/>
      <c r="AD146" s="1098"/>
      <c r="AE146" s="1098"/>
      <c r="AF146" s="1098"/>
      <c r="AG146" s="1098"/>
      <c r="AH146" s="1098"/>
      <c r="AI146" s="1098"/>
      <c r="AJ146" s="1098"/>
      <c r="AK146" s="1098"/>
      <c r="AL146" s="1098"/>
      <c r="AM146" s="1098"/>
      <c r="AN146" s="1098"/>
      <c r="AO146" s="1098"/>
      <c r="AP146" s="1098"/>
      <c r="AQ146" s="1098"/>
      <c r="AR146" s="1098"/>
      <c r="AS146" s="1098"/>
      <c r="AT146" s="1098"/>
      <c r="AU146" s="1098"/>
      <c r="AV146" s="1098"/>
      <c r="AW146" s="1098"/>
      <c r="AX146" s="1098"/>
      <c r="AY146" s="1098"/>
      <c r="AZ146" s="1098"/>
      <c r="BA146" s="1098"/>
      <c r="BB146" s="1098"/>
      <c r="BC146" s="1098"/>
      <c r="BD146" s="1098"/>
      <c r="BE146" s="1098"/>
      <c r="BF146" s="1098"/>
      <c r="BG146" s="1098"/>
      <c r="BH146" s="1098"/>
      <c r="BI146" s="1098"/>
      <c r="BJ146" s="1098"/>
      <c r="BK146" s="1098"/>
      <c r="BL146" s="1098"/>
      <c r="BM146" s="1098"/>
      <c r="BN146" s="1098"/>
      <c r="BO146" s="1098"/>
      <c r="BP146" s="1098"/>
      <c r="BQ146" s="1098"/>
      <c r="BR146" s="1098"/>
      <c r="BS146" s="1098"/>
      <c r="BT146" s="1098"/>
      <c r="BU146" s="1098"/>
    </row>
    <row r="147" spans="1:73" x14ac:dyDescent="0.25">
      <c r="A147" s="1098"/>
      <c r="B147" s="1098"/>
      <c r="C147" s="1122">
        <v>7</v>
      </c>
      <c r="D147" s="1102" t="str">
        <f t="shared" ref="D147:G147" ca="1" si="74">OFFSET(D$76,MATCH($C147,$N$101:$N$107,0)*3,0)</f>
        <v>Utilities Consumption (% of baseline) = 105%</v>
      </c>
      <c r="E147" s="1115">
        <f t="shared" ca="1" si="74"/>
        <v>1.5605153225301063</v>
      </c>
      <c r="F147" s="1115">
        <f t="shared" ca="1" si="74"/>
        <v>0</v>
      </c>
      <c r="G147" s="1115">
        <f t="shared" ca="1" si="74"/>
        <v>1.5603382608962266E-3</v>
      </c>
      <c r="H147" s="1115"/>
      <c r="I147" s="1115"/>
      <c r="J147" s="1115"/>
      <c r="K147" s="1115"/>
      <c r="L147" s="1115"/>
      <c r="M147" s="1115"/>
      <c r="N147" s="1115"/>
      <c r="O147" s="1115"/>
      <c r="P147" s="1115"/>
      <c r="Q147" s="1115"/>
      <c r="R147" s="1115"/>
      <c r="S147" s="1115"/>
      <c r="T147" s="1098"/>
      <c r="U147" s="1098"/>
      <c r="V147" s="1098"/>
      <c r="W147" s="1098"/>
      <c r="X147" s="1098"/>
      <c r="Y147" s="1098"/>
      <c r="Z147" s="1098"/>
      <c r="AA147" s="1098"/>
      <c r="AB147" s="1098"/>
      <c r="AC147" s="1098"/>
      <c r="AD147" s="1098"/>
      <c r="AE147" s="1098"/>
      <c r="AF147" s="1098"/>
      <c r="AG147" s="1098"/>
      <c r="AH147" s="1098"/>
      <c r="AI147" s="1098"/>
      <c r="AJ147" s="1098"/>
      <c r="AK147" s="1098"/>
      <c r="AL147" s="1098"/>
      <c r="AM147" s="1098"/>
      <c r="AN147" s="1098"/>
      <c r="AO147" s="1098"/>
      <c r="AP147" s="1098"/>
      <c r="AQ147" s="1098"/>
      <c r="AR147" s="1098"/>
      <c r="AS147" s="1098"/>
      <c r="AT147" s="1098"/>
      <c r="AU147" s="1098"/>
      <c r="AV147" s="1098"/>
      <c r="AW147" s="1098"/>
      <c r="AX147" s="1098"/>
      <c r="AY147" s="1098"/>
      <c r="AZ147" s="1098"/>
      <c r="BA147" s="1098"/>
      <c r="BB147" s="1098"/>
      <c r="BC147" s="1098"/>
      <c r="BD147" s="1098"/>
      <c r="BE147" s="1098"/>
      <c r="BF147" s="1098"/>
      <c r="BG147" s="1098"/>
      <c r="BH147" s="1098"/>
      <c r="BI147" s="1098"/>
      <c r="BJ147" s="1098"/>
      <c r="BK147" s="1098"/>
      <c r="BL147" s="1098"/>
      <c r="BM147" s="1098"/>
      <c r="BN147" s="1098"/>
      <c r="BO147" s="1098"/>
      <c r="BP147" s="1098"/>
      <c r="BQ147" s="1098"/>
      <c r="BR147" s="1098"/>
      <c r="BS147" s="1098"/>
      <c r="BT147" s="1098"/>
      <c r="BU147" s="1098"/>
    </row>
    <row r="148" spans="1:73" x14ac:dyDescent="0.25">
      <c r="A148" s="1098"/>
      <c r="B148" s="1098"/>
      <c r="C148" s="1102"/>
      <c r="D148" s="1102"/>
      <c r="E148" s="1102"/>
      <c r="F148" s="1102"/>
      <c r="G148" s="1102"/>
      <c r="H148" s="1115">
        <f t="shared" ref="H148:S148" ca="1" si="75">OFFSET(H$76,MATCH($C147,$N$101:$N$107,0)*3,0)</f>
        <v>0.1435766003247316</v>
      </c>
      <c r="I148" s="1115">
        <f t="shared" ca="1" si="75"/>
        <v>0.12137220296106475</v>
      </c>
      <c r="J148" s="1115">
        <f t="shared" ca="1" si="75"/>
        <v>1.5716550881084826E-2</v>
      </c>
      <c r="K148" s="1115">
        <f t="shared" ca="1" si="75"/>
        <v>8.987958215351488E-4</v>
      </c>
      <c r="L148" s="1115">
        <f t="shared" ca="1" si="75"/>
        <v>1.5567912435341155E-3</v>
      </c>
      <c r="M148" s="1115">
        <f t="shared" ca="1" si="75"/>
        <v>0.11952400105681882</v>
      </c>
      <c r="N148" s="1115">
        <f t="shared" ca="1" si="75"/>
        <v>0.82524955783637077</v>
      </c>
      <c r="O148" s="1115">
        <f t="shared" ca="1" si="75"/>
        <v>0</v>
      </c>
      <c r="P148" s="1115">
        <f t="shared" ca="1" si="75"/>
        <v>0.20786984000714456</v>
      </c>
      <c r="Q148" s="1115">
        <f t="shared" ca="1" si="75"/>
        <v>9.432006620325277E-2</v>
      </c>
      <c r="R148" s="1115">
        <f t="shared" ca="1" si="75"/>
        <v>2.7754181886659422E-2</v>
      </c>
      <c r="S148" s="1115">
        <f t="shared" ca="1" si="75"/>
        <v>4.2370725688043549E-3</v>
      </c>
      <c r="T148" s="1098"/>
      <c r="U148" s="1098"/>
      <c r="V148" s="1098"/>
      <c r="W148" s="1098"/>
      <c r="X148" s="1098"/>
      <c r="Y148" s="1098"/>
      <c r="Z148" s="1098"/>
      <c r="AA148" s="1098"/>
      <c r="AB148" s="1098"/>
      <c r="AC148" s="1098"/>
      <c r="AD148" s="1098"/>
      <c r="AE148" s="1098"/>
      <c r="AF148" s="1098"/>
      <c r="AG148" s="1098"/>
      <c r="AH148" s="1098"/>
      <c r="AI148" s="1098"/>
      <c r="AJ148" s="1098"/>
      <c r="AK148" s="1098"/>
      <c r="AL148" s="1098"/>
      <c r="AM148" s="1098"/>
      <c r="AN148" s="1098"/>
      <c r="AO148" s="1098"/>
      <c r="AP148" s="1098"/>
      <c r="AQ148" s="1098"/>
      <c r="AR148" s="1098"/>
      <c r="AS148" s="1098"/>
      <c r="AT148" s="1098"/>
      <c r="AU148" s="1098"/>
      <c r="AV148" s="1098"/>
      <c r="AW148" s="1098"/>
      <c r="AX148" s="1098"/>
      <c r="AY148" s="1098"/>
      <c r="AZ148" s="1098"/>
      <c r="BA148" s="1098"/>
      <c r="BB148" s="1098"/>
      <c r="BC148" s="1098"/>
      <c r="BD148" s="1098"/>
      <c r="BE148" s="1098"/>
      <c r="BF148" s="1098"/>
      <c r="BG148" s="1098"/>
      <c r="BH148" s="1098"/>
      <c r="BI148" s="1098"/>
      <c r="BJ148" s="1098"/>
      <c r="BK148" s="1098"/>
      <c r="BL148" s="1098"/>
      <c r="BM148" s="1098"/>
      <c r="BN148" s="1098"/>
      <c r="BO148" s="1098"/>
      <c r="BP148" s="1098"/>
      <c r="BQ148" s="1098"/>
      <c r="BR148" s="1098"/>
      <c r="BS148" s="1098"/>
      <c r="BT148" s="1098"/>
      <c r="BU148" s="1098"/>
    </row>
    <row r="149" spans="1:73" x14ac:dyDescent="0.25">
      <c r="A149" s="1098"/>
      <c r="B149" s="1098"/>
      <c r="C149" s="1098"/>
      <c r="D149" s="1098"/>
      <c r="E149" s="1098"/>
      <c r="F149" s="1098"/>
      <c r="G149" s="1098"/>
      <c r="H149" s="1098"/>
      <c r="I149" s="1098"/>
      <c r="J149" s="1098"/>
      <c r="K149" s="1098"/>
      <c r="L149" s="1098"/>
      <c r="M149" s="1098"/>
      <c r="N149" s="1098"/>
      <c r="O149" s="1098"/>
      <c r="P149" s="1098"/>
      <c r="Q149" s="1098"/>
      <c r="R149" s="1098"/>
      <c r="S149" s="1098"/>
      <c r="T149" s="1098"/>
      <c r="U149" s="1098"/>
      <c r="V149" s="1098"/>
      <c r="W149" s="1098"/>
      <c r="X149" s="1098"/>
      <c r="Y149" s="1098"/>
      <c r="Z149" s="1098"/>
      <c r="AA149" s="1098"/>
      <c r="AB149" s="1098"/>
      <c r="AC149" s="1098"/>
      <c r="AD149" s="1098"/>
      <c r="AE149" s="1098"/>
      <c r="AF149" s="1098"/>
      <c r="AG149" s="1098"/>
      <c r="AH149" s="1098"/>
      <c r="AI149" s="1098"/>
      <c r="AJ149" s="1098"/>
      <c r="AK149" s="1098"/>
      <c r="AL149" s="1098"/>
      <c r="AM149" s="1098"/>
      <c r="AN149" s="1098"/>
      <c r="AO149" s="1098"/>
      <c r="AP149" s="1098"/>
      <c r="AQ149" s="1098"/>
      <c r="AR149" s="1098"/>
      <c r="AS149" s="1098"/>
      <c r="AT149" s="1098"/>
      <c r="AU149" s="1098"/>
      <c r="AV149" s="1098"/>
      <c r="AW149" s="1098"/>
      <c r="AX149" s="1098"/>
      <c r="AY149" s="1098"/>
      <c r="AZ149" s="1098"/>
      <c r="BA149" s="1098"/>
      <c r="BB149" s="1098"/>
      <c r="BC149" s="1098"/>
      <c r="BD149" s="1098"/>
      <c r="BE149" s="1098"/>
      <c r="BF149" s="1098"/>
      <c r="BG149" s="1098"/>
      <c r="BH149" s="1098"/>
      <c r="BI149" s="1098"/>
      <c r="BJ149" s="1098"/>
      <c r="BK149" s="1098"/>
      <c r="BL149" s="1098"/>
      <c r="BM149" s="1098"/>
      <c r="BN149" s="1098"/>
      <c r="BO149" s="1098"/>
      <c r="BP149" s="1098"/>
      <c r="BQ149" s="1098"/>
      <c r="BR149" s="1098"/>
      <c r="BS149" s="1098"/>
      <c r="BT149" s="1098"/>
      <c r="BU149" s="1098"/>
    </row>
    <row r="150" spans="1:73" x14ac:dyDescent="0.25">
      <c r="A150" s="1098"/>
      <c r="B150" s="1098"/>
      <c r="C150" s="1098"/>
      <c r="D150" s="1098"/>
      <c r="E150" s="1098"/>
      <c r="F150" s="1098"/>
      <c r="G150" s="1098"/>
      <c r="H150" s="1098"/>
      <c r="I150" s="1098"/>
      <c r="J150" s="1098"/>
      <c r="K150" s="1098"/>
      <c r="L150" s="1098"/>
      <c r="M150" s="1098"/>
      <c r="N150" s="1098"/>
      <c r="O150" s="1098"/>
      <c r="P150" s="1098"/>
      <c r="Q150" s="1098"/>
      <c r="R150" s="1098"/>
      <c r="S150" s="1098"/>
      <c r="T150" s="1098"/>
      <c r="U150" s="1098"/>
      <c r="V150" s="1098"/>
      <c r="W150" s="1098"/>
      <c r="X150" s="1098"/>
      <c r="Y150" s="1098"/>
      <c r="Z150" s="1098"/>
      <c r="AA150" s="1098"/>
      <c r="AB150" s="1098"/>
      <c r="AC150" s="1098"/>
      <c r="AD150" s="1098"/>
      <c r="AE150" s="1098"/>
      <c r="AF150" s="1098"/>
      <c r="AG150" s="1098"/>
      <c r="AH150" s="1098"/>
      <c r="AI150" s="1098"/>
      <c r="AJ150" s="1098"/>
      <c r="AK150" s="1098"/>
      <c r="AL150" s="1098"/>
      <c r="AM150" s="1098"/>
      <c r="AN150" s="1098"/>
      <c r="AO150" s="1098"/>
      <c r="AP150" s="1098"/>
      <c r="AQ150" s="1098"/>
      <c r="AR150" s="1098"/>
      <c r="AS150" s="1098"/>
      <c r="AT150" s="1098"/>
      <c r="AU150" s="1098"/>
      <c r="AV150" s="1098"/>
      <c r="AW150" s="1098"/>
      <c r="AX150" s="1098"/>
      <c r="AY150" s="1098"/>
      <c r="AZ150" s="1098"/>
      <c r="BA150" s="1098"/>
      <c r="BB150" s="1098"/>
      <c r="BC150" s="1098"/>
      <c r="BD150" s="1098"/>
      <c r="BE150" s="1098"/>
      <c r="BF150" s="1098"/>
      <c r="BG150" s="1098"/>
      <c r="BH150" s="1098"/>
      <c r="BI150" s="1098"/>
      <c r="BJ150" s="1098"/>
      <c r="BK150" s="1098"/>
      <c r="BL150" s="1098"/>
      <c r="BM150" s="1098"/>
      <c r="BN150" s="1098"/>
      <c r="BO150" s="1098"/>
      <c r="BP150" s="1098"/>
      <c r="BQ150" s="1098"/>
      <c r="BR150" s="1098"/>
      <c r="BS150" s="1098"/>
      <c r="BT150" s="1098"/>
      <c r="BU150" s="1098"/>
    </row>
    <row r="151" spans="1:73" x14ac:dyDescent="0.25">
      <c r="A151" s="1098"/>
      <c r="B151" s="1098"/>
      <c r="C151" s="1098"/>
      <c r="D151" s="1098"/>
      <c r="E151" s="1098"/>
      <c r="F151" s="1098"/>
      <c r="G151" s="1098"/>
      <c r="H151" s="1098"/>
      <c r="I151" s="1098"/>
      <c r="J151" s="1098"/>
      <c r="K151" s="1098"/>
      <c r="L151" s="1098"/>
      <c r="M151" s="1098"/>
      <c r="N151" s="1098"/>
      <c r="O151" s="1098"/>
      <c r="P151" s="1098"/>
      <c r="Q151" s="1098"/>
      <c r="R151" s="1098"/>
      <c r="S151" s="1098"/>
      <c r="T151" s="1098"/>
      <c r="U151" s="1098"/>
      <c r="V151" s="1098"/>
      <c r="W151" s="1098"/>
      <c r="X151" s="1098"/>
      <c r="Y151" s="1098"/>
      <c r="Z151" s="1098"/>
      <c r="AA151" s="1098"/>
      <c r="AB151" s="1098"/>
      <c r="AC151" s="1098"/>
      <c r="AD151" s="1098"/>
      <c r="AE151" s="1098"/>
      <c r="AF151" s="1098"/>
      <c r="AG151" s="1098"/>
      <c r="AH151" s="1098"/>
      <c r="AI151" s="1098"/>
      <c r="AJ151" s="1098"/>
      <c r="AK151" s="1098"/>
      <c r="AL151" s="1098"/>
      <c r="AM151" s="1098"/>
      <c r="AN151" s="1098"/>
      <c r="AO151" s="1098"/>
      <c r="AP151" s="1098"/>
      <c r="AQ151" s="1098"/>
      <c r="AR151" s="1098"/>
      <c r="AS151" s="1098"/>
    </row>
    <row r="152" spans="1:73" ht="13" x14ac:dyDescent="0.3">
      <c r="A152" s="1098"/>
      <c r="B152" s="1100" t="s">
        <v>1162</v>
      </c>
      <c r="C152" s="1098"/>
      <c r="D152" s="1098"/>
      <c r="E152" s="1098"/>
      <c r="F152" s="1098"/>
      <c r="G152" s="1098"/>
      <c r="H152" s="1098"/>
      <c r="I152" s="1098"/>
      <c r="J152" s="1098"/>
      <c r="K152" s="1098"/>
      <c r="L152" s="1098"/>
      <c r="M152" s="1098"/>
      <c r="N152" s="1098"/>
      <c r="O152" s="1098"/>
      <c r="P152" s="1098"/>
      <c r="Q152" s="1098"/>
      <c r="R152" s="1098"/>
      <c r="S152" s="1098"/>
      <c r="T152" s="1098"/>
      <c r="U152" s="1098"/>
      <c r="V152" s="1098"/>
      <c r="W152" s="1098"/>
      <c r="X152" s="1098"/>
      <c r="Y152" s="1098"/>
      <c r="Z152" s="1098"/>
      <c r="AA152" s="1098"/>
      <c r="AB152" s="1098"/>
      <c r="AC152" s="1098"/>
      <c r="AD152" s="1098"/>
      <c r="AE152" s="1098"/>
      <c r="AF152" s="1098"/>
      <c r="AG152" s="1098"/>
      <c r="AH152" s="1098"/>
      <c r="AI152" s="1098"/>
      <c r="AJ152" s="1098"/>
      <c r="AK152" s="1098"/>
      <c r="AL152" s="1098"/>
      <c r="AM152" s="1098"/>
      <c r="AN152" s="1098"/>
      <c r="AO152" s="1098"/>
      <c r="AP152" s="1098"/>
      <c r="AQ152" s="1098"/>
      <c r="AR152" s="1098"/>
      <c r="AS152" s="1098"/>
    </row>
    <row r="153" spans="1:73" ht="13" x14ac:dyDescent="0.3">
      <c r="A153" s="1098"/>
      <c r="B153" s="1098"/>
      <c r="C153" s="1098"/>
      <c r="D153" s="1109" t="s">
        <v>1166</v>
      </c>
      <c r="E153" s="1109"/>
      <c r="F153" s="1109"/>
      <c r="G153" s="1109"/>
      <c r="H153" s="1109"/>
      <c r="I153" s="1109"/>
      <c r="J153" s="1098"/>
      <c r="K153" s="1098"/>
      <c r="L153" s="1098"/>
      <c r="M153" s="1098"/>
      <c r="N153" s="1098"/>
      <c r="O153" s="1098"/>
      <c r="P153" s="1098"/>
      <c r="Q153" s="1098"/>
      <c r="R153" s="1098"/>
      <c r="S153" s="1098"/>
      <c r="T153" s="1098"/>
      <c r="U153" s="1098"/>
      <c r="V153" s="1098"/>
      <c r="W153" s="1098"/>
      <c r="X153" s="1098"/>
      <c r="Y153" s="1098"/>
      <c r="Z153" s="1098"/>
      <c r="AA153" s="1098"/>
      <c r="AB153" s="1098"/>
      <c r="AC153" s="1098"/>
      <c r="AD153" s="1098"/>
      <c r="AE153" s="1098"/>
      <c r="AF153" s="1098"/>
      <c r="AG153" s="1098"/>
      <c r="AH153" s="1098"/>
      <c r="AI153" s="1098"/>
      <c r="AJ153" s="1098"/>
      <c r="AK153" s="1098"/>
      <c r="AL153" s="1098"/>
      <c r="AM153" s="1098"/>
      <c r="AN153" s="1098"/>
      <c r="AO153" s="1098"/>
      <c r="AP153" s="1098"/>
      <c r="AQ153" s="1098"/>
      <c r="AR153" s="1098"/>
      <c r="AS153" s="1098"/>
    </row>
    <row r="154" spans="1:73" ht="26" x14ac:dyDescent="0.3">
      <c r="A154" s="1098"/>
      <c r="B154" s="1100"/>
      <c r="C154" s="1098"/>
      <c r="D154" s="1109" t="s">
        <v>1165</v>
      </c>
      <c r="E154" s="1109" t="s">
        <v>1171</v>
      </c>
      <c r="F154" s="1109" t="s">
        <v>1167</v>
      </c>
      <c r="G154" s="1109" t="s">
        <v>1168</v>
      </c>
      <c r="H154" s="1109" t="s">
        <v>1169</v>
      </c>
      <c r="I154" s="1109" t="s">
        <v>1170</v>
      </c>
      <c r="J154" s="1098"/>
      <c r="K154" s="1109" t="s">
        <v>1200</v>
      </c>
      <c r="L154" s="1109" t="s">
        <v>1198</v>
      </c>
      <c r="M154" s="1109" t="s">
        <v>1199</v>
      </c>
      <c r="N154" s="1109" t="s">
        <v>1201</v>
      </c>
      <c r="O154" s="1098"/>
      <c r="P154" s="1098"/>
      <c r="Q154" s="1098"/>
      <c r="R154" s="1098"/>
      <c r="S154" s="1098"/>
      <c r="T154" s="1098"/>
      <c r="U154" s="1098"/>
      <c r="V154" s="1098"/>
      <c r="W154" s="1098"/>
      <c r="X154" s="1098"/>
      <c r="Y154" s="1098"/>
      <c r="Z154" s="1098"/>
      <c r="AA154" s="1098"/>
      <c r="AB154" s="1098"/>
      <c r="AC154" s="1098"/>
      <c r="AD154" s="1098"/>
      <c r="AE154" s="1098"/>
      <c r="AF154" s="1098"/>
      <c r="AG154" s="1098"/>
      <c r="AH154" s="1098"/>
      <c r="AI154" s="1098"/>
      <c r="AJ154" s="1098"/>
      <c r="AK154" s="1098"/>
      <c r="AL154" s="1098"/>
      <c r="AM154" s="1098"/>
      <c r="AN154" s="1098"/>
      <c r="AO154" s="1098"/>
      <c r="AP154" s="1098"/>
      <c r="AQ154" s="1098"/>
      <c r="AR154" s="1098"/>
      <c r="AS154" s="1098"/>
    </row>
    <row r="155" spans="1:73" ht="13" x14ac:dyDescent="0.3">
      <c r="A155" s="1098"/>
      <c r="B155" s="1100" t="s">
        <v>1164</v>
      </c>
      <c r="C155" s="1098">
        <v>1</v>
      </c>
      <c r="D155" s="1101" t="s">
        <v>1179</v>
      </c>
      <c r="E155" s="1115">
        <f ca="1">+K48+C155/10000000000</f>
        <v>1.5582197866293928</v>
      </c>
      <c r="F155" s="1102">
        <f ca="1">+RANK(E155,$E$155:$E$157)</f>
        <v>1</v>
      </c>
      <c r="G155" s="1107">
        <v>1</v>
      </c>
      <c r="H155" s="1102" t="str">
        <f ca="1">OFFSET($D$154,MATCH($G155,$F$155:$F$157,0),0)</f>
        <v>Cost of Hydrogen</v>
      </c>
      <c r="I155" s="1117">
        <f ca="1">OFFSET($E$154,MATCH($G155,$F$155:$F$157,0),0)-OFFSET($C$154,MATCH($G155,$F$155:$F$157,0),0)/10000000000</f>
        <v>1.5582197865293927</v>
      </c>
      <c r="J155" s="1098"/>
      <c r="K155" s="1102" t="str">
        <f ca="1">+H155</f>
        <v>Cost of Hydrogen</v>
      </c>
      <c r="L155" s="1115">
        <f ca="1">+I155</f>
        <v>1.5582197865293927</v>
      </c>
      <c r="M155" s="1102"/>
      <c r="N155" s="1102" t="str">
        <f ca="1">+IF(L155&gt;0,K155,"")</f>
        <v>Cost of Hydrogen</v>
      </c>
      <c r="O155" s="1098"/>
      <c r="P155" s="1098"/>
      <c r="Q155" s="1098"/>
      <c r="R155" s="1098"/>
      <c r="S155" s="1098"/>
      <c r="T155" s="1098"/>
      <c r="U155" s="1098"/>
      <c r="V155" s="1098"/>
      <c r="W155" s="1098"/>
      <c r="X155" s="1098"/>
      <c r="Y155" s="1098"/>
      <c r="Z155" s="1098"/>
      <c r="AA155" s="1098"/>
      <c r="AB155" s="1098"/>
      <c r="AC155" s="1098"/>
      <c r="AD155" s="1098"/>
      <c r="AE155" s="1098"/>
      <c r="AF155" s="1098"/>
      <c r="AG155" s="1098"/>
      <c r="AH155" s="1098"/>
      <c r="AI155" s="1098"/>
      <c r="AJ155" s="1098"/>
    </row>
    <row r="156" spans="1:73" ht="13" x14ac:dyDescent="0.3">
      <c r="A156" s="1098"/>
      <c r="B156" s="1100"/>
      <c r="C156" s="1098">
        <v>2</v>
      </c>
      <c r="D156" s="1102" t="str">
        <f>+F110</f>
        <v>Byproduct Sales</v>
      </c>
      <c r="E156" s="1115">
        <f ca="1">+L48+C156/10000000000</f>
        <v>2.0000000000000001E-10</v>
      </c>
      <c r="F156" s="1102">
        <f ca="1">+RANK(E156,$E$155:$E$157)</f>
        <v>3</v>
      </c>
      <c r="G156" s="1107">
        <v>2</v>
      </c>
      <c r="H156" s="1102" t="str">
        <f ca="1">OFFSET($D$154,MATCH($G156,$F$155:$F$157,0),0)</f>
        <v>Salvage Value</v>
      </c>
      <c r="I156" s="1117">
        <f ca="1">OFFSET($E$154,MATCH($G156,$F$155:$F$157,0),0)-OFFSET($C$154,MATCH($G156,$F$155:$F$157,0),0)/10000000000</f>
        <v>1.5603382608962266E-3</v>
      </c>
      <c r="J156" s="1098"/>
      <c r="K156" s="1102" t="str">
        <f t="shared" ref="K156:K170" ca="1" si="76">+H156</f>
        <v>Salvage Value</v>
      </c>
      <c r="L156" s="1115">
        <f t="shared" ref="L156:L157" ca="1" si="77">+I156</f>
        <v>1.5603382608962266E-3</v>
      </c>
      <c r="M156" s="1102"/>
      <c r="N156" s="1102" t="str">
        <f t="shared" ref="N156:N157" ca="1" si="78">+IF(L156&gt;0,K156,"")</f>
        <v>Salvage Value</v>
      </c>
      <c r="O156" s="1098"/>
      <c r="P156" s="1098"/>
      <c r="Q156" s="1098"/>
      <c r="R156" s="1098"/>
      <c r="S156" s="1098"/>
      <c r="T156" s="1098"/>
      <c r="U156" s="1098"/>
      <c r="V156" s="1098"/>
      <c r="W156" s="1098"/>
      <c r="X156" s="1098"/>
      <c r="Y156" s="1098"/>
      <c r="Z156" s="1098"/>
      <c r="AA156" s="1098"/>
      <c r="AB156" s="1098"/>
      <c r="AC156" s="1098"/>
      <c r="AD156" s="1098"/>
      <c r="AE156" s="1098"/>
      <c r="AF156" s="1098"/>
      <c r="AG156" s="1098"/>
      <c r="AH156" s="1098"/>
      <c r="AI156" s="1098"/>
      <c r="AJ156" s="1098"/>
    </row>
    <row r="157" spans="1:73" ht="13" x14ac:dyDescent="0.3">
      <c r="A157" s="1098"/>
      <c r="B157" s="1100"/>
      <c r="C157" s="1098">
        <v>3</v>
      </c>
      <c r="D157" s="1102" t="str">
        <f>+G110</f>
        <v>Salvage Value</v>
      </c>
      <c r="E157" s="1115">
        <f ca="1">+M48+C157/10000000000</f>
        <v>1.5603385608962267E-3</v>
      </c>
      <c r="F157" s="1102">
        <f ca="1">+RANK(E157,$E$155:$E$157)</f>
        <v>2</v>
      </c>
      <c r="G157" s="1107">
        <v>3</v>
      </c>
      <c r="H157" s="1102" t="str">
        <f ca="1">OFFSET($D$154,MATCH($G157,$F$155:$F$157,0),0)</f>
        <v>Byproduct Sales</v>
      </c>
      <c r="I157" s="1117">
        <f ca="1">OFFSET($E$154,MATCH($G157,$F$155:$F$157,0),0)-OFFSET($C$154,MATCH($G157,$F$155:$F$157,0),0)/10000000000</f>
        <v>0</v>
      </c>
      <c r="J157" s="1098"/>
      <c r="K157" s="1102" t="str">
        <f t="shared" ca="1" si="76"/>
        <v>Byproduct Sales</v>
      </c>
      <c r="L157" s="1115">
        <f t="shared" ca="1" si="77"/>
        <v>0</v>
      </c>
      <c r="M157" s="1102"/>
      <c r="N157" s="1102" t="str">
        <f t="shared" ca="1" si="78"/>
        <v/>
      </c>
      <c r="O157" s="1098"/>
      <c r="P157" s="1098"/>
      <c r="Q157" s="1098"/>
      <c r="R157" s="1098"/>
      <c r="S157" s="1098"/>
      <c r="T157" s="1098"/>
      <c r="U157" s="1098"/>
      <c r="V157" s="1098"/>
      <c r="W157" s="1098"/>
      <c r="X157" s="1098"/>
      <c r="Y157" s="1098"/>
      <c r="Z157" s="1098"/>
      <c r="AA157" s="1098"/>
      <c r="AB157" s="1098"/>
      <c r="AC157" s="1098"/>
      <c r="AD157" s="1098"/>
      <c r="AE157" s="1098"/>
      <c r="AF157" s="1098"/>
      <c r="AG157" s="1098"/>
      <c r="AH157" s="1098"/>
      <c r="AI157" s="1098"/>
      <c r="AJ157" s="1098"/>
    </row>
    <row r="158" spans="1:73" ht="13" x14ac:dyDescent="0.3">
      <c r="A158" s="1098"/>
      <c r="B158" s="1100"/>
      <c r="C158" s="1098"/>
      <c r="D158" s="1100"/>
      <c r="E158" s="1100"/>
      <c r="F158" s="1100"/>
      <c r="G158" s="1100"/>
      <c r="H158" s="1100"/>
      <c r="I158" s="1128"/>
      <c r="J158" s="1098"/>
      <c r="K158" s="1102"/>
      <c r="L158" s="1102"/>
      <c r="M158" s="1115"/>
      <c r="N158" s="1102" t="str">
        <f t="shared" ref="N158" si="79">+IF(L158&gt;0.01,K158,"")</f>
        <v/>
      </c>
      <c r="O158" s="1098"/>
      <c r="P158" s="1098"/>
      <c r="Q158" s="1098"/>
      <c r="R158" s="1098"/>
      <c r="S158" s="1098"/>
      <c r="T158" s="1098"/>
      <c r="U158" s="1098"/>
      <c r="V158" s="1098"/>
      <c r="W158" s="1098"/>
      <c r="X158" s="1098"/>
      <c r="Y158" s="1098"/>
      <c r="Z158" s="1098"/>
      <c r="AA158" s="1098"/>
      <c r="AB158" s="1098"/>
      <c r="AC158" s="1098"/>
      <c r="AD158" s="1098"/>
      <c r="AE158" s="1098"/>
      <c r="AF158" s="1098"/>
      <c r="AG158" s="1098"/>
      <c r="AH158" s="1098"/>
      <c r="AI158" s="1098"/>
      <c r="AJ158" s="1098"/>
    </row>
    <row r="159" spans="1:73" ht="13" x14ac:dyDescent="0.3">
      <c r="A159" s="1098"/>
      <c r="B159" s="1100" t="s">
        <v>1163</v>
      </c>
      <c r="C159" s="1098">
        <v>1</v>
      </c>
      <c r="D159" s="1102" t="str">
        <f>+H110</f>
        <v>Initial Equity Depreciable Capital</v>
      </c>
      <c r="E159" s="1115">
        <f ca="1">+N48+C159/10000000000</f>
        <v>0.14357660042473161</v>
      </c>
      <c r="F159" s="1102">
        <f t="shared" ref="F159:F170" ca="1" si="80">+RANK(E159,$E$159:$E$170)</f>
        <v>3</v>
      </c>
      <c r="G159" s="1107">
        <v>1</v>
      </c>
      <c r="H159" s="1102" t="str">
        <f t="shared" ref="H159:H170" ca="1" si="81">OFFSET($D$158,MATCH($G159,$F$159:$F$170,0),0)</f>
        <v>Feedstock Cost</v>
      </c>
      <c r="I159" s="1117">
        <f t="shared" ref="I159:I170" ca="1" si="82">OFFSET($E$158,MATCH($G159,$F$159:$F$170,0),0)-OFFSET($C$158,MATCH($G159,$F$159:$F$170,0),0)/10000000000</f>
        <v>0.82524955783637077</v>
      </c>
      <c r="J159" s="1098"/>
      <c r="K159" s="1102" t="str">
        <f t="shared" ca="1" si="76"/>
        <v>Feedstock Cost</v>
      </c>
      <c r="L159" s="1102"/>
      <c r="M159" s="1115">
        <f ca="1">+I159</f>
        <v>0.82524955783637077</v>
      </c>
      <c r="N159" s="1102" t="str">
        <f ca="1">+IF(M159&gt;0,K159,"")</f>
        <v>Feedstock Cost</v>
      </c>
      <c r="O159" s="1098"/>
      <c r="P159" s="1098"/>
      <c r="Q159" s="1098"/>
      <c r="R159" s="1098"/>
      <c r="S159" s="1098"/>
      <c r="T159" s="1098"/>
      <c r="U159" s="1098"/>
      <c r="V159" s="1098"/>
      <c r="W159" s="1098"/>
      <c r="X159" s="1098"/>
      <c r="Y159" s="1098"/>
      <c r="Z159" s="1098"/>
      <c r="AA159" s="1098"/>
      <c r="AB159" s="1098"/>
      <c r="AC159" s="1098"/>
      <c r="AD159" s="1098"/>
      <c r="AE159" s="1098"/>
      <c r="AF159" s="1098"/>
      <c r="AG159" s="1098"/>
      <c r="AH159" s="1098"/>
      <c r="AI159" s="1098"/>
      <c r="AJ159" s="1098"/>
    </row>
    <row r="160" spans="1:73" x14ac:dyDescent="0.25">
      <c r="A160" s="1098"/>
      <c r="B160" s="1098"/>
      <c r="C160" s="1098">
        <f>+C159+1</f>
        <v>2</v>
      </c>
      <c r="D160" s="1102" t="str">
        <f>+I110</f>
        <v>Yearly Replacement Costs</v>
      </c>
      <c r="E160" s="1115">
        <f ca="1">+O48+C160/10000000000</f>
        <v>0.12137220316106476</v>
      </c>
      <c r="F160" s="1102">
        <f t="shared" ca="1" si="80"/>
        <v>4</v>
      </c>
      <c r="G160" s="1107">
        <v>2</v>
      </c>
      <c r="H160" s="1102" t="str">
        <f t="shared" ca="1" si="81"/>
        <v>Other Variable Operating Costs</v>
      </c>
      <c r="I160" s="1117">
        <f t="shared" ca="1" si="82"/>
        <v>0.20561571448089225</v>
      </c>
      <c r="J160" s="1098"/>
      <c r="K160" s="1102" t="str">
        <f t="shared" ca="1" si="76"/>
        <v>Other Variable Operating Costs</v>
      </c>
      <c r="L160" s="1102"/>
      <c r="M160" s="1115">
        <f t="shared" ref="M160:M170" ca="1" si="83">+I160</f>
        <v>0.20561571448089225</v>
      </c>
      <c r="N160" s="1102" t="str">
        <f t="shared" ref="N160:N170" ca="1" si="84">+IF(M160&gt;0,K160,"")</f>
        <v>Other Variable Operating Costs</v>
      </c>
      <c r="O160" s="1098"/>
      <c r="P160" s="1098"/>
      <c r="Q160" s="1098"/>
      <c r="R160" s="1098"/>
      <c r="S160" s="1098"/>
      <c r="T160" s="1098"/>
      <c r="U160" s="1098"/>
      <c r="V160" s="1098"/>
      <c r="W160" s="1098"/>
      <c r="X160" s="1098"/>
      <c r="Y160" s="1098"/>
      <c r="Z160" s="1098"/>
      <c r="AA160" s="1098"/>
      <c r="AB160" s="1098"/>
      <c r="AC160" s="1098"/>
      <c r="AD160" s="1098"/>
      <c r="AE160" s="1098"/>
      <c r="AF160" s="1098"/>
      <c r="AG160" s="1098"/>
      <c r="AH160" s="1098"/>
      <c r="AI160" s="1098"/>
      <c r="AJ160" s="1098"/>
    </row>
    <row r="161" spans="1:36" x14ac:dyDescent="0.25">
      <c r="A161" s="1098"/>
      <c r="B161" s="1098"/>
      <c r="C161" s="1098">
        <f t="shared" ref="C161:C170" si="85">+C160+1</f>
        <v>3</v>
      </c>
      <c r="D161" s="1102" t="str">
        <f>+J110</f>
        <v>Cash for Working Capital Reserve</v>
      </c>
      <c r="E161" s="1115">
        <f ca="1">+P48+C161/10000000000</f>
        <v>1.5685799762749843E-2</v>
      </c>
      <c r="F161" s="1102">
        <f t="shared" ca="1" si="80"/>
        <v>8</v>
      </c>
      <c r="G161" s="1107">
        <v>3</v>
      </c>
      <c r="H161" s="1102" t="str">
        <f t="shared" ca="1" si="81"/>
        <v>Initial Equity Depreciable Capital</v>
      </c>
      <c r="I161" s="1117">
        <f t="shared" ca="1" si="82"/>
        <v>0.1435766003247316</v>
      </c>
      <c r="J161" s="1098"/>
      <c r="K161" s="1102" t="str">
        <f t="shared" ca="1" si="76"/>
        <v>Initial Equity Depreciable Capital</v>
      </c>
      <c r="L161" s="1102"/>
      <c r="M161" s="1115">
        <f t="shared" ca="1" si="83"/>
        <v>0.1435766003247316</v>
      </c>
      <c r="N161" s="1102" t="str">
        <f t="shared" ca="1" si="84"/>
        <v>Initial Equity Depreciable Capital</v>
      </c>
      <c r="O161" s="1098"/>
      <c r="P161" s="1098"/>
      <c r="Q161" s="1098"/>
      <c r="R161" s="1098"/>
      <c r="S161" s="1098"/>
      <c r="T161" s="1098"/>
      <c r="U161" s="1098"/>
      <c r="V161" s="1098"/>
      <c r="W161" s="1098"/>
      <c r="X161" s="1098"/>
      <c r="Y161" s="1098"/>
      <c r="Z161" s="1098"/>
      <c r="AA161" s="1098"/>
      <c r="AB161" s="1098"/>
      <c r="AC161" s="1098"/>
      <c r="AD161" s="1098"/>
      <c r="AE161" s="1098"/>
      <c r="AF161" s="1098"/>
      <c r="AG161" s="1098"/>
      <c r="AH161" s="1098"/>
      <c r="AI161" s="1098"/>
      <c r="AJ161" s="1098"/>
    </row>
    <row r="162" spans="1:36" x14ac:dyDescent="0.25">
      <c r="A162" s="1098"/>
      <c r="B162" s="1098"/>
      <c r="C162" s="1098">
        <f t="shared" si="85"/>
        <v>4</v>
      </c>
      <c r="D162" s="1102" t="str">
        <f>+K110</f>
        <v>Other Non-Depreciable Capital Costs</v>
      </c>
      <c r="E162" s="1115">
        <f ca="1">+Q48+C162/10000000000</f>
        <v>8.9879622153514883E-4</v>
      </c>
      <c r="F162" s="1102">
        <f t="shared" ca="1" si="80"/>
        <v>11</v>
      </c>
      <c r="G162" s="1107">
        <v>4</v>
      </c>
      <c r="H162" s="1102" t="str">
        <f t="shared" ca="1" si="81"/>
        <v>Yearly Replacement Costs</v>
      </c>
      <c r="I162" s="1117">
        <f t="shared" ca="1" si="82"/>
        <v>0.12137220296106475</v>
      </c>
      <c r="J162" s="1098"/>
      <c r="K162" s="1102" t="str">
        <f t="shared" ca="1" si="76"/>
        <v>Yearly Replacement Costs</v>
      </c>
      <c r="L162" s="1102"/>
      <c r="M162" s="1115">
        <f t="shared" ca="1" si="83"/>
        <v>0.12137220296106475</v>
      </c>
      <c r="N162" s="1102" t="str">
        <f t="shared" ca="1" si="84"/>
        <v>Yearly Replacement Costs</v>
      </c>
      <c r="O162" s="1098"/>
      <c r="P162" s="1098"/>
      <c r="Q162" s="1098"/>
      <c r="R162" s="1098"/>
      <c r="S162" s="1098"/>
      <c r="T162" s="1098"/>
      <c r="U162" s="1098"/>
      <c r="V162" s="1098"/>
      <c r="W162" s="1098"/>
      <c r="X162" s="1098"/>
      <c r="Y162" s="1098"/>
      <c r="Z162" s="1098"/>
      <c r="AA162" s="1098"/>
      <c r="AB162" s="1098"/>
      <c r="AC162" s="1098"/>
      <c r="AD162" s="1098"/>
      <c r="AE162" s="1098"/>
      <c r="AF162" s="1098"/>
      <c r="AG162" s="1098"/>
      <c r="AH162" s="1098"/>
      <c r="AI162" s="1098"/>
      <c r="AJ162" s="1098"/>
    </row>
    <row r="163" spans="1:36" x14ac:dyDescent="0.25">
      <c r="A163" s="1098"/>
      <c r="B163" s="1098"/>
      <c r="C163" s="1098">
        <f t="shared" si="85"/>
        <v>5</v>
      </c>
      <c r="D163" s="1102" t="str">
        <f>+L110</f>
        <v>Decommissioning Costs</v>
      </c>
      <c r="E163" s="1115">
        <f ca="1">+R48+C163/10000000000</f>
        <v>1.5567917435341154E-3</v>
      </c>
      <c r="F163" s="1102">
        <f t="shared" ca="1" si="80"/>
        <v>10</v>
      </c>
      <c r="G163" s="1107">
        <v>5</v>
      </c>
      <c r="H163" s="1102" t="str">
        <f t="shared" ca="1" si="81"/>
        <v>Fixed Operating Cost</v>
      </c>
      <c r="I163" s="1117">
        <f t="shared" ca="1" si="82"/>
        <v>0.11952400105681882</v>
      </c>
      <c r="J163" s="1098"/>
      <c r="K163" s="1102" t="str">
        <f t="shared" ca="1" si="76"/>
        <v>Fixed Operating Cost</v>
      </c>
      <c r="L163" s="1102"/>
      <c r="M163" s="1115">
        <f t="shared" ca="1" si="83"/>
        <v>0.11952400105681882</v>
      </c>
      <c r="N163" s="1102" t="str">
        <f t="shared" ca="1" si="84"/>
        <v>Fixed Operating Cost</v>
      </c>
      <c r="O163" s="1098"/>
      <c r="P163" s="1098"/>
      <c r="Q163" s="1098"/>
      <c r="R163" s="1098"/>
      <c r="S163" s="1098"/>
      <c r="T163" s="1098"/>
      <c r="U163" s="1098"/>
      <c r="V163" s="1098"/>
      <c r="W163" s="1098"/>
      <c r="X163" s="1098"/>
      <c r="Y163" s="1098"/>
      <c r="Z163" s="1098"/>
      <c r="AA163" s="1098"/>
      <c r="AB163" s="1098"/>
      <c r="AC163" s="1098"/>
      <c r="AD163" s="1098"/>
      <c r="AE163" s="1098"/>
      <c r="AF163" s="1098"/>
      <c r="AG163" s="1098"/>
      <c r="AH163" s="1098"/>
      <c r="AI163" s="1098"/>
      <c r="AJ163" s="1098"/>
    </row>
    <row r="164" spans="1:36" x14ac:dyDescent="0.25">
      <c r="A164" s="1098"/>
      <c r="B164" s="1098"/>
      <c r="C164" s="1098">
        <f t="shared" si="85"/>
        <v>6</v>
      </c>
      <c r="D164" s="1102" t="str">
        <f>+M110</f>
        <v>Fixed Operating Cost</v>
      </c>
      <c r="E164" s="1115">
        <f ca="1">+S48+C164/10000000000</f>
        <v>0.11952400165681881</v>
      </c>
      <c r="F164" s="1102">
        <f t="shared" ca="1" si="80"/>
        <v>5</v>
      </c>
      <c r="G164" s="1107">
        <v>6</v>
      </c>
      <c r="H164" s="1102" t="str">
        <f t="shared" ca="1" si="81"/>
        <v>Debt Interest</v>
      </c>
      <c r="I164" s="1117">
        <f t="shared" ca="1" si="82"/>
        <v>9.432006620325277E-2</v>
      </c>
      <c r="J164" s="1098"/>
      <c r="K164" s="1102" t="str">
        <f t="shared" ca="1" si="76"/>
        <v>Debt Interest</v>
      </c>
      <c r="L164" s="1102"/>
      <c r="M164" s="1115">
        <f t="shared" ca="1" si="83"/>
        <v>9.432006620325277E-2</v>
      </c>
      <c r="N164" s="1102" t="str">
        <f t="shared" ca="1" si="84"/>
        <v>Debt Interest</v>
      </c>
      <c r="O164" s="1098"/>
      <c r="P164" s="1098"/>
      <c r="Q164" s="1098"/>
      <c r="R164" s="1098"/>
      <c r="S164" s="1098"/>
      <c r="T164" s="1098"/>
      <c r="U164" s="1098"/>
      <c r="V164" s="1098"/>
      <c r="W164" s="1098"/>
      <c r="X164" s="1098"/>
      <c r="Y164" s="1098"/>
      <c r="Z164" s="1098"/>
      <c r="AA164" s="1098"/>
      <c r="AB164" s="1098"/>
      <c r="AC164" s="1098"/>
      <c r="AD164" s="1098"/>
      <c r="AE164" s="1098"/>
      <c r="AF164" s="1098"/>
      <c r="AG164" s="1098"/>
      <c r="AH164" s="1098"/>
      <c r="AI164" s="1098"/>
      <c r="AJ164" s="1098"/>
    </row>
    <row r="165" spans="1:36" x14ac:dyDescent="0.25">
      <c r="A165" s="1098"/>
      <c r="B165" s="1098"/>
      <c r="C165" s="1098">
        <f t="shared" si="85"/>
        <v>7</v>
      </c>
      <c r="D165" s="1102" t="str">
        <f>+N110</f>
        <v>Feedstock Cost</v>
      </c>
      <c r="E165" s="1115">
        <f ca="1">+T48+C165/10000000000</f>
        <v>0.82524955853637072</v>
      </c>
      <c r="F165" s="1102">
        <f t="shared" ca="1" si="80"/>
        <v>1</v>
      </c>
      <c r="G165" s="1107">
        <v>7</v>
      </c>
      <c r="H165" s="1102" t="str">
        <f t="shared" ca="1" si="81"/>
        <v>Taxes</v>
      </c>
      <c r="I165" s="1117">
        <f t="shared" ca="1" si="82"/>
        <v>2.7743522830533017E-2</v>
      </c>
      <c r="J165" s="1098"/>
      <c r="K165" s="1102" t="str">
        <f t="shared" ca="1" si="76"/>
        <v>Taxes</v>
      </c>
      <c r="L165" s="1102"/>
      <c r="M165" s="1115">
        <f t="shared" ca="1" si="83"/>
        <v>2.7743522830533017E-2</v>
      </c>
      <c r="N165" s="1102" t="str">
        <f t="shared" ca="1" si="84"/>
        <v>Taxes</v>
      </c>
      <c r="O165" s="1098"/>
      <c r="P165" s="1098"/>
      <c r="Q165" s="1098"/>
      <c r="R165" s="1098"/>
      <c r="S165" s="1098"/>
      <c r="T165" s="1098"/>
      <c r="U165" s="1098"/>
      <c r="V165" s="1098"/>
      <c r="W165" s="1098"/>
      <c r="X165" s="1098"/>
      <c r="Y165" s="1098"/>
      <c r="Z165" s="1098"/>
      <c r="AA165" s="1098"/>
      <c r="AB165" s="1098"/>
      <c r="AC165" s="1098"/>
      <c r="AD165" s="1098"/>
      <c r="AE165" s="1098"/>
      <c r="AF165" s="1098"/>
      <c r="AG165" s="1098"/>
      <c r="AH165" s="1098"/>
      <c r="AI165" s="1098"/>
      <c r="AJ165" s="1098"/>
    </row>
    <row r="166" spans="1:36" x14ac:dyDescent="0.25">
      <c r="A166" s="1098"/>
      <c r="B166" s="1098"/>
      <c r="C166" s="1098">
        <f t="shared" si="85"/>
        <v>8</v>
      </c>
      <c r="D166" s="1102" t="str">
        <f>+O110</f>
        <v>Other Raw Material Cost</v>
      </c>
      <c r="E166" s="1115">
        <f ca="1">+U48+C166/10000000000</f>
        <v>8.0000000000000003E-10</v>
      </c>
      <c r="F166" s="1102">
        <f t="shared" ca="1" si="80"/>
        <v>12</v>
      </c>
      <c r="G166" s="1107">
        <v>8</v>
      </c>
      <c r="H166" s="1102" t="str">
        <f t="shared" ca="1" si="81"/>
        <v>Cash for Working Capital Reserve</v>
      </c>
      <c r="I166" s="1117">
        <f t="shared" ca="1" si="82"/>
        <v>1.5685799462749842E-2</v>
      </c>
      <c r="J166" s="1098"/>
      <c r="K166" s="1102" t="str">
        <f t="shared" ca="1" si="76"/>
        <v>Cash for Working Capital Reserve</v>
      </c>
      <c r="L166" s="1102"/>
      <c r="M166" s="1115">
        <f t="shared" ca="1" si="83"/>
        <v>1.5685799462749842E-2</v>
      </c>
      <c r="N166" s="1102" t="str">
        <f t="shared" ca="1" si="84"/>
        <v>Cash for Working Capital Reserve</v>
      </c>
      <c r="O166" s="1098"/>
      <c r="P166" s="1098"/>
      <c r="Q166" s="1098"/>
      <c r="R166" s="1098"/>
      <c r="S166" s="1098"/>
      <c r="T166" s="1098"/>
      <c r="U166" s="1098"/>
      <c r="V166" s="1098"/>
      <c r="W166" s="1098"/>
      <c r="X166" s="1098"/>
      <c r="Y166" s="1098"/>
      <c r="Z166" s="1098"/>
      <c r="AA166" s="1098"/>
      <c r="AB166" s="1098"/>
      <c r="AC166" s="1098"/>
      <c r="AD166" s="1098"/>
      <c r="AE166" s="1098"/>
      <c r="AF166" s="1098"/>
      <c r="AG166" s="1098"/>
      <c r="AH166" s="1098"/>
      <c r="AI166" s="1098"/>
      <c r="AJ166" s="1098"/>
    </row>
    <row r="167" spans="1:36" x14ac:dyDescent="0.25">
      <c r="A167" s="1098"/>
      <c r="B167" s="1098"/>
      <c r="C167" s="1098">
        <f t="shared" si="85"/>
        <v>9</v>
      </c>
      <c r="D167" s="1102" t="str">
        <f>+P110</f>
        <v>Other Variable Operating Costs</v>
      </c>
      <c r="E167" s="1115">
        <f ca="1">+V48+C167/10000000000</f>
        <v>0.20561571538089224</v>
      </c>
      <c r="F167" s="1102">
        <f t="shared" ca="1" si="80"/>
        <v>2</v>
      </c>
      <c r="G167" s="1107">
        <v>9</v>
      </c>
      <c r="H167" s="1102" t="str">
        <f t="shared" ca="1" si="81"/>
        <v>Principal Payment</v>
      </c>
      <c r="I167" s="1117">
        <f t="shared" ca="1" si="82"/>
        <v>4.2370725688043549E-3</v>
      </c>
      <c r="J167" s="1098"/>
      <c r="K167" s="1102" t="str">
        <f t="shared" ca="1" si="76"/>
        <v>Principal Payment</v>
      </c>
      <c r="L167" s="1102"/>
      <c r="M167" s="1115">
        <f t="shared" ca="1" si="83"/>
        <v>4.2370725688043549E-3</v>
      </c>
      <c r="N167" s="1102" t="str">
        <f t="shared" ca="1" si="84"/>
        <v>Principal Payment</v>
      </c>
      <c r="O167" s="1098"/>
      <c r="P167" s="1098"/>
      <c r="Q167" s="1098"/>
      <c r="R167" s="1098"/>
      <c r="S167" s="1098"/>
      <c r="T167" s="1098"/>
      <c r="U167" s="1098"/>
      <c r="V167" s="1098"/>
      <c r="W167" s="1098"/>
      <c r="X167" s="1098"/>
      <c r="Y167" s="1098"/>
      <c r="Z167" s="1098"/>
      <c r="AA167" s="1098"/>
      <c r="AB167" s="1098"/>
      <c r="AC167" s="1098"/>
      <c r="AD167" s="1098"/>
      <c r="AE167" s="1098"/>
      <c r="AF167" s="1098"/>
      <c r="AG167" s="1098"/>
      <c r="AH167" s="1098"/>
      <c r="AI167" s="1098"/>
      <c r="AJ167" s="1098"/>
    </row>
    <row r="168" spans="1:36" x14ac:dyDescent="0.25">
      <c r="A168" s="1098"/>
      <c r="B168" s="1098"/>
      <c r="C168" s="1098">
        <f t="shared" si="85"/>
        <v>10</v>
      </c>
      <c r="D168" s="1102" t="str">
        <f>+Q110</f>
        <v>Debt Interest</v>
      </c>
      <c r="E168" s="1115">
        <f ca="1">+W48+C168/10000000000</f>
        <v>9.4320067203252769E-2</v>
      </c>
      <c r="F168" s="1102">
        <f t="shared" ca="1" si="80"/>
        <v>6</v>
      </c>
      <c r="G168" s="1107">
        <v>10</v>
      </c>
      <c r="H168" s="1102" t="str">
        <f t="shared" ca="1" si="81"/>
        <v>Decommissioning Costs</v>
      </c>
      <c r="I168" s="1117">
        <f t="shared" ca="1" si="82"/>
        <v>1.5567912435341155E-3</v>
      </c>
      <c r="J168" s="1098"/>
      <c r="K168" s="1102" t="str">
        <f t="shared" ca="1" si="76"/>
        <v>Decommissioning Costs</v>
      </c>
      <c r="L168" s="1102"/>
      <c r="M168" s="1115">
        <f t="shared" ca="1" si="83"/>
        <v>1.5567912435341155E-3</v>
      </c>
      <c r="N168" s="1102" t="str">
        <f t="shared" ca="1" si="84"/>
        <v>Decommissioning Costs</v>
      </c>
      <c r="O168" s="1098"/>
      <c r="P168" s="1098"/>
      <c r="Q168" s="1098"/>
      <c r="R168" s="1098"/>
      <c r="S168" s="1098"/>
      <c r="T168" s="1098"/>
      <c r="U168" s="1098"/>
      <c r="V168" s="1098"/>
      <c r="W168" s="1098"/>
      <c r="X168" s="1098"/>
      <c r="Y168" s="1098"/>
      <c r="Z168" s="1098"/>
      <c r="AA168" s="1098"/>
      <c r="AB168" s="1098"/>
      <c r="AC168" s="1098"/>
      <c r="AD168" s="1098"/>
      <c r="AE168" s="1098"/>
      <c r="AF168" s="1098"/>
      <c r="AG168" s="1098"/>
      <c r="AH168" s="1098"/>
      <c r="AI168" s="1098"/>
      <c r="AJ168" s="1098"/>
    </row>
    <row r="169" spans="1:36" x14ac:dyDescent="0.25">
      <c r="A169" s="1098"/>
      <c r="B169" s="1098"/>
      <c r="C169" s="1098">
        <f t="shared" si="85"/>
        <v>11</v>
      </c>
      <c r="D169" s="1102" t="str">
        <f>+R110</f>
        <v>Taxes</v>
      </c>
      <c r="E169" s="1115">
        <f ca="1">+X48+C169/10000000000</f>
        <v>2.7743523930533018E-2</v>
      </c>
      <c r="F169" s="1102">
        <f t="shared" ca="1" si="80"/>
        <v>7</v>
      </c>
      <c r="G169" s="1107">
        <v>11</v>
      </c>
      <c r="H169" s="1102" t="str">
        <f t="shared" ca="1" si="81"/>
        <v>Other Non-Depreciable Capital Costs</v>
      </c>
      <c r="I169" s="1117">
        <f t="shared" ca="1" si="82"/>
        <v>8.987958215351488E-4</v>
      </c>
      <c r="J169" s="1098"/>
      <c r="K169" s="1102" t="str">
        <f t="shared" ca="1" si="76"/>
        <v>Other Non-Depreciable Capital Costs</v>
      </c>
      <c r="L169" s="1102"/>
      <c r="M169" s="1115">
        <f t="shared" ca="1" si="83"/>
        <v>8.987958215351488E-4</v>
      </c>
      <c r="N169" s="1102" t="str">
        <f t="shared" ca="1" si="84"/>
        <v>Other Non-Depreciable Capital Costs</v>
      </c>
      <c r="O169" s="1098"/>
      <c r="P169" s="1098"/>
      <c r="Q169" s="1098"/>
      <c r="R169" s="1098"/>
      <c r="S169" s="1098"/>
      <c r="T169" s="1098"/>
      <c r="U169" s="1098"/>
      <c r="V169" s="1098"/>
      <c r="W169" s="1098"/>
      <c r="X169" s="1098"/>
      <c r="Y169" s="1098"/>
      <c r="Z169" s="1098"/>
      <c r="AA169" s="1098"/>
      <c r="AB169" s="1098"/>
      <c r="AC169" s="1098"/>
      <c r="AD169" s="1098"/>
      <c r="AE169" s="1098"/>
      <c r="AF169" s="1098"/>
      <c r="AG169" s="1098"/>
      <c r="AH169" s="1098"/>
      <c r="AI169" s="1098"/>
      <c r="AJ169" s="1098"/>
    </row>
    <row r="170" spans="1:36" x14ac:dyDescent="0.25">
      <c r="A170" s="1098"/>
      <c r="B170" s="1098"/>
      <c r="C170" s="1098">
        <f t="shared" si="85"/>
        <v>12</v>
      </c>
      <c r="D170" s="1102" t="str">
        <f>+S110</f>
        <v>Principal Payment</v>
      </c>
      <c r="E170" s="1115">
        <f ca="1">+Y48+C170/10000000000</f>
        <v>4.2370737688043553E-3</v>
      </c>
      <c r="F170" s="1102">
        <f t="shared" ca="1" si="80"/>
        <v>9</v>
      </c>
      <c r="G170" s="1107">
        <v>12</v>
      </c>
      <c r="H170" s="1102" t="str">
        <f t="shared" ca="1" si="81"/>
        <v>Other Raw Material Cost</v>
      </c>
      <c r="I170" s="1117">
        <f t="shared" ca="1" si="82"/>
        <v>0</v>
      </c>
      <c r="J170" s="1098"/>
      <c r="K170" s="1102" t="str">
        <f t="shared" ca="1" si="76"/>
        <v>Other Raw Material Cost</v>
      </c>
      <c r="L170" s="1102"/>
      <c r="M170" s="1115">
        <f t="shared" ca="1" si="83"/>
        <v>0</v>
      </c>
      <c r="N170" s="1102" t="str">
        <f t="shared" ca="1" si="84"/>
        <v/>
      </c>
      <c r="O170" s="1098"/>
      <c r="P170" s="1098"/>
      <c r="Q170" s="1098"/>
      <c r="R170" s="1098"/>
      <c r="S170" s="1098"/>
      <c r="T170" s="1098"/>
      <c r="U170" s="1098"/>
      <c r="V170" s="1098"/>
      <c r="W170" s="1098"/>
      <c r="X170" s="1098"/>
      <c r="Y170" s="1098"/>
      <c r="Z170" s="1098"/>
      <c r="AA170" s="1098"/>
      <c r="AB170" s="1098"/>
      <c r="AC170" s="1098"/>
      <c r="AD170" s="1098"/>
      <c r="AE170" s="1098"/>
      <c r="AF170" s="1098"/>
      <c r="AG170" s="1098"/>
      <c r="AH170" s="1098"/>
      <c r="AI170" s="1098"/>
      <c r="AJ170" s="1098"/>
    </row>
    <row r="171" spans="1:36" ht="13" x14ac:dyDescent="0.3">
      <c r="A171" s="1098"/>
      <c r="B171" s="1098"/>
      <c r="C171" s="1098"/>
      <c r="D171" s="1098"/>
      <c r="E171" s="1098"/>
      <c r="F171" s="1098"/>
      <c r="G171" s="1098"/>
      <c r="H171" s="1100"/>
      <c r="I171" s="1098"/>
      <c r="J171" s="1098"/>
      <c r="K171" s="1101" t="s">
        <v>58</v>
      </c>
      <c r="L171" s="1115">
        <f ca="1">+SUM(L155:L170)</f>
        <v>1.5597801247902889</v>
      </c>
      <c r="M171" s="1115">
        <f ca="1">+SUM(M155:M170)</f>
        <v>1.5597801247902876</v>
      </c>
      <c r="N171" s="1102" t="str">
        <f t="shared" ref="N171" ca="1" si="86">+IF(M171&lt;0.01,K171,"")</f>
        <v/>
      </c>
      <c r="O171" s="1098"/>
      <c r="P171" s="1098"/>
      <c r="Q171" s="1098"/>
      <c r="R171" s="1098"/>
      <c r="S171" s="1098"/>
      <c r="T171" s="1098"/>
      <c r="U171" s="1098"/>
      <c r="V171" s="1098"/>
      <c r="W171" s="1098"/>
      <c r="X171" s="1098"/>
      <c r="Y171" s="1098"/>
      <c r="Z171" s="1098"/>
      <c r="AA171" s="1098"/>
      <c r="AB171" s="1098"/>
      <c r="AC171" s="1098"/>
      <c r="AD171" s="1098"/>
      <c r="AE171" s="1098"/>
      <c r="AF171" s="1098"/>
      <c r="AG171" s="1098"/>
      <c r="AH171" s="1098"/>
      <c r="AI171" s="1098"/>
      <c r="AJ171" s="1098"/>
    </row>
    <row r="172" spans="1:36" x14ac:dyDescent="0.25">
      <c r="A172" s="1098"/>
      <c r="B172" s="1098"/>
      <c r="C172" s="1098"/>
      <c r="E172" s="1098"/>
      <c r="F172" s="1098"/>
      <c r="G172" s="1098"/>
      <c r="H172" s="1098"/>
      <c r="I172" s="1098"/>
      <c r="J172" s="1098"/>
      <c r="K172" s="1098"/>
      <c r="L172" s="1098"/>
      <c r="M172" s="1098"/>
      <c r="N172" s="1098"/>
      <c r="O172" s="1098"/>
      <c r="P172" s="1098"/>
      <c r="Q172" s="1098"/>
      <c r="R172" s="1098"/>
      <c r="S172" s="1098"/>
      <c r="T172" s="1098"/>
      <c r="U172" s="1098"/>
      <c r="V172" s="1098"/>
      <c r="W172" s="1098"/>
      <c r="X172" s="1098"/>
      <c r="Y172" s="1098"/>
      <c r="Z172" s="1098"/>
      <c r="AA172" s="1098"/>
      <c r="AB172" s="1098"/>
      <c r="AC172" s="1098"/>
      <c r="AD172" s="1098"/>
      <c r="AE172" s="1098"/>
      <c r="AF172" s="1098"/>
      <c r="AG172" s="1098"/>
      <c r="AH172" s="1098"/>
      <c r="AI172" s="1098"/>
      <c r="AJ172" s="1098"/>
    </row>
    <row r="173" spans="1:36" x14ac:dyDescent="0.25">
      <c r="A173" s="1098"/>
      <c r="B173" s="1098"/>
      <c r="C173" s="1098"/>
      <c r="D173" s="1098"/>
      <c r="E173" s="1098"/>
      <c r="F173" s="1098"/>
      <c r="G173" s="1098"/>
      <c r="H173" s="1098"/>
      <c r="I173" s="1098"/>
      <c r="J173" s="1098"/>
      <c r="K173" s="1098"/>
      <c r="L173" s="1098"/>
      <c r="M173" s="1098"/>
      <c r="N173" s="1098"/>
      <c r="O173" s="1098"/>
      <c r="P173" s="1098"/>
      <c r="Q173" s="1098"/>
      <c r="R173" s="1098"/>
      <c r="S173" s="1098"/>
      <c r="T173" s="1098"/>
      <c r="U173" s="1098"/>
      <c r="V173" s="1098"/>
      <c r="W173" s="1098"/>
      <c r="X173" s="1098"/>
      <c r="Y173" s="1098"/>
      <c r="Z173" s="1098"/>
      <c r="AA173" s="1098"/>
      <c r="AB173" s="1098"/>
      <c r="AC173" s="1098"/>
      <c r="AD173" s="1098"/>
      <c r="AE173" s="1098"/>
      <c r="AF173" s="1098"/>
      <c r="AG173" s="1098"/>
      <c r="AH173" s="1098"/>
      <c r="AI173" s="1098"/>
      <c r="AJ173" s="1098"/>
    </row>
    <row r="174" spans="1:36" ht="13" x14ac:dyDescent="0.3">
      <c r="A174" s="1098"/>
      <c r="B174" s="1100" t="s">
        <v>1184</v>
      </c>
      <c r="C174" s="1098"/>
      <c r="D174" s="1099" t="s">
        <v>1196</v>
      </c>
      <c r="E174" s="1099" t="s">
        <v>1194</v>
      </c>
      <c r="F174" s="1099" t="s">
        <v>1197</v>
      </c>
      <c r="G174" s="1099" t="s">
        <v>1195</v>
      </c>
      <c r="H174" s="1098"/>
      <c r="I174" s="1098"/>
      <c r="J174" s="1098"/>
      <c r="K174" s="1098"/>
      <c r="L174" s="1098"/>
      <c r="M174" s="1099"/>
      <c r="N174" s="1099"/>
      <c r="O174" s="1098"/>
      <c r="P174" s="1098"/>
      <c r="Q174" s="1098"/>
      <c r="R174" s="1098"/>
      <c r="S174" s="1098"/>
      <c r="T174" s="1098"/>
      <c r="U174" s="1098"/>
      <c r="V174" s="1098"/>
      <c r="W174" s="1098"/>
      <c r="X174" s="1098"/>
      <c r="Y174" s="1098"/>
      <c r="Z174" s="1098"/>
      <c r="AA174" s="1098"/>
      <c r="AB174" s="1098"/>
      <c r="AC174" s="1098"/>
      <c r="AD174" s="1098"/>
      <c r="AE174" s="1098"/>
      <c r="AF174" s="1098"/>
      <c r="AG174" s="1098"/>
      <c r="AH174" s="1098"/>
      <c r="AI174" s="1098"/>
      <c r="AJ174" s="1098"/>
    </row>
    <row r="175" spans="1:36" x14ac:dyDescent="0.25">
      <c r="A175" s="1098"/>
      <c r="B175">
        <v>0</v>
      </c>
      <c r="C175" s="1101" t="s">
        <v>1185</v>
      </c>
      <c r="D175" s="1115">
        <f>+K51</f>
        <v>1.5582197865293927</v>
      </c>
      <c r="E175" s="1115">
        <f>+D175</f>
        <v>1.5582197865293927</v>
      </c>
      <c r="F175" s="1115"/>
      <c r="G175" s="1115"/>
      <c r="H175" s="1098"/>
      <c r="I175" s="1098"/>
      <c r="J175" s="1098"/>
      <c r="K175" s="1098"/>
      <c r="L175" s="1098"/>
      <c r="M175" s="1232"/>
      <c r="N175" s="1232"/>
      <c r="O175" s="1098"/>
      <c r="P175" s="1098"/>
      <c r="Q175" s="1098"/>
      <c r="R175" s="1098"/>
      <c r="S175" s="1098"/>
      <c r="T175" s="1098"/>
      <c r="U175" s="1098"/>
      <c r="V175" s="1098"/>
      <c r="W175" s="1098"/>
      <c r="X175" s="1098"/>
      <c r="Y175" s="1098"/>
      <c r="Z175" s="1098"/>
      <c r="AA175" s="1098"/>
      <c r="AB175" s="1098"/>
      <c r="AC175" s="1098"/>
      <c r="AD175" s="1098"/>
      <c r="AE175" s="1098"/>
      <c r="AF175" s="1098"/>
      <c r="AG175" s="1098"/>
      <c r="AH175" s="1098"/>
      <c r="AI175" s="1098"/>
      <c r="AJ175" s="1098"/>
    </row>
    <row r="176" spans="1:36" x14ac:dyDescent="0.25">
      <c r="A176" s="1098"/>
      <c r="B176" s="1098">
        <v>1</v>
      </c>
      <c r="C176" s="1102" t="str">
        <f ca="1">OFFSET($B$50,0,MATCH($B176,$C$72:$I$72,0))&amp;
IF(OFFSET($F$2,MATCH($B176,$C$72:$I$72,0),0)&lt;1,
"
= "&amp;OFFSET($F$2,MATCH($B176,$C$72:$I$72,0),0)*100-100,
"
= +"&amp;OFFSET($F$2,MATCH($B176,$C$72:$I$72,0),0)*100-100)
&amp;"%"</f>
        <v>Feedstock consumption (% of most likely value)
= -5%</v>
      </c>
      <c r="D176" s="1115">
        <f>+K66</f>
        <v>1.5080814671972416</v>
      </c>
      <c r="E176" s="1115">
        <f t="shared" ref="E176:E181" si="87">+E175+G175-F176</f>
        <v>1.5080814671972416</v>
      </c>
      <c r="F176" s="1115">
        <f>+MAX(D175-D176,0)</f>
        <v>5.0138319332151182E-2</v>
      </c>
      <c r="G176" s="1115">
        <f>+MAX(D176-D175,0)</f>
        <v>0</v>
      </c>
      <c r="H176" s="1098"/>
      <c r="I176" s="1098"/>
      <c r="J176" s="1098"/>
      <c r="K176" s="1098"/>
      <c r="L176" s="1098"/>
      <c r="M176" s="1232"/>
      <c r="N176" s="1232"/>
      <c r="O176" s="1098"/>
      <c r="P176" s="1098"/>
      <c r="Q176" s="1098"/>
      <c r="R176" s="1098"/>
      <c r="S176" s="1098"/>
      <c r="T176" s="1098"/>
      <c r="U176" s="1098"/>
      <c r="V176" s="1098"/>
      <c r="W176" s="1098"/>
      <c r="X176" s="1098"/>
      <c r="Y176" s="1098"/>
      <c r="Z176" s="1098"/>
      <c r="AA176" s="1098"/>
      <c r="AB176" s="1098"/>
      <c r="AC176" s="1098"/>
      <c r="AD176" s="1098"/>
      <c r="AE176" s="1098"/>
      <c r="AF176" s="1098"/>
      <c r="AG176" s="1098"/>
      <c r="AH176" s="1098"/>
      <c r="AI176" s="1098"/>
      <c r="AJ176" s="1098"/>
    </row>
    <row r="177" spans="1:36" x14ac:dyDescent="0.25">
      <c r="A177" s="1098"/>
      <c r="B177" s="1098">
        <v>2</v>
      </c>
      <c r="C177" s="1102" t="str">
        <f ca="1">OFFSET($B$50,0,MATCH($B177,$C$72:$I$72,0))&amp;
IF(OFFSET($F$2,MATCH($B177,$C$72:$I$72,0),0)&lt;1,
"
= "&amp;OFFSET($F$2,MATCH($B177,$C$72:$I$72,0),0)*100-100,
"
= +"&amp;OFFSET($F$2,MATCH($B177,$C$72:$I$72,0),0)*100-100)
&amp;"%"</f>
        <v>Operating capacity factor
= +5%</v>
      </c>
      <c r="D177" s="1115">
        <f>+K67</f>
        <v>1.4849455982621349</v>
      </c>
      <c r="E177" s="1115">
        <f t="shared" si="87"/>
        <v>1.4849455982621349</v>
      </c>
      <c r="F177" s="1115">
        <f>+MAX(D176-D177,0)</f>
        <v>2.3135868935106663E-2</v>
      </c>
      <c r="G177" s="1115">
        <f>+MAX(D177-D176,0)</f>
        <v>0</v>
      </c>
      <c r="H177" s="1098"/>
      <c r="I177" s="1098"/>
      <c r="J177" s="1098"/>
      <c r="K177" s="1098"/>
      <c r="L177" s="1098"/>
      <c r="M177" s="1232"/>
      <c r="N177" s="1232"/>
      <c r="O177" s="1098"/>
      <c r="P177" s="1098"/>
      <c r="Q177" s="1098"/>
      <c r="R177" s="1098"/>
      <c r="S177" s="1098"/>
      <c r="T177" s="1098"/>
      <c r="U177" s="1098"/>
      <c r="V177" s="1098"/>
      <c r="W177" s="1098"/>
      <c r="X177" s="1098"/>
      <c r="Y177" s="1098"/>
      <c r="Z177" s="1098"/>
      <c r="AA177" s="1098"/>
      <c r="AB177" s="1098"/>
      <c r="AC177" s="1098"/>
      <c r="AD177" s="1098"/>
      <c r="AE177" s="1098"/>
      <c r="AF177" s="1098"/>
      <c r="AG177" s="1098"/>
      <c r="AH177" s="1098"/>
      <c r="AI177" s="1098"/>
      <c r="AJ177" s="1098"/>
    </row>
    <row r="178" spans="1:36" x14ac:dyDescent="0.25">
      <c r="A178" s="1098"/>
      <c r="B178" s="1098">
        <v>3</v>
      </c>
      <c r="C178" s="1102" t="str">
        <f ca="1">OFFSET($B$50,0,MATCH($B178,$C$72:$I$72,0))&amp;
IF(OFFSET($F$2,MATCH($B178,$C$72:$I$72,0),0)&lt;1,
"
= "&amp;OFFSET($F$2,MATCH($B178,$C$72:$I$72,0),0)*100-100,
"
= +"&amp;OFFSET($F$2,MATCH($B178,$C$72:$I$72,0),0)*100-100)
&amp;"%"</f>
        <v>Total capital investment ($)
= -5%</v>
      </c>
      <c r="D178" s="1115">
        <f>+K68</f>
        <v>1.4695032556748413</v>
      </c>
      <c r="E178" s="1115">
        <f t="shared" si="87"/>
        <v>1.4695032556748413</v>
      </c>
      <c r="F178" s="1115">
        <f>+MAX(D177-D178,0)</f>
        <v>1.54423425872936E-2</v>
      </c>
      <c r="G178" s="1115">
        <f>+MAX(D178-D177,0)</f>
        <v>0</v>
      </c>
      <c r="H178" s="1098"/>
      <c r="I178" s="1098"/>
      <c r="J178" s="1098"/>
      <c r="K178" s="1098"/>
      <c r="L178" s="1098"/>
      <c r="M178" s="1232"/>
      <c r="N178" s="1232"/>
      <c r="O178" s="1098"/>
      <c r="P178" s="1098"/>
      <c r="Q178" s="1098"/>
      <c r="R178" s="1098"/>
      <c r="S178" s="1098"/>
      <c r="T178" s="1098"/>
      <c r="U178" s="1098"/>
      <c r="V178" s="1098"/>
      <c r="W178" s="1098"/>
      <c r="X178" s="1098"/>
      <c r="Y178" s="1098"/>
      <c r="Z178" s="1098"/>
      <c r="AA178" s="1098"/>
      <c r="AB178" s="1098"/>
      <c r="AC178" s="1098"/>
      <c r="AD178" s="1098"/>
      <c r="AE178" s="1098"/>
      <c r="AF178" s="1098"/>
      <c r="AG178" s="1098"/>
      <c r="AH178" s="1098"/>
      <c r="AI178" s="1098"/>
      <c r="AJ178" s="1098"/>
    </row>
    <row r="179" spans="1:36" x14ac:dyDescent="0.25">
      <c r="A179" s="1098"/>
      <c r="B179" s="1098">
        <v>4</v>
      </c>
      <c r="C179" s="1102" t="str">
        <f ca="1">OFFSET($B$50,0,MATCH($B179,$C$72:$I$72,0))&amp;
IF(OFFSET($F$2,MATCH($B179,$C$72:$I$72,0),0)&lt;1,
"
= "&amp;OFFSET($F$2,MATCH($B179,$C$72:$I$72,0),0)*100-100,
"
= +"&amp;OFFSET($F$2,MATCH($B179,$C$72:$I$72,0),0)*100-100)
&amp;"%"</f>
        <v>Total fixed operating cost ($/year)
= -5%</v>
      </c>
      <c r="D179" s="1115">
        <f>+K69</f>
        <v>1.4639005088269184</v>
      </c>
      <c r="E179" s="1115">
        <f t="shared" si="87"/>
        <v>1.4639005088269184</v>
      </c>
      <c r="F179" s="1115">
        <f>+MAX(D178-D179,0)</f>
        <v>5.6027468479229459E-3</v>
      </c>
      <c r="G179" s="1115">
        <f>+MAX(D179-D178,0)</f>
        <v>0</v>
      </c>
      <c r="H179" s="1098"/>
      <c r="I179" s="1098"/>
      <c r="J179" s="1098"/>
      <c r="K179" s="1098"/>
      <c r="L179" s="1098"/>
      <c r="M179" s="1232"/>
      <c r="N179" s="1232"/>
      <c r="O179" s="1098"/>
      <c r="P179" s="1098"/>
      <c r="Q179" s="1098"/>
      <c r="R179" s="1098"/>
      <c r="S179" s="1098"/>
      <c r="T179" s="1098"/>
      <c r="U179" s="1098"/>
      <c r="V179" s="1098"/>
      <c r="W179" s="1098"/>
      <c r="X179" s="1098"/>
      <c r="Y179" s="1098"/>
      <c r="Z179" s="1098"/>
      <c r="AA179" s="1098"/>
      <c r="AB179" s="1098"/>
      <c r="AC179" s="1098"/>
      <c r="AD179" s="1098"/>
      <c r="AE179" s="1098"/>
      <c r="AF179" s="1098"/>
      <c r="AG179" s="1098"/>
      <c r="AH179" s="1098"/>
      <c r="AI179" s="1098"/>
      <c r="AJ179" s="1098"/>
    </row>
    <row r="180" spans="1:36" x14ac:dyDescent="0.25">
      <c r="A180" s="1098"/>
      <c r="B180" s="1098">
        <v>5</v>
      </c>
      <c r="C180" s="1102" t="str">
        <f ca="1">OFFSET($B$50,0,MATCH($B180,$C$72:$I$72,0))&amp;
IF(OFFSET($F$2,MATCH($B180,$C$72:$I$72,0),0)&lt;1,
"
= "&amp;OFFSET($F$2,MATCH($B180,$C$72:$I$72,0),0)*100-100,
"
= +"&amp;OFFSET($F$2,MATCH($B180,$C$72:$I$72,0),0)*100-100)
&amp;"%"</f>
        <v>Utilities consumption (% of most likely value)
= -5%</v>
      </c>
      <c r="D180" s="1115">
        <f>+K70</f>
        <v>1.4616049728262039</v>
      </c>
      <c r="E180" s="1115">
        <f t="shared" si="87"/>
        <v>1.4616049728262039</v>
      </c>
      <c r="F180" s="1115">
        <f>+MAX(D179-D180,0)</f>
        <v>2.2955360007144154E-3</v>
      </c>
      <c r="G180" s="1115">
        <f>+MAX(D180-D179,0)</f>
        <v>0</v>
      </c>
      <c r="H180" s="1098"/>
      <c r="I180" s="1098"/>
      <c r="J180" s="1098"/>
      <c r="K180" s="1098"/>
      <c r="L180" s="1098"/>
      <c r="M180" s="1232"/>
      <c r="N180" s="1232"/>
      <c r="O180" s="1098"/>
      <c r="P180" s="1098"/>
      <c r="Q180" s="1098"/>
      <c r="R180" s="1098"/>
      <c r="S180" s="1098"/>
      <c r="T180" s="1098"/>
      <c r="U180" s="1098"/>
      <c r="V180" s="1098"/>
      <c r="W180" s="1098"/>
      <c r="X180" s="1098"/>
      <c r="Y180" s="1098"/>
      <c r="Z180" s="1098"/>
      <c r="AA180" s="1098"/>
      <c r="AB180" s="1098"/>
      <c r="AC180" s="1098"/>
      <c r="AD180" s="1098"/>
      <c r="AE180" s="1098"/>
      <c r="AF180" s="1098"/>
      <c r="AG180" s="1098"/>
      <c r="AH180" s="1098"/>
      <c r="AI180" s="1098"/>
      <c r="AJ180" s="1098"/>
    </row>
    <row r="181" spans="1:36" x14ac:dyDescent="0.25">
      <c r="A181" s="1098"/>
      <c r="B181" s="1098">
        <v>6</v>
      </c>
      <c r="C181" s="1101" t="s">
        <v>1192</v>
      </c>
      <c r="D181" s="1115">
        <f>+K70</f>
        <v>1.4616049728262039</v>
      </c>
      <c r="E181" s="1115">
        <f t="shared" si="87"/>
        <v>1.4616049728262039</v>
      </c>
      <c r="F181" s="1115"/>
      <c r="G181" s="1115"/>
      <c r="H181" s="1098"/>
      <c r="I181" s="1098"/>
      <c r="J181" s="1098"/>
      <c r="K181" s="1098"/>
      <c r="L181" s="1098"/>
      <c r="M181" s="1232"/>
      <c r="N181" s="1232"/>
      <c r="O181" s="1098"/>
      <c r="P181" s="1098"/>
      <c r="Q181" s="1098"/>
      <c r="R181" s="1098"/>
      <c r="S181" s="1098"/>
      <c r="T181" s="1098"/>
      <c r="U181" s="1098"/>
      <c r="V181" s="1098"/>
      <c r="W181" s="1098"/>
      <c r="X181" s="1098"/>
      <c r="Y181" s="1098"/>
      <c r="Z181" s="1098"/>
      <c r="AA181" s="1098"/>
      <c r="AB181" s="1098"/>
      <c r="AC181" s="1098"/>
      <c r="AD181" s="1098"/>
      <c r="AE181" s="1098"/>
      <c r="AF181" s="1098"/>
      <c r="AG181" s="1098"/>
      <c r="AH181" s="1098"/>
      <c r="AI181" s="1098"/>
      <c r="AJ181" s="1098"/>
    </row>
    <row r="182" spans="1:36" x14ac:dyDescent="0.25">
      <c r="A182" s="1098"/>
      <c r="B182" s="1098"/>
      <c r="C182" s="1098"/>
      <c r="D182" s="1098"/>
      <c r="E182" s="1098"/>
      <c r="F182" s="1098"/>
      <c r="G182" s="1098"/>
      <c r="H182" s="1098"/>
      <c r="I182" s="1098"/>
      <c r="J182" s="1098"/>
      <c r="K182" s="1098"/>
      <c r="L182" s="1098"/>
      <c r="M182" s="1098"/>
      <c r="N182" s="1098"/>
      <c r="O182" s="1098"/>
      <c r="P182" s="1098"/>
      <c r="Q182" s="1098"/>
      <c r="R182" s="1098"/>
      <c r="S182" s="1098"/>
      <c r="T182" s="1098"/>
      <c r="U182" s="1098"/>
      <c r="V182" s="1098"/>
      <c r="W182" s="1098"/>
      <c r="X182" s="1098"/>
      <c r="Y182" s="1098"/>
      <c r="Z182" s="1098"/>
      <c r="AA182" s="1098"/>
      <c r="AB182" s="1098"/>
      <c r="AC182" s="1098"/>
      <c r="AD182" s="1098"/>
      <c r="AE182" s="1098"/>
      <c r="AF182" s="1098"/>
      <c r="AG182" s="1098"/>
      <c r="AH182" s="1098"/>
      <c r="AI182" s="1098"/>
      <c r="AJ182" s="1098"/>
    </row>
    <row r="183" spans="1:36" x14ac:dyDescent="0.25">
      <c r="A183" s="1098"/>
      <c r="B183" s="1098"/>
      <c r="C183" s="1098"/>
      <c r="D183" s="1098"/>
      <c r="E183" s="1098"/>
      <c r="F183" s="1098"/>
      <c r="G183" s="1098"/>
      <c r="H183" s="1098"/>
      <c r="I183" s="1098"/>
      <c r="J183" s="1098"/>
      <c r="K183" s="1098"/>
      <c r="L183" s="1098"/>
      <c r="M183" s="1098"/>
      <c r="N183" s="1098"/>
      <c r="O183" s="1098"/>
      <c r="P183" s="1098"/>
      <c r="Q183" s="1098"/>
      <c r="R183" s="1098"/>
      <c r="S183" s="1098"/>
      <c r="T183" s="1098"/>
      <c r="U183" s="1098"/>
      <c r="V183" s="1098"/>
      <c r="W183" s="1098"/>
      <c r="X183" s="1098"/>
      <c r="Y183" s="1098"/>
      <c r="Z183" s="1098"/>
      <c r="AA183" s="1098"/>
      <c r="AB183" s="1098"/>
      <c r="AC183" s="1098"/>
      <c r="AD183" s="1098"/>
      <c r="AE183" s="1098"/>
      <c r="AF183" s="1098"/>
      <c r="AG183" s="1098"/>
      <c r="AH183" s="1098"/>
      <c r="AI183" s="1098"/>
      <c r="AJ183" s="1098"/>
    </row>
    <row r="184" spans="1:36" x14ac:dyDescent="0.25">
      <c r="A184" s="1098"/>
      <c r="B184" s="1098"/>
      <c r="C184" s="1098"/>
      <c r="D184" s="1098"/>
      <c r="E184" s="1098"/>
      <c r="F184" s="1098"/>
      <c r="G184" s="1098"/>
      <c r="H184" s="1098"/>
      <c r="I184" s="1098"/>
      <c r="J184" s="1098"/>
      <c r="K184" s="1098"/>
      <c r="L184" s="1098"/>
      <c r="M184" s="1098"/>
      <c r="N184" s="1098"/>
      <c r="O184" s="1098"/>
      <c r="P184" s="1098"/>
      <c r="Q184" s="1098"/>
      <c r="R184" s="1098"/>
      <c r="S184" s="1098"/>
      <c r="T184" s="1098"/>
      <c r="U184" s="1098"/>
      <c r="V184" s="1098"/>
      <c r="W184" s="1098"/>
      <c r="X184" s="1098"/>
      <c r="Y184" s="1098"/>
      <c r="Z184" s="1098"/>
      <c r="AA184" s="1098"/>
      <c r="AB184" s="1098"/>
      <c r="AC184" s="1098"/>
      <c r="AD184" s="1098"/>
      <c r="AE184" s="1098"/>
      <c r="AF184" s="1098"/>
      <c r="AG184" s="1098"/>
      <c r="AH184" s="1098"/>
      <c r="AI184" s="1098"/>
      <c r="AJ184" s="1098"/>
    </row>
    <row r="185" spans="1:36" x14ac:dyDescent="0.25">
      <c r="A185" s="1098"/>
      <c r="B185" s="1098"/>
      <c r="C185" s="1098"/>
      <c r="D185" s="1098"/>
      <c r="E185" s="1098"/>
      <c r="F185" s="1098"/>
      <c r="G185" s="1098"/>
      <c r="H185" s="1098"/>
      <c r="I185" s="1098"/>
      <c r="J185" s="1098"/>
      <c r="K185" s="1098"/>
      <c r="L185" s="1098"/>
      <c r="M185" s="1098"/>
      <c r="N185" s="1098"/>
      <c r="O185" s="1098"/>
      <c r="P185" s="1098"/>
      <c r="Q185" s="1098"/>
      <c r="R185" s="1098"/>
      <c r="S185" s="1098"/>
      <c r="T185" s="1098"/>
      <c r="U185" s="1098"/>
      <c r="V185" s="1098"/>
      <c r="W185" s="1098"/>
      <c r="X185" s="1098"/>
      <c r="Y185" s="1098"/>
      <c r="Z185" s="1098"/>
      <c r="AA185" s="1098"/>
      <c r="AB185" s="1098"/>
      <c r="AC185" s="1098"/>
      <c r="AD185" s="1098"/>
      <c r="AE185" s="1098"/>
      <c r="AF185" s="1098"/>
      <c r="AG185" s="1098"/>
      <c r="AH185" s="1098"/>
      <c r="AI185" s="1098"/>
      <c r="AJ185" s="1098"/>
    </row>
    <row r="186" spans="1:36" x14ac:dyDescent="0.25">
      <c r="A186" s="1098"/>
      <c r="B186" s="1098"/>
      <c r="C186" s="1098"/>
      <c r="D186" s="1098"/>
      <c r="E186" s="1098"/>
      <c r="F186" s="1098"/>
      <c r="G186" s="1098"/>
      <c r="H186" s="1098"/>
      <c r="I186" s="1098"/>
      <c r="J186" s="1098"/>
      <c r="K186" s="1098"/>
      <c r="L186" s="1098"/>
      <c r="M186" s="1098"/>
      <c r="N186" s="1098"/>
      <c r="O186" s="1098"/>
      <c r="P186" s="1098"/>
      <c r="Q186" s="1098"/>
      <c r="R186" s="1098"/>
      <c r="S186" s="1098"/>
      <c r="T186" s="1098"/>
      <c r="U186" s="1098"/>
      <c r="V186" s="1098"/>
      <c r="W186" s="1098"/>
      <c r="X186" s="1098"/>
      <c r="Y186" s="1098"/>
      <c r="Z186" s="1098"/>
      <c r="AA186" s="1098"/>
      <c r="AB186" s="1098"/>
      <c r="AC186" s="1098"/>
      <c r="AD186" s="1098"/>
      <c r="AE186" s="1098"/>
      <c r="AF186" s="1098"/>
      <c r="AG186" s="1098"/>
      <c r="AH186" s="1098"/>
      <c r="AI186" s="1098"/>
      <c r="AJ186" s="1098"/>
    </row>
    <row r="187" spans="1:36" x14ac:dyDescent="0.25">
      <c r="A187" s="1098"/>
      <c r="B187" s="1098"/>
      <c r="C187" s="1098"/>
      <c r="D187" s="1098"/>
      <c r="E187" s="1098"/>
      <c r="F187" s="1098"/>
      <c r="G187" s="1098"/>
      <c r="H187" s="1098"/>
      <c r="I187" s="1098"/>
      <c r="J187" s="1098"/>
      <c r="K187" s="1098"/>
      <c r="L187" s="1098"/>
      <c r="M187" s="1098"/>
      <c r="N187" s="1098"/>
      <c r="O187" s="1098"/>
      <c r="P187" s="1098"/>
      <c r="Q187" s="1098"/>
      <c r="R187" s="1098"/>
      <c r="S187" s="1098"/>
      <c r="T187" s="1098"/>
      <c r="U187" s="1098"/>
      <c r="V187" s="1098"/>
      <c r="W187" s="1098"/>
      <c r="X187" s="1098"/>
      <c r="Y187" s="1098"/>
      <c r="Z187" s="1098"/>
      <c r="AA187" s="1098"/>
      <c r="AB187" s="1098"/>
      <c r="AC187" s="1098"/>
      <c r="AD187" s="1098"/>
      <c r="AE187" s="1098"/>
      <c r="AF187" s="1098"/>
      <c r="AG187" s="1098"/>
      <c r="AH187" s="1098"/>
      <c r="AI187" s="1098"/>
      <c r="AJ187" s="1098"/>
    </row>
    <row r="188" spans="1:36" x14ac:dyDescent="0.25">
      <c r="A188" s="1098"/>
      <c r="B188" s="1098"/>
      <c r="C188" s="1098"/>
      <c r="D188" s="1098"/>
      <c r="E188" s="1098"/>
      <c r="F188" s="1098"/>
      <c r="G188" s="1098"/>
      <c r="H188" s="1098"/>
      <c r="I188" s="1098"/>
      <c r="J188" s="1098"/>
      <c r="K188" s="1098"/>
      <c r="L188" s="1098"/>
      <c r="M188" s="1098"/>
      <c r="N188" s="1098"/>
      <c r="O188" s="1098"/>
      <c r="P188" s="1098"/>
      <c r="Q188" s="1098"/>
      <c r="R188" s="1098"/>
      <c r="S188" s="1098"/>
      <c r="T188" s="1098"/>
      <c r="U188" s="1098"/>
      <c r="V188" s="1098"/>
      <c r="W188" s="1098"/>
      <c r="X188" s="1098"/>
      <c r="Y188" s="1098"/>
      <c r="Z188" s="1098"/>
      <c r="AA188" s="1098"/>
      <c r="AB188" s="1098"/>
      <c r="AC188" s="1098"/>
      <c r="AD188" s="1098"/>
      <c r="AE188" s="1098"/>
      <c r="AF188" s="1098"/>
      <c r="AG188" s="1098"/>
      <c r="AH188" s="1098"/>
      <c r="AI188" s="1098"/>
      <c r="AJ188" s="1098"/>
    </row>
    <row r="189" spans="1:36" x14ac:dyDescent="0.25">
      <c r="A189" s="1098"/>
      <c r="B189" s="1453" t="s">
        <v>1304</v>
      </c>
      <c r="C189" s="1454">
        <f>+MIN(F3:G3)</f>
        <v>0.95</v>
      </c>
      <c r="D189" s="1454">
        <f>+MIN(F4:G4)</f>
        <v>0.95</v>
      </c>
      <c r="E189" s="1454">
        <f>+MIN(F5:G5)</f>
        <v>0.95</v>
      </c>
      <c r="F189" s="1454">
        <f>+MIN(F6:G6)</f>
        <v>0.95</v>
      </c>
      <c r="G189" s="1454">
        <f>+MIN(F7:G7)</f>
        <v>0.95</v>
      </c>
      <c r="H189" s="1454">
        <f>+MIN(F8:G8)</f>
        <v>0.95</v>
      </c>
      <c r="I189" s="1454">
        <f>+MIN(F9:G9)</f>
        <v>0.95</v>
      </c>
      <c r="J189" s="1098"/>
      <c r="K189" s="1098"/>
      <c r="L189" s="1098"/>
      <c r="M189" s="1098"/>
      <c r="N189" s="1098"/>
      <c r="O189" s="1098"/>
      <c r="P189" s="1098"/>
      <c r="Q189" s="1098"/>
      <c r="R189" s="1098"/>
      <c r="S189" s="1098"/>
      <c r="T189" s="1098"/>
      <c r="U189" s="1098"/>
      <c r="V189" s="1098"/>
      <c r="W189" s="1098"/>
      <c r="X189" s="1098"/>
      <c r="Y189" s="1098"/>
      <c r="Z189" s="1098"/>
      <c r="AA189" s="1098"/>
      <c r="AB189" s="1098"/>
      <c r="AC189" s="1098"/>
      <c r="AD189" s="1098"/>
      <c r="AE189" s="1098"/>
      <c r="AF189" s="1098"/>
      <c r="AG189" s="1098"/>
      <c r="AH189" s="1098"/>
      <c r="AI189" s="1098"/>
      <c r="AJ189" s="1098"/>
    </row>
    <row r="190" spans="1:36" x14ac:dyDescent="0.25">
      <c r="A190" s="1098"/>
      <c r="B190" s="1453" t="s">
        <v>1306</v>
      </c>
      <c r="C190" s="1455">
        <v>1</v>
      </c>
      <c r="D190" s="1455">
        <v>1</v>
      </c>
      <c r="E190" s="1455">
        <v>1</v>
      </c>
      <c r="F190" s="1455">
        <v>1</v>
      </c>
      <c r="G190" s="1455">
        <v>1</v>
      </c>
      <c r="H190" s="1455">
        <v>1</v>
      </c>
      <c r="I190" s="1455">
        <v>1</v>
      </c>
      <c r="J190" s="1098"/>
      <c r="K190" s="1098"/>
      <c r="L190" s="1098"/>
      <c r="M190" s="1098"/>
      <c r="N190" s="1098"/>
      <c r="O190" s="1098"/>
      <c r="P190" s="1098"/>
      <c r="Q190" s="1098"/>
      <c r="R190" s="1098"/>
      <c r="S190" s="1098"/>
      <c r="T190" s="1098"/>
      <c r="U190" s="1098"/>
      <c r="V190" s="1098"/>
      <c r="W190" s="1098"/>
      <c r="X190" s="1098"/>
      <c r="Y190" s="1098"/>
      <c r="Z190" s="1098"/>
      <c r="AA190" s="1098"/>
      <c r="AB190" s="1098"/>
      <c r="AC190" s="1098"/>
      <c r="AD190" s="1098"/>
      <c r="AE190" s="1098"/>
      <c r="AF190" s="1098"/>
      <c r="AG190" s="1098"/>
      <c r="AH190" s="1098"/>
      <c r="AI190" s="1098"/>
      <c r="AJ190" s="1098"/>
    </row>
    <row r="191" spans="1:36" x14ac:dyDescent="0.25">
      <c r="A191" s="1098"/>
      <c r="B191" s="1453" t="s">
        <v>1305</v>
      </c>
      <c r="C191" s="1454">
        <f>+MAX(F3:G3)</f>
        <v>1.05</v>
      </c>
      <c r="D191" s="1454">
        <f>+MAX(F4:G4)</f>
        <v>1.05</v>
      </c>
      <c r="E191" s="1454">
        <f>+MAX(F5:G5)</f>
        <v>1.05</v>
      </c>
      <c r="F191" s="1454">
        <f>+MAX(F6:G6)</f>
        <v>1.05</v>
      </c>
      <c r="G191" s="1454">
        <f>+MAX(F7:G7)</f>
        <v>1.05</v>
      </c>
      <c r="H191" s="1454">
        <f>+MAX(F8:G8)</f>
        <v>1.05</v>
      </c>
      <c r="I191" s="1454">
        <f>+MAX(F9:G9)</f>
        <v>1.05</v>
      </c>
      <c r="J191" s="1098"/>
      <c r="K191" s="1098"/>
      <c r="L191" s="1098"/>
      <c r="M191" s="1098"/>
      <c r="N191" s="1098"/>
      <c r="O191" s="1098"/>
      <c r="P191" s="1098"/>
      <c r="Q191" s="1098"/>
      <c r="R191" s="1098"/>
      <c r="S191" s="1098"/>
      <c r="T191" s="1098"/>
      <c r="U191" s="1098"/>
      <c r="V191" s="1098"/>
      <c r="W191" s="1098"/>
      <c r="X191" s="1098"/>
      <c r="Y191" s="1098"/>
      <c r="Z191" s="1098"/>
      <c r="AA191" s="1098"/>
      <c r="AB191" s="1098"/>
      <c r="AC191" s="1098"/>
      <c r="AD191" s="1098"/>
      <c r="AE191" s="1098"/>
      <c r="AF191" s="1098"/>
      <c r="AG191" s="1098"/>
      <c r="AH191" s="1098"/>
      <c r="AI191" s="1098"/>
      <c r="AJ191" s="1098"/>
    </row>
    <row r="192" spans="1:36" x14ac:dyDescent="0.25">
      <c r="A192" s="1098"/>
      <c r="B192" s="1098"/>
      <c r="C192" s="1098"/>
      <c r="D192" s="1098"/>
      <c r="E192" s="1098"/>
      <c r="F192" s="1098"/>
      <c r="G192" s="1098"/>
      <c r="H192" s="1098"/>
      <c r="I192" s="1098"/>
      <c r="J192" s="1098"/>
      <c r="K192" s="1098"/>
      <c r="L192" s="1098"/>
      <c r="M192" s="1098"/>
      <c r="N192" s="1098"/>
      <c r="O192" s="1098"/>
      <c r="P192" s="1098"/>
      <c r="Q192" s="1098"/>
      <c r="R192" s="1098"/>
      <c r="S192" s="1098"/>
      <c r="T192" s="1098"/>
      <c r="U192" s="1098"/>
      <c r="V192" s="1098"/>
      <c r="W192" s="1098"/>
      <c r="X192" s="1098"/>
      <c r="Y192" s="1098"/>
      <c r="Z192" s="1098"/>
      <c r="AA192" s="1098"/>
      <c r="AB192" s="1098"/>
      <c r="AC192" s="1098"/>
      <c r="AD192" s="1098"/>
      <c r="AE192" s="1098"/>
      <c r="AF192" s="1098"/>
      <c r="AG192" s="1098"/>
      <c r="AH192" s="1098"/>
      <c r="AI192" s="1098"/>
      <c r="AJ192" s="1098"/>
    </row>
    <row r="193" spans="1:36" x14ac:dyDescent="0.25">
      <c r="A193" s="1098"/>
      <c r="B193" s="1098"/>
      <c r="C193" s="1098"/>
      <c r="D193" s="1098"/>
      <c r="E193" s="1098"/>
      <c r="F193" s="1098"/>
      <c r="G193" s="1098"/>
      <c r="H193" s="1098"/>
      <c r="I193" s="1098"/>
      <c r="J193" s="1098"/>
      <c r="K193" s="1098"/>
      <c r="L193" s="1098"/>
      <c r="M193" s="1098"/>
      <c r="N193" s="1098"/>
      <c r="O193" s="1098"/>
      <c r="P193" s="1098"/>
      <c r="Q193" s="1098"/>
      <c r="R193" s="1098"/>
      <c r="S193" s="1098"/>
      <c r="T193" s="1098"/>
      <c r="U193" s="1098"/>
      <c r="V193" s="1098"/>
      <c r="W193" s="1098"/>
      <c r="X193" s="1098"/>
      <c r="Y193" s="1098"/>
      <c r="Z193" s="1098"/>
      <c r="AA193" s="1098"/>
      <c r="AB193" s="1098"/>
      <c r="AC193" s="1098"/>
      <c r="AD193" s="1098"/>
      <c r="AE193" s="1098"/>
      <c r="AF193" s="1098"/>
      <c r="AG193" s="1098"/>
      <c r="AH193" s="1098"/>
      <c r="AI193" s="1098"/>
      <c r="AJ193" s="1098"/>
    </row>
    <row r="194" spans="1:36" x14ac:dyDescent="0.25">
      <c r="A194" s="1098"/>
      <c r="B194" s="1099" t="s">
        <v>1312</v>
      </c>
      <c r="C194" s="1098">
        <f>+MATCH(R12,C50:Y50,0)</f>
        <v>9</v>
      </c>
      <c r="D194" s="1098"/>
      <c r="E194" s="1098"/>
      <c r="F194" s="1098"/>
      <c r="G194" s="1098"/>
      <c r="H194" s="1098"/>
      <c r="I194" s="1098"/>
      <c r="J194" s="1098"/>
      <c r="K194" s="1098"/>
      <c r="L194" s="1098"/>
      <c r="M194" s="1098"/>
      <c r="N194" s="1098"/>
      <c r="O194" s="1098"/>
      <c r="P194" s="1098"/>
      <c r="Q194" s="1098"/>
      <c r="R194" s="1098"/>
      <c r="S194" s="1098"/>
      <c r="T194" s="1098"/>
      <c r="U194" s="1098"/>
      <c r="V194" s="1098"/>
      <c r="W194" s="1098"/>
      <c r="X194" s="1098"/>
      <c r="Y194" s="1098"/>
      <c r="Z194" s="1098"/>
      <c r="AA194" s="1098"/>
      <c r="AB194" s="1098"/>
      <c r="AC194" s="1098"/>
      <c r="AD194" s="1098"/>
      <c r="AE194" s="1098"/>
      <c r="AF194" s="1098"/>
      <c r="AG194" s="1098"/>
      <c r="AH194" s="1098"/>
      <c r="AI194" s="1098"/>
      <c r="AJ194" s="1098"/>
    </row>
    <row r="195" spans="1:36" x14ac:dyDescent="0.25">
      <c r="A195" s="1098"/>
      <c r="B195" s="1099" t="s">
        <v>1308</v>
      </c>
      <c r="C195" s="1098">
        <f ca="1">+MIN(OFFSET($B$251:$B$2250,0,C194))</f>
        <v>1.4719066974099551</v>
      </c>
      <c r="D195" s="1098"/>
      <c r="E195" s="1098"/>
      <c r="F195" s="1098"/>
      <c r="G195" s="1098"/>
      <c r="H195" s="1098"/>
      <c r="I195" s="1098"/>
      <c r="J195" s="1098"/>
      <c r="K195" s="1098"/>
      <c r="L195" s="1098"/>
      <c r="M195" s="1098"/>
      <c r="N195" s="1098"/>
      <c r="O195" s="1098"/>
      <c r="P195" s="1098"/>
      <c r="Q195" s="1098"/>
      <c r="R195" s="1098"/>
      <c r="S195" s="1098"/>
      <c r="T195" s="1098"/>
      <c r="U195" s="1098"/>
      <c r="V195" s="1098"/>
      <c r="W195" s="1098"/>
      <c r="X195" s="1098"/>
      <c r="Y195" s="1098"/>
      <c r="Z195" s="1098"/>
      <c r="AA195" s="1098"/>
      <c r="AB195" s="1098"/>
      <c r="AC195" s="1098"/>
      <c r="AD195" s="1098"/>
      <c r="AE195" s="1098"/>
      <c r="AF195" s="1098"/>
      <c r="AG195" s="1098"/>
      <c r="AH195" s="1098"/>
      <c r="AI195" s="1098"/>
      <c r="AJ195" s="1098"/>
    </row>
    <row r="196" spans="1:36" x14ac:dyDescent="0.25">
      <c r="A196" s="1098"/>
      <c r="B196" s="1099" t="s">
        <v>1313</v>
      </c>
      <c r="C196" s="1098">
        <f ca="1">+MAX(OFFSET($B$251:$B$2250,0,C194))</f>
        <v>1.6447487673590528</v>
      </c>
      <c r="D196" s="1098"/>
      <c r="E196" s="1098"/>
      <c r="F196" s="1098"/>
      <c r="G196" s="1098"/>
      <c r="H196" s="1098"/>
      <c r="I196" s="1098"/>
      <c r="J196" s="1098"/>
      <c r="K196" s="1098"/>
      <c r="L196" s="1098"/>
      <c r="M196" s="1098"/>
      <c r="N196" s="1098"/>
      <c r="O196" s="1098"/>
      <c r="P196" s="1098"/>
      <c r="Q196" s="1098"/>
      <c r="R196" s="1098"/>
      <c r="S196" s="1098"/>
      <c r="T196" s="1098"/>
      <c r="U196" s="1098"/>
      <c r="V196" s="1098"/>
      <c r="W196" s="1098"/>
      <c r="X196" s="1098"/>
      <c r="Y196" s="1098"/>
      <c r="Z196" s="1098"/>
      <c r="AA196" s="1098"/>
      <c r="AB196" s="1098"/>
      <c r="AC196" s="1098"/>
      <c r="AD196" s="1098"/>
      <c r="AE196" s="1098"/>
      <c r="AF196" s="1098"/>
      <c r="AG196" s="1098"/>
      <c r="AH196" s="1098"/>
      <c r="AI196" s="1098"/>
      <c r="AJ196" s="1098"/>
    </row>
    <row r="197" spans="1:36" x14ac:dyDescent="0.25">
      <c r="A197" s="1098"/>
      <c r="B197" s="1099" t="s">
        <v>1315</v>
      </c>
      <c r="C197" s="1098">
        <f ca="1">+C196-C195</f>
        <v>0.17284206994909779</v>
      </c>
      <c r="D197" s="1098"/>
      <c r="E197" s="1098"/>
      <c r="F197" s="1098"/>
      <c r="G197" s="1098"/>
      <c r="H197" s="1098"/>
      <c r="I197" s="1098"/>
      <c r="J197" s="1098"/>
      <c r="K197" s="1098"/>
      <c r="L197" s="1098"/>
      <c r="M197" s="1098"/>
      <c r="N197" s="1098"/>
      <c r="O197" s="1098"/>
      <c r="P197" s="1098"/>
      <c r="Q197" s="1098"/>
      <c r="R197" s="1098"/>
      <c r="S197" s="1098"/>
      <c r="T197" s="1098"/>
      <c r="U197" s="1098"/>
      <c r="V197" s="1098"/>
      <c r="W197" s="1098"/>
      <c r="X197" s="1098"/>
      <c r="Y197" s="1098"/>
      <c r="Z197" s="1098"/>
      <c r="AA197" s="1098"/>
      <c r="AB197" s="1098"/>
      <c r="AC197" s="1098"/>
      <c r="AD197" s="1098"/>
      <c r="AE197" s="1098"/>
      <c r="AF197" s="1098"/>
      <c r="AG197" s="1098"/>
      <c r="AH197" s="1098"/>
      <c r="AI197" s="1098"/>
      <c r="AJ197" s="1098"/>
    </row>
    <row r="198" spans="1:36" x14ac:dyDescent="0.25">
      <c r="A198" s="1098"/>
      <c r="B198" s="1099" t="s">
        <v>1314</v>
      </c>
      <c r="C198" s="1098">
        <f ca="1">+OFFSET(B199,0,C194)</f>
        <v>1</v>
      </c>
      <c r="D198" s="1098"/>
      <c r="E198" s="1098"/>
      <c r="F198" s="1098"/>
      <c r="G198" s="1098"/>
      <c r="H198" s="1098"/>
      <c r="I198" s="1098"/>
      <c r="J198" s="1098"/>
      <c r="K198" s="1098"/>
      <c r="L198" s="1098"/>
      <c r="M198" s="1098"/>
      <c r="N198" s="1098"/>
      <c r="O198" s="1098"/>
      <c r="P198" s="1098"/>
      <c r="Q198" s="1098"/>
      <c r="R198" s="1098"/>
      <c r="S198" s="1098"/>
      <c r="T198" s="1098"/>
      <c r="U198" s="1098"/>
      <c r="V198" s="1098"/>
      <c r="W198" s="1098"/>
      <c r="X198" s="1098"/>
      <c r="Y198" s="1098"/>
      <c r="Z198" s="1098"/>
      <c r="AA198" s="1098"/>
      <c r="AB198" s="1098"/>
      <c r="AC198" s="1098"/>
      <c r="AD198" s="1098"/>
      <c r="AE198" s="1098"/>
      <c r="AF198" s="1098"/>
      <c r="AG198" s="1098"/>
      <c r="AH198" s="1098"/>
      <c r="AI198" s="1098"/>
      <c r="AJ198" s="1098"/>
    </row>
    <row r="199" spans="1:36" x14ac:dyDescent="0.25">
      <c r="A199" s="1098"/>
      <c r="B199" s="1099" t="s">
        <v>1314</v>
      </c>
      <c r="C199" s="1451">
        <f ca="1">+C3</f>
        <v>0.9</v>
      </c>
      <c r="D199" s="1458">
        <f ca="1">+C4</f>
        <v>379387</v>
      </c>
      <c r="E199" s="1451">
        <f ca="1">+C5</f>
        <v>0.08</v>
      </c>
      <c r="F199" s="1451">
        <f>+C6</f>
        <v>1</v>
      </c>
      <c r="G199" s="1451">
        <f>+C7</f>
        <v>1</v>
      </c>
      <c r="H199" s="1458">
        <f ca="1">+C8</f>
        <v>484210221.65483475</v>
      </c>
      <c r="I199" s="1458">
        <f ca="1">+C9</f>
        <v>14601223.596457751</v>
      </c>
      <c r="J199" s="1098"/>
      <c r="K199" s="1098">
        <v>1</v>
      </c>
      <c r="L199" s="1098">
        <v>1</v>
      </c>
      <c r="M199" s="1098">
        <v>1</v>
      </c>
      <c r="N199" s="1098">
        <v>1</v>
      </c>
      <c r="O199" s="1098">
        <v>1</v>
      </c>
      <c r="P199" s="1098">
        <v>1</v>
      </c>
      <c r="Q199" s="1098">
        <v>1</v>
      </c>
      <c r="R199" s="1098">
        <v>1</v>
      </c>
      <c r="S199" s="1098">
        <v>1</v>
      </c>
      <c r="T199" s="1098">
        <v>1</v>
      </c>
      <c r="U199" s="1098">
        <v>1</v>
      </c>
      <c r="V199" s="1098">
        <v>1</v>
      </c>
      <c r="W199" s="1098">
        <v>1</v>
      </c>
      <c r="X199" s="1098">
        <v>1</v>
      </c>
      <c r="Y199" s="1098"/>
      <c r="Z199" s="1098"/>
      <c r="AA199" s="1098"/>
      <c r="AB199" s="1098"/>
      <c r="AC199" s="1098"/>
      <c r="AD199" s="1098"/>
      <c r="AE199" s="1098"/>
      <c r="AF199" s="1098"/>
      <c r="AG199" s="1098"/>
      <c r="AH199" s="1098"/>
      <c r="AI199" s="1098"/>
      <c r="AJ199" s="1098"/>
    </row>
    <row r="200" spans="1:36" x14ac:dyDescent="0.25">
      <c r="A200" s="1098"/>
      <c r="B200" s="1099" t="s">
        <v>1311</v>
      </c>
      <c r="C200" s="1098"/>
      <c r="D200" s="1098"/>
      <c r="E200" s="1098"/>
      <c r="F200" s="1098"/>
      <c r="G200" s="1098"/>
      <c r="H200" s="1098"/>
      <c r="I200" s="1098"/>
      <c r="J200" s="1098"/>
      <c r="K200" s="1098"/>
      <c r="L200" s="1098"/>
      <c r="M200" s="1098"/>
      <c r="N200" s="1098"/>
      <c r="O200" s="1098"/>
      <c r="P200" s="1098"/>
      <c r="Q200" s="1098"/>
      <c r="R200" s="1098"/>
      <c r="S200" s="1098"/>
      <c r="T200" s="1098"/>
      <c r="U200" s="1098"/>
      <c r="V200" s="1098"/>
      <c r="W200" s="1098"/>
      <c r="X200" s="1098"/>
      <c r="Y200" s="1098"/>
      <c r="Z200" s="1098"/>
      <c r="AA200" s="1098"/>
      <c r="AB200" s="1098"/>
      <c r="AC200" s="1098"/>
      <c r="AD200" s="1098"/>
      <c r="AE200" s="1098"/>
      <c r="AF200" s="1098"/>
      <c r="AG200" s="1098"/>
      <c r="AH200" s="1098"/>
      <c r="AI200" s="1098"/>
      <c r="AJ200" s="1098"/>
    </row>
    <row r="201" spans="1:36" x14ac:dyDescent="0.25">
      <c r="A201" s="1098"/>
      <c r="B201" s="1099" t="s">
        <v>1308</v>
      </c>
      <c r="C201" s="1099" t="s">
        <v>1309</v>
      </c>
      <c r="D201" s="1098"/>
      <c r="E201" s="1099" t="s">
        <v>1316</v>
      </c>
      <c r="F201" s="1099" t="s">
        <v>1317</v>
      </c>
      <c r="G201" s="1099" t="s">
        <v>1318</v>
      </c>
      <c r="H201" s="1099" t="s">
        <v>1319</v>
      </c>
      <c r="I201" s="1099" t="s">
        <v>1320</v>
      </c>
      <c r="J201" s="1098"/>
      <c r="K201" s="1098"/>
      <c r="L201" s="1098"/>
      <c r="M201" s="1098"/>
      <c r="N201" s="1098"/>
      <c r="O201" s="1098"/>
      <c r="P201" s="1098"/>
      <c r="Q201" s="1098"/>
      <c r="R201" s="1098"/>
      <c r="S201" s="1098"/>
      <c r="T201" s="1098"/>
      <c r="U201" s="1098"/>
      <c r="V201" s="1098"/>
      <c r="W201" s="1098"/>
      <c r="X201" s="1098"/>
      <c r="Y201" s="1098"/>
      <c r="Z201" s="1098"/>
      <c r="AA201" s="1098"/>
      <c r="AB201" s="1098"/>
      <c r="AC201" s="1098"/>
      <c r="AD201" s="1098"/>
      <c r="AE201" s="1098"/>
      <c r="AF201" s="1098"/>
      <c r="AG201" s="1098"/>
      <c r="AH201" s="1098"/>
      <c r="AI201" s="1098"/>
      <c r="AJ201" s="1098"/>
    </row>
    <row r="202" spans="1:36" x14ac:dyDescent="0.25">
      <c r="A202" s="1098"/>
      <c r="B202" s="1103">
        <f ca="1">+C195</f>
        <v>1.4719066974099551</v>
      </c>
      <c r="C202" s="1456">
        <f ca="1">+B202+($C$197/20)</f>
        <v>1.4805488009074099</v>
      </c>
      <c r="D202" s="1098">
        <f t="shared" ref="D202:D221" ca="1" si="88">+COUNTIFS(OFFSET(B$251:B$2250,0,$C$194),"&gt;="&amp;$B202,
OFFSET(B$251:B$2250,0,$C$194),"&lt;="&amp;$C202)</f>
        <v>1</v>
      </c>
      <c r="E202" s="1459">
        <f ca="1">+B202*$C$198</f>
        <v>1.4719066974099551</v>
      </c>
      <c r="F202" s="1459">
        <f ca="1">+C202*$C$198</f>
        <v>1.4805488009074099</v>
      </c>
      <c r="G202" s="1458">
        <f ca="1">+AVERAGE(E202:F202)</f>
        <v>1.4762277491586824</v>
      </c>
      <c r="H202" s="1098">
        <f ca="1">+D202/$D$223</f>
        <v>5.0000000000000001E-4</v>
      </c>
      <c r="I202" s="1098">
        <f ca="1">+H202</f>
        <v>5.0000000000000001E-4</v>
      </c>
      <c r="J202" s="1098"/>
      <c r="K202" s="1098"/>
      <c r="L202" s="1098"/>
      <c r="M202" s="1098"/>
      <c r="N202" s="1098"/>
      <c r="O202" s="1098"/>
      <c r="P202" s="1098"/>
      <c r="Q202" s="1098"/>
      <c r="R202" s="1098"/>
      <c r="S202" s="1098"/>
      <c r="T202" s="1098"/>
      <c r="U202" s="1098"/>
      <c r="V202" s="1098"/>
      <c r="W202" s="1098"/>
      <c r="X202" s="1098"/>
      <c r="Y202" s="1098"/>
      <c r="Z202" s="1098"/>
      <c r="AA202" s="1098"/>
      <c r="AB202" s="1098"/>
      <c r="AC202" s="1098"/>
      <c r="AD202" s="1098"/>
      <c r="AE202" s="1098"/>
      <c r="AF202" s="1098"/>
      <c r="AG202" s="1098"/>
      <c r="AH202" s="1098"/>
      <c r="AI202" s="1098"/>
      <c r="AJ202" s="1098"/>
    </row>
    <row r="203" spans="1:36" x14ac:dyDescent="0.25">
      <c r="A203" s="1098"/>
      <c r="B203" s="1103">
        <f ca="1">+C202</f>
        <v>1.4805488009074099</v>
      </c>
      <c r="C203" s="1456">
        <f t="shared" ref="C203:C220" ca="1" si="89">+B203+($C$197/20)</f>
        <v>1.4891909044048648</v>
      </c>
      <c r="D203" s="1098">
        <f t="shared" ca="1" si="88"/>
        <v>0</v>
      </c>
      <c r="E203" s="1459">
        <f t="shared" ref="E203:E221" ca="1" si="90">+B203*$C$198</f>
        <v>1.4805488009074099</v>
      </c>
      <c r="F203" s="1459">
        <f t="shared" ref="F203:F222" ca="1" si="91">+C203*$C$198</f>
        <v>1.4891909044048648</v>
      </c>
      <c r="G203" s="1458">
        <f t="shared" ref="G203:G222" ca="1" si="92">+AVERAGE(E203:F203)</f>
        <v>1.4848698526561375</v>
      </c>
      <c r="H203" s="1098">
        <f t="shared" ref="H203:H221" ca="1" si="93">+D203/$D$223</f>
        <v>0</v>
      </c>
      <c r="I203" s="1098">
        <f ca="1">+I202+H203</f>
        <v>5.0000000000000001E-4</v>
      </c>
      <c r="J203" s="1098"/>
      <c r="K203" s="1098"/>
      <c r="L203" s="1098"/>
      <c r="M203" s="1098"/>
      <c r="N203" s="1098"/>
      <c r="O203" s="1098"/>
      <c r="P203" s="1098"/>
      <c r="Q203" s="1098"/>
      <c r="R203" s="1098"/>
      <c r="S203" s="1098"/>
      <c r="T203" s="1098"/>
      <c r="U203" s="1098"/>
      <c r="V203" s="1098"/>
      <c r="W203" s="1098"/>
      <c r="X203" s="1098"/>
      <c r="Y203" s="1098"/>
      <c r="Z203" s="1098"/>
      <c r="AA203" s="1098"/>
      <c r="AB203" s="1098"/>
      <c r="AC203" s="1098"/>
      <c r="AD203" s="1098"/>
      <c r="AE203" s="1098"/>
      <c r="AF203" s="1098"/>
      <c r="AG203" s="1098"/>
      <c r="AH203" s="1098"/>
      <c r="AI203" s="1098"/>
      <c r="AJ203" s="1098"/>
    </row>
    <row r="204" spans="1:36" x14ac:dyDescent="0.25">
      <c r="A204" s="1098"/>
      <c r="B204" s="1103">
        <f t="shared" ref="B204:B221" ca="1" si="94">+C203</f>
        <v>1.4891909044048648</v>
      </c>
      <c r="C204" s="1456">
        <f t="shared" ca="1" si="89"/>
        <v>1.4978330079023197</v>
      </c>
      <c r="D204" s="1098">
        <f t="shared" ca="1" si="88"/>
        <v>3</v>
      </c>
      <c r="E204" s="1459">
        <f t="shared" ca="1" si="90"/>
        <v>1.4891909044048648</v>
      </c>
      <c r="F204" s="1459">
        <f t="shared" ca="1" si="91"/>
        <v>1.4978330079023197</v>
      </c>
      <c r="G204" s="1458">
        <f t="shared" ca="1" si="92"/>
        <v>1.4935119561535921</v>
      </c>
      <c r="H204" s="1098">
        <f t="shared" ca="1" si="93"/>
        <v>1.5E-3</v>
      </c>
      <c r="I204" s="1098">
        <f t="shared" ref="I204:I221" ca="1" si="95">+I203+H204</f>
        <v>2E-3</v>
      </c>
      <c r="J204" s="1098"/>
      <c r="K204" s="1098"/>
      <c r="L204" s="1098"/>
      <c r="M204" s="1098"/>
      <c r="N204" s="1098"/>
      <c r="O204" s="1098"/>
      <c r="P204" s="1098"/>
      <c r="Q204" s="1098"/>
      <c r="R204" s="1098"/>
      <c r="S204" s="1098"/>
      <c r="T204" s="1098"/>
      <c r="U204" s="1098"/>
      <c r="V204" s="1098"/>
      <c r="W204" s="1098"/>
      <c r="X204" s="1098"/>
      <c r="Y204" s="1098"/>
      <c r="Z204" s="1098"/>
      <c r="AA204" s="1098"/>
      <c r="AB204" s="1098"/>
      <c r="AC204" s="1098"/>
      <c r="AD204" s="1098"/>
      <c r="AE204" s="1098"/>
      <c r="AF204" s="1098"/>
      <c r="AG204" s="1098"/>
      <c r="AH204" s="1098"/>
      <c r="AI204" s="1098"/>
      <c r="AJ204" s="1098"/>
    </row>
    <row r="205" spans="1:36" x14ac:dyDescent="0.25">
      <c r="A205" s="1098"/>
      <c r="B205" s="1103">
        <f t="shared" ca="1" si="94"/>
        <v>1.4978330079023197</v>
      </c>
      <c r="C205" s="1456">
        <f t="shared" ca="1" si="89"/>
        <v>1.5064751113997745</v>
      </c>
      <c r="D205" s="1098">
        <f t="shared" ca="1" si="88"/>
        <v>30</v>
      </c>
      <c r="E205" s="1459">
        <f t="shared" ca="1" si="90"/>
        <v>1.4978330079023197</v>
      </c>
      <c r="F205" s="1459">
        <f t="shared" ca="1" si="91"/>
        <v>1.5064751113997745</v>
      </c>
      <c r="G205" s="1458">
        <f t="shared" ca="1" si="92"/>
        <v>1.5021540596510472</v>
      </c>
      <c r="H205" s="1098">
        <f t="shared" ca="1" si="93"/>
        <v>1.4999999999999999E-2</v>
      </c>
      <c r="I205" s="1098">
        <f t="shared" ca="1" si="95"/>
        <v>1.7000000000000001E-2</v>
      </c>
      <c r="J205" s="1098"/>
      <c r="K205" s="1098"/>
      <c r="L205" s="1098"/>
      <c r="M205" s="1098"/>
      <c r="N205" s="1098"/>
      <c r="O205" s="1098"/>
      <c r="P205" s="1098"/>
      <c r="Q205" s="1098"/>
      <c r="R205" s="1098"/>
      <c r="S205" s="1098"/>
      <c r="T205" s="1098"/>
      <c r="U205" s="1098"/>
      <c r="V205" s="1098"/>
      <c r="W205" s="1098"/>
      <c r="X205" s="1098"/>
      <c r="Y205" s="1098"/>
      <c r="Z205" s="1098"/>
      <c r="AA205" s="1098"/>
      <c r="AB205" s="1098"/>
      <c r="AC205" s="1098"/>
      <c r="AD205" s="1098"/>
      <c r="AE205" s="1098"/>
      <c r="AF205" s="1098"/>
      <c r="AG205" s="1098"/>
      <c r="AH205" s="1098"/>
      <c r="AI205" s="1098"/>
      <c r="AJ205" s="1098"/>
    </row>
    <row r="206" spans="1:36" x14ac:dyDescent="0.25">
      <c r="A206" s="1098"/>
      <c r="B206" s="1103">
        <f t="shared" ca="1" si="94"/>
        <v>1.5064751113997745</v>
      </c>
      <c r="C206" s="1456">
        <f t="shared" ca="1" si="89"/>
        <v>1.5151172148972294</v>
      </c>
      <c r="D206" s="1098">
        <f t="shared" ca="1" si="88"/>
        <v>48</v>
      </c>
      <c r="E206" s="1459">
        <f t="shared" ca="1" si="90"/>
        <v>1.5064751113997745</v>
      </c>
      <c r="F206" s="1459">
        <f t="shared" ca="1" si="91"/>
        <v>1.5151172148972294</v>
      </c>
      <c r="G206" s="1458">
        <f t="shared" ca="1" si="92"/>
        <v>1.5107961631485018</v>
      </c>
      <c r="H206" s="1098">
        <f t="shared" ca="1" si="93"/>
        <v>2.4E-2</v>
      </c>
      <c r="I206" s="1098">
        <f t="shared" ca="1" si="95"/>
        <v>4.1000000000000002E-2</v>
      </c>
      <c r="J206" s="1098"/>
      <c r="K206" s="1098"/>
      <c r="L206" s="1098"/>
      <c r="M206" s="1098"/>
      <c r="N206" s="1098"/>
      <c r="O206" s="1098"/>
      <c r="P206" s="1098"/>
      <c r="Q206" s="1098"/>
      <c r="R206" s="1098"/>
      <c r="S206" s="1098"/>
      <c r="T206" s="1098"/>
      <c r="U206" s="1098"/>
      <c r="V206" s="1098"/>
      <c r="W206" s="1098"/>
      <c r="X206" s="1098"/>
      <c r="Y206" s="1098"/>
      <c r="Z206" s="1098"/>
      <c r="AA206" s="1098"/>
      <c r="AB206" s="1098"/>
      <c r="AC206" s="1098"/>
      <c r="AD206" s="1098"/>
      <c r="AE206" s="1098"/>
      <c r="AF206" s="1098"/>
      <c r="AG206" s="1098"/>
      <c r="AH206" s="1098"/>
      <c r="AI206" s="1098"/>
      <c r="AJ206" s="1098"/>
    </row>
    <row r="207" spans="1:36" x14ac:dyDescent="0.25">
      <c r="A207" s="1098"/>
      <c r="B207" s="1103">
        <f t="shared" ca="1" si="94"/>
        <v>1.5151172148972294</v>
      </c>
      <c r="C207" s="1456">
        <f t="shared" ca="1" si="89"/>
        <v>1.5237593183946843</v>
      </c>
      <c r="D207" s="1098">
        <f t="shared" ca="1" si="88"/>
        <v>114</v>
      </c>
      <c r="E207" s="1459">
        <f t="shared" ca="1" si="90"/>
        <v>1.5151172148972294</v>
      </c>
      <c r="F207" s="1459">
        <f t="shared" ca="1" si="91"/>
        <v>1.5237593183946843</v>
      </c>
      <c r="G207" s="1458">
        <f t="shared" ca="1" si="92"/>
        <v>1.5194382666459569</v>
      </c>
      <c r="H207" s="1098">
        <f t="shared" ca="1" si="93"/>
        <v>5.7000000000000002E-2</v>
      </c>
      <c r="I207" s="1098">
        <f t="shared" ca="1" si="95"/>
        <v>9.8000000000000004E-2</v>
      </c>
      <c r="J207" s="1098"/>
      <c r="K207" s="1098"/>
      <c r="L207" s="1098"/>
      <c r="M207" s="1098"/>
      <c r="N207" s="1098"/>
      <c r="O207" s="1098"/>
      <c r="P207" s="1098"/>
      <c r="Q207" s="1098"/>
      <c r="R207" s="1098"/>
      <c r="S207" s="1098"/>
      <c r="T207" s="1098"/>
      <c r="U207" s="1098"/>
      <c r="V207" s="1098"/>
      <c r="W207" s="1098"/>
      <c r="X207" s="1098"/>
      <c r="Y207" s="1098"/>
      <c r="Z207" s="1098"/>
      <c r="AA207" s="1098"/>
      <c r="AB207" s="1098"/>
      <c r="AC207" s="1098"/>
      <c r="AD207" s="1098"/>
      <c r="AE207" s="1098"/>
      <c r="AF207" s="1098"/>
      <c r="AG207" s="1098"/>
      <c r="AH207" s="1098"/>
      <c r="AI207" s="1098"/>
      <c r="AJ207" s="1098"/>
    </row>
    <row r="208" spans="1:36" x14ac:dyDescent="0.25">
      <c r="A208" s="1098"/>
      <c r="B208" s="1103">
        <f t="shared" ca="1" si="94"/>
        <v>1.5237593183946843</v>
      </c>
      <c r="C208" s="1456">
        <f t="shared" ca="1" si="89"/>
        <v>1.5324014218921391</v>
      </c>
      <c r="D208" s="1098">
        <f t="shared" ca="1" si="88"/>
        <v>146</v>
      </c>
      <c r="E208" s="1459">
        <f t="shared" ca="1" si="90"/>
        <v>1.5237593183946843</v>
      </c>
      <c r="F208" s="1459">
        <f t="shared" ca="1" si="91"/>
        <v>1.5324014218921391</v>
      </c>
      <c r="G208" s="1458">
        <f t="shared" ca="1" si="92"/>
        <v>1.5280803701434116</v>
      </c>
      <c r="H208" s="1098">
        <f t="shared" ca="1" si="93"/>
        <v>7.2999999999999995E-2</v>
      </c>
      <c r="I208" s="1098">
        <f t="shared" ca="1" si="95"/>
        <v>0.17099999999999999</v>
      </c>
      <c r="J208" s="1098"/>
      <c r="K208" s="1098"/>
      <c r="L208" s="1098"/>
      <c r="M208" s="1098"/>
      <c r="N208" s="1098"/>
      <c r="O208" s="1098"/>
      <c r="P208" s="1098"/>
      <c r="Q208" s="1098"/>
      <c r="R208" s="1098"/>
      <c r="S208" s="1098"/>
      <c r="T208" s="1098"/>
      <c r="U208" s="1098"/>
      <c r="V208" s="1098"/>
      <c r="W208" s="1098"/>
      <c r="X208" s="1098"/>
      <c r="Y208" s="1098"/>
      <c r="Z208" s="1098"/>
      <c r="AA208" s="1098"/>
      <c r="AB208" s="1098"/>
      <c r="AC208" s="1098"/>
      <c r="AD208" s="1098"/>
      <c r="AE208" s="1098"/>
      <c r="AF208" s="1098"/>
      <c r="AG208" s="1098"/>
      <c r="AH208" s="1098"/>
      <c r="AI208" s="1098"/>
      <c r="AJ208" s="1098"/>
    </row>
    <row r="209" spans="1:36" x14ac:dyDescent="0.25">
      <c r="A209" s="1098"/>
      <c r="B209" s="1103">
        <f t="shared" ca="1" si="94"/>
        <v>1.5324014218921391</v>
      </c>
      <c r="C209" s="1456">
        <f t="shared" ca="1" si="89"/>
        <v>1.541043525389594</v>
      </c>
      <c r="D209" s="1098">
        <f t="shared" ca="1" si="88"/>
        <v>161</v>
      </c>
      <c r="E209" s="1459">
        <f t="shared" ca="1" si="90"/>
        <v>1.5324014218921391</v>
      </c>
      <c r="F209" s="1459">
        <f t="shared" ca="1" si="91"/>
        <v>1.541043525389594</v>
      </c>
      <c r="G209" s="1458">
        <f t="shared" ca="1" si="92"/>
        <v>1.5367224736408667</v>
      </c>
      <c r="H209" s="1098">
        <f t="shared" ca="1" si="93"/>
        <v>8.0500000000000002E-2</v>
      </c>
      <c r="I209" s="1098">
        <f t="shared" ca="1" si="95"/>
        <v>0.2515</v>
      </c>
      <c r="J209" s="1098"/>
      <c r="K209" s="1098"/>
      <c r="L209" s="1098"/>
      <c r="M209" s="1098"/>
      <c r="N209" s="1098"/>
      <c r="O209" s="1098"/>
      <c r="P209" s="1098"/>
      <c r="Q209" s="1098"/>
      <c r="R209" s="1098"/>
      <c r="S209" s="1098"/>
      <c r="T209" s="1098"/>
      <c r="U209" s="1098"/>
      <c r="V209" s="1098"/>
      <c r="W209" s="1098"/>
      <c r="X209" s="1098"/>
      <c r="Y209" s="1098"/>
      <c r="Z209" s="1098"/>
      <c r="AA209" s="1098"/>
      <c r="AB209" s="1098"/>
      <c r="AC209" s="1098"/>
      <c r="AD209" s="1098"/>
      <c r="AE209" s="1098"/>
      <c r="AF209" s="1098"/>
      <c r="AG209" s="1098"/>
      <c r="AH209" s="1098"/>
      <c r="AI209" s="1098"/>
      <c r="AJ209" s="1098"/>
    </row>
    <row r="210" spans="1:36" x14ac:dyDescent="0.25">
      <c r="A210" s="1098"/>
      <c r="B210" s="1103">
        <f t="shared" ca="1" si="94"/>
        <v>1.541043525389594</v>
      </c>
      <c r="C210" s="1456">
        <f t="shared" ca="1" si="89"/>
        <v>1.5496856288870489</v>
      </c>
      <c r="D210" s="1098">
        <f t="shared" ca="1" si="88"/>
        <v>223</v>
      </c>
      <c r="E210" s="1459">
        <f t="shared" ca="1" si="90"/>
        <v>1.541043525389594</v>
      </c>
      <c r="F210" s="1459">
        <f t="shared" ca="1" si="91"/>
        <v>1.5496856288870489</v>
      </c>
      <c r="G210" s="1458">
        <f t="shared" ca="1" si="92"/>
        <v>1.5453645771383213</v>
      </c>
      <c r="H210" s="1098">
        <f t="shared" ca="1" si="93"/>
        <v>0.1115</v>
      </c>
      <c r="I210" s="1098">
        <f t="shared" ca="1" si="95"/>
        <v>0.36299999999999999</v>
      </c>
      <c r="J210" s="1098"/>
      <c r="K210" s="1098"/>
      <c r="L210" s="1098"/>
      <c r="M210" s="1098"/>
      <c r="N210" s="1098"/>
      <c r="O210" s="1098"/>
      <c r="P210" s="1098"/>
      <c r="Q210" s="1098"/>
      <c r="R210" s="1098"/>
      <c r="S210" s="1098"/>
      <c r="T210" s="1098"/>
      <c r="U210" s="1098"/>
      <c r="V210" s="1098"/>
      <c r="W210" s="1098"/>
      <c r="X210" s="1098"/>
      <c r="Y210" s="1098"/>
      <c r="Z210" s="1098"/>
      <c r="AA210" s="1098"/>
      <c r="AB210" s="1098"/>
      <c r="AC210" s="1098"/>
      <c r="AD210" s="1098"/>
      <c r="AE210" s="1098"/>
      <c r="AF210" s="1098"/>
      <c r="AG210" s="1098"/>
      <c r="AH210" s="1098"/>
      <c r="AI210" s="1098"/>
      <c r="AJ210" s="1098"/>
    </row>
    <row r="211" spans="1:36" x14ac:dyDescent="0.25">
      <c r="A211" s="1098"/>
      <c r="B211" s="1103">
        <f t="shared" ca="1" si="94"/>
        <v>1.5496856288870489</v>
      </c>
      <c r="C211" s="1456">
        <f t="shared" ca="1" si="89"/>
        <v>1.5583277323845037</v>
      </c>
      <c r="D211" s="1098">
        <f t="shared" ca="1" si="88"/>
        <v>257</v>
      </c>
      <c r="E211" s="1459">
        <f t="shared" ca="1" si="90"/>
        <v>1.5496856288870489</v>
      </c>
      <c r="F211" s="1459">
        <f t="shared" ca="1" si="91"/>
        <v>1.5583277323845037</v>
      </c>
      <c r="G211" s="1458">
        <f t="shared" ca="1" si="92"/>
        <v>1.5540066806357764</v>
      </c>
      <c r="H211" s="1098">
        <f t="shared" ca="1" si="93"/>
        <v>0.1285</v>
      </c>
      <c r="I211" s="1098">
        <f t="shared" ca="1" si="95"/>
        <v>0.49149999999999999</v>
      </c>
      <c r="J211" s="1098"/>
      <c r="K211" s="1098"/>
      <c r="L211" s="1098"/>
      <c r="M211" s="1098"/>
      <c r="N211" s="1098"/>
      <c r="O211" s="1098"/>
      <c r="P211" s="1098"/>
      <c r="Q211" s="1098"/>
      <c r="R211" s="1098"/>
      <c r="S211" s="1098"/>
      <c r="T211" s="1098"/>
      <c r="U211" s="1098"/>
      <c r="V211" s="1098"/>
      <c r="W211" s="1098"/>
      <c r="X211" s="1098"/>
      <c r="Y211" s="1098"/>
      <c r="Z211" s="1098"/>
      <c r="AA211" s="1098"/>
      <c r="AB211" s="1098"/>
      <c r="AC211" s="1098"/>
      <c r="AD211" s="1098"/>
      <c r="AE211" s="1098"/>
      <c r="AF211" s="1098"/>
      <c r="AG211" s="1098"/>
      <c r="AH211" s="1098"/>
      <c r="AI211" s="1098"/>
      <c r="AJ211" s="1098"/>
    </row>
    <row r="212" spans="1:36" x14ac:dyDescent="0.25">
      <c r="A212" s="1098"/>
      <c r="B212" s="1103">
        <f t="shared" ca="1" si="94"/>
        <v>1.5583277323845037</v>
      </c>
      <c r="C212" s="1456">
        <f t="shared" ca="1" si="89"/>
        <v>1.5669698358819586</v>
      </c>
      <c r="D212" s="1098">
        <f t="shared" ca="1" si="88"/>
        <v>280</v>
      </c>
      <c r="E212" s="1459">
        <f t="shared" ca="1" si="90"/>
        <v>1.5583277323845037</v>
      </c>
      <c r="F212" s="1459">
        <f t="shared" ca="1" si="91"/>
        <v>1.5669698358819586</v>
      </c>
      <c r="G212" s="1458">
        <f t="shared" ca="1" si="92"/>
        <v>1.5626487841332311</v>
      </c>
      <c r="H212" s="1098">
        <f t="shared" ca="1" si="93"/>
        <v>0.14000000000000001</v>
      </c>
      <c r="I212" s="1098">
        <f t="shared" ca="1" si="95"/>
        <v>0.63149999999999995</v>
      </c>
      <c r="J212" s="1098"/>
      <c r="K212" s="1098"/>
      <c r="L212" s="1098"/>
      <c r="M212" s="1098"/>
      <c r="N212" s="1098"/>
      <c r="O212" s="1098"/>
      <c r="P212" s="1098"/>
      <c r="Q212" s="1098"/>
      <c r="R212" s="1098"/>
      <c r="S212" s="1098"/>
      <c r="T212" s="1098"/>
      <c r="U212" s="1098"/>
      <c r="V212" s="1098"/>
      <c r="W212" s="1098"/>
      <c r="X212" s="1098"/>
      <c r="Y212" s="1098"/>
      <c r="Z212" s="1098"/>
      <c r="AA212" s="1098"/>
      <c r="AB212" s="1098"/>
      <c r="AC212" s="1098"/>
      <c r="AD212" s="1098"/>
      <c r="AE212" s="1098"/>
      <c r="AF212" s="1098"/>
      <c r="AG212" s="1098"/>
      <c r="AH212" s="1098"/>
      <c r="AI212" s="1098"/>
      <c r="AJ212" s="1098"/>
    </row>
    <row r="213" spans="1:36" x14ac:dyDescent="0.25">
      <c r="A213" s="1098"/>
      <c r="B213" s="1103">
        <f t="shared" ca="1" si="94"/>
        <v>1.5669698358819586</v>
      </c>
      <c r="C213" s="1456">
        <f t="shared" ca="1" si="89"/>
        <v>1.5756119393794135</v>
      </c>
      <c r="D213" s="1098">
        <f t="shared" ca="1" si="88"/>
        <v>238</v>
      </c>
      <c r="E213" s="1459">
        <f t="shared" ca="1" si="90"/>
        <v>1.5669698358819586</v>
      </c>
      <c r="F213" s="1459">
        <f t="shared" ca="1" si="91"/>
        <v>1.5756119393794135</v>
      </c>
      <c r="G213" s="1458">
        <f t="shared" ca="1" si="92"/>
        <v>1.5712908876306861</v>
      </c>
      <c r="H213" s="1098">
        <f t="shared" ca="1" si="93"/>
        <v>0.11899999999999999</v>
      </c>
      <c r="I213" s="1098">
        <f t="shared" ca="1" si="95"/>
        <v>0.75049999999999994</v>
      </c>
      <c r="J213" s="1098"/>
      <c r="K213" s="1098"/>
      <c r="L213" s="1098"/>
      <c r="M213" s="1098"/>
      <c r="N213" s="1098"/>
      <c r="O213" s="1098"/>
      <c r="P213" s="1098"/>
      <c r="Q213" s="1098"/>
      <c r="R213" s="1098"/>
      <c r="S213" s="1098"/>
      <c r="T213" s="1098"/>
      <c r="U213" s="1098"/>
      <c r="V213" s="1098"/>
      <c r="W213" s="1098"/>
      <c r="X213" s="1098"/>
      <c r="Y213" s="1098"/>
      <c r="Z213" s="1098"/>
      <c r="AA213" s="1098"/>
      <c r="AB213" s="1098"/>
      <c r="AC213" s="1098"/>
      <c r="AD213" s="1098"/>
      <c r="AE213" s="1098"/>
      <c r="AF213" s="1098"/>
      <c r="AG213" s="1098"/>
      <c r="AH213" s="1098"/>
      <c r="AI213" s="1098"/>
      <c r="AJ213" s="1098"/>
    </row>
    <row r="214" spans="1:36" x14ac:dyDescent="0.25">
      <c r="A214" s="1098"/>
      <c r="B214" s="1103">
        <f t="shared" ca="1" si="94"/>
        <v>1.5756119393794135</v>
      </c>
      <c r="C214" s="1456">
        <f t="shared" ca="1" si="89"/>
        <v>1.5842540428768683</v>
      </c>
      <c r="D214" s="1098">
        <f t="shared" ca="1" si="88"/>
        <v>188</v>
      </c>
      <c r="E214" s="1459">
        <f t="shared" ca="1" si="90"/>
        <v>1.5756119393794135</v>
      </c>
      <c r="F214" s="1459">
        <f t="shared" ca="1" si="91"/>
        <v>1.5842540428768683</v>
      </c>
      <c r="G214" s="1458">
        <f t="shared" ca="1" si="92"/>
        <v>1.5799329911281408</v>
      </c>
      <c r="H214" s="1098">
        <f t="shared" ca="1" si="93"/>
        <v>9.4E-2</v>
      </c>
      <c r="I214" s="1098">
        <f t="shared" ca="1" si="95"/>
        <v>0.84449999999999992</v>
      </c>
      <c r="J214" s="1098"/>
      <c r="K214" s="1098"/>
      <c r="L214" s="1098"/>
      <c r="M214" s="1098"/>
      <c r="N214" s="1098"/>
      <c r="O214" s="1098"/>
      <c r="P214" s="1098"/>
      <c r="Q214" s="1098"/>
      <c r="R214" s="1098"/>
      <c r="S214" s="1098"/>
      <c r="T214" s="1098"/>
      <c r="U214" s="1098"/>
      <c r="V214" s="1098"/>
      <c r="W214" s="1098"/>
      <c r="X214" s="1098"/>
      <c r="Y214" s="1098"/>
      <c r="Z214" s="1098"/>
      <c r="AA214" s="1098"/>
      <c r="AB214" s="1098"/>
      <c r="AC214" s="1098"/>
      <c r="AD214" s="1098"/>
      <c r="AE214" s="1098"/>
      <c r="AF214" s="1098"/>
      <c r="AG214" s="1098"/>
      <c r="AH214" s="1098"/>
      <c r="AI214" s="1098"/>
      <c r="AJ214" s="1098"/>
    </row>
    <row r="215" spans="1:36" x14ac:dyDescent="0.25">
      <c r="A215" s="1098"/>
      <c r="B215" s="1103">
        <f t="shared" ca="1" si="94"/>
        <v>1.5842540428768683</v>
      </c>
      <c r="C215" s="1456">
        <f t="shared" ca="1" si="89"/>
        <v>1.5928961463743232</v>
      </c>
      <c r="D215" s="1098">
        <f t="shared" ca="1" si="88"/>
        <v>129</v>
      </c>
      <c r="E215" s="1459">
        <f t="shared" ca="1" si="90"/>
        <v>1.5842540428768683</v>
      </c>
      <c r="F215" s="1459">
        <f t="shared" ca="1" si="91"/>
        <v>1.5928961463743232</v>
      </c>
      <c r="G215" s="1458">
        <f t="shared" ca="1" si="92"/>
        <v>1.5885750946255959</v>
      </c>
      <c r="H215" s="1098">
        <f t="shared" ca="1" si="93"/>
        <v>6.4500000000000002E-2</v>
      </c>
      <c r="I215" s="1098">
        <f t="shared" ca="1" si="95"/>
        <v>0.90899999999999992</v>
      </c>
      <c r="J215" s="1098"/>
      <c r="K215" s="1098"/>
      <c r="L215" s="1098"/>
      <c r="M215" s="1098"/>
      <c r="N215" s="1098"/>
      <c r="O215" s="1098"/>
      <c r="P215" s="1098"/>
      <c r="Q215" s="1098"/>
      <c r="R215" s="1098"/>
      <c r="S215" s="1098"/>
      <c r="T215" s="1098"/>
      <c r="U215" s="1098"/>
      <c r="V215" s="1098"/>
      <c r="W215" s="1098"/>
      <c r="X215" s="1098"/>
      <c r="Y215" s="1098"/>
      <c r="Z215" s="1098"/>
      <c r="AA215" s="1098"/>
      <c r="AB215" s="1098"/>
      <c r="AC215" s="1098"/>
      <c r="AD215" s="1098"/>
      <c r="AE215" s="1098"/>
      <c r="AF215" s="1098"/>
      <c r="AG215" s="1098"/>
      <c r="AH215" s="1098"/>
      <c r="AI215" s="1098"/>
      <c r="AJ215" s="1098"/>
    </row>
    <row r="216" spans="1:36" x14ac:dyDescent="0.25">
      <c r="A216" s="1098"/>
      <c r="B216" s="1103">
        <f t="shared" ca="1" si="94"/>
        <v>1.5928961463743232</v>
      </c>
      <c r="C216" s="1456">
        <f t="shared" ca="1" si="89"/>
        <v>1.6015382498717781</v>
      </c>
      <c r="D216" s="1098">
        <f t="shared" ca="1" si="88"/>
        <v>84</v>
      </c>
      <c r="E216" s="1459">
        <f t="shared" ca="1" si="90"/>
        <v>1.5928961463743232</v>
      </c>
      <c r="F216" s="1459">
        <f t="shared" ca="1" si="91"/>
        <v>1.6015382498717781</v>
      </c>
      <c r="G216" s="1458">
        <f t="shared" ca="1" si="92"/>
        <v>1.5972171981230505</v>
      </c>
      <c r="H216" s="1098">
        <f t="shared" ca="1" si="93"/>
        <v>4.2000000000000003E-2</v>
      </c>
      <c r="I216" s="1098">
        <f t="shared" ca="1" si="95"/>
        <v>0.95099999999999996</v>
      </c>
      <c r="J216" s="1098"/>
      <c r="K216" s="1098"/>
      <c r="L216" s="1098"/>
      <c r="M216" s="1098"/>
      <c r="N216" s="1098"/>
      <c r="O216" s="1098"/>
      <c r="P216" s="1098"/>
      <c r="Q216" s="1098"/>
      <c r="R216" s="1098"/>
      <c r="S216" s="1098"/>
      <c r="T216" s="1098"/>
      <c r="U216" s="1098"/>
      <c r="V216" s="1098"/>
      <c r="W216" s="1098"/>
      <c r="X216" s="1098"/>
      <c r="Y216" s="1098"/>
      <c r="Z216" s="1098"/>
      <c r="AA216" s="1098"/>
      <c r="AB216" s="1098"/>
      <c r="AC216" s="1098"/>
      <c r="AD216" s="1098"/>
      <c r="AE216" s="1098"/>
      <c r="AF216" s="1098"/>
      <c r="AG216" s="1098"/>
      <c r="AH216" s="1098"/>
      <c r="AI216" s="1098"/>
      <c r="AJ216" s="1098"/>
    </row>
    <row r="217" spans="1:36" x14ac:dyDescent="0.25">
      <c r="A217" s="1098"/>
      <c r="B217" s="1103">
        <f t="shared" ca="1" si="94"/>
        <v>1.6015382498717781</v>
      </c>
      <c r="C217" s="1456">
        <f t="shared" ca="1" si="89"/>
        <v>1.6101803533692329</v>
      </c>
      <c r="D217" s="1098">
        <f t="shared" ca="1" si="88"/>
        <v>64</v>
      </c>
      <c r="E217" s="1459">
        <f t="shared" ca="1" si="90"/>
        <v>1.6015382498717781</v>
      </c>
      <c r="F217" s="1459">
        <f t="shared" ca="1" si="91"/>
        <v>1.6101803533692329</v>
      </c>
      <c r="G217" s="1458">
        <f t="shared" ca="1" si="92"/>
        <v>1.6058593016205056</v>
      </c>
      <c r="H217" s="1098">
        <f t="shared" ca="1" si="93"/>
        <v>3.2000000000000001E-2</v>
      </c>
      <c r="I217" s="1098">
        <f t="shared" ca="1" si="95"/>
        <v>0.98299999999999998</v>
      </c>
      <c r="J217" s="1098"/>
      <c r="K217" s="1098"/>
      <c r="L217" s="1098"/>
      <c r="M217" s="1098"/>
      <c r="N217" s="1098"/>
      <c r="O217" s="1098"/>
      <c r="P217" s="1098"/>
      <c r="Q217" s="1098"/>
      <c r="R217" s="1098"/>
      <c r="S217" s="1098"/>
      <c r="T217" s="1098"/>
      <c r="U217" s="1098"/>
      <c r="V217" s="1098"/>
      <c r="W217" s="1098"/>
      <c r="X217" s="1098"/>
      <c r="Y217" s="1098"/>
      <c r="Z217" s="1098"/>
      <c r="AA217" s="1098"/>
      <c r="AB217" s="1098"/>
      <c r="AC217" s="1098"/>
      <c r="AD217" s="1098"/>
      <c r="AE217" s="1098"/>
      <c r="AF217" s="1098"/>
      <c r="AG217" s="1098"/>
      <c r="AH217" s="1098"/>
      <c r="AI217" s="1098"/>
      <c r="AJ217" s="1098"/>
    </row>
    <row r="218" spans="1:36" x14ac:dyDescent="0.25">
      <c r="A218" s="1098"/>
      <c r="B218" s="1103">
        <f t="shared" ca="1" si="94"/>
        <v>1.6101803533692329</v>
      </c>
      <c r="C218" s="1456">
        <f t="shared" ca="1" si="89"/>
        <v>1.6188224568666878</v>
      </c>
      <c r="D218" s="1098">
        <f t="shared" ca="1" si="88"/>
        <v>24</v>
      </c>
      <c r="E218" s="1459">
        <f t="shared" ca="1" si="90"/>
        <v>1.6101803533692329</v>
      </c>
      <c r="F218" s="1459">
        <f t="shared" ca="1" si="91"/>
        <v>1.6188224568666878</v>
      </c>
      <c r="G218" s="1458">
        <f t="shared" ca="1" si="92"/>
        <v>1.6145014051179603</v>
      </c>
      <c r="H218" s="1098">
        <f t="shared" ca="1" si="93"/>
        <v>1.2E-2</v>
      </c>
      <c r="I218" s="1098">
        <f t="shared" ca="1" si="95"/>
        <v>0.995</v>
      </c>
      <c r="J218" s="1098"/>
      <c r="K218" s="1098"/>
      <c r="L218" s="1098"/>
      <c r="M218" s="1098"/>
      <c r="N218" s="1098"/>
      <c r="O218" s="1098"/>
      <c r="P218" s="1098"/>
      <c r="Q218" s="1098"/>
      <c r="R218" s="1098"/>
      <c r="S218" s="1098"/>
      <c r="T218" s="1098"/>
      <c r="U218" s="1098"/>
      <c r="V218" s="1098"/>
      <c r="W218" s="1098"/>
      <c r="X218" s="1098"/>
      <c r="Y218" s="1098"/>
      <c r="Z218" s="1098"/>
      <c r="AA218" s="1098"/>
      <c r="AB218" s="1098"/>
      <c r="AC218" s="1098"/>
      <c r="AD218" s="1098"/>
      <c r="AE218" s="1098"/>
      <c r="AF218" s="1098"/>
      <c r="AG218" s="1098"/>
      <c r="AH218" s="1098"/>
      <c r="AI218" s="1098"/>
      <c r="AJ218" s="1098"/>
    </row>
    <row r="219" spans="1:36" x14ac:dyDescent="0.25">
      <c r="A219" s="1098"/>
      <c r="B219" s="1103">
        <f t="shared" ca="1" si="94"/>
        <v>1.6188224568666878</v>
      </c>
      <c r="C219" s="1456">
        <f t="shared" ca="1" si="89"/>
        <v>1.6274645603641427</v>
      </c>
      <c r="D219" s="1098">
        <f t="shared" ca="1" si="88"/>
        <v>7</v>
      </c>
      <c r="E219" s="1459">
        <f t="shared" ca="1" si="90"/>
        <v>1.6188224568666878</v>
      </c>
      <c r="F219" s="1459">
        <f t="shared" ca="1" si="91"/>
        <v>1.6274645603641427</v>
      </c>
      <c r="G219" s="1458">
        <f t="shared" ca="1" si="92"/>
        <v>1.6231435086154153</v>
      </c>
      <c r="H219" s="1098">
        <f t="shared" ca="1" si="93"/>
        <v>3.5000000000000001E-3</v>
      </c>
      <c r="I219" s="1098">
        <f t="shared" ca="1" si="95"/>
        <v>0.99849999999999994</v>
      </c>
      <c r="J219" s="1098"/>
      <c r="K219" s="1098"/>
      <c r="L219" s="1098"/>
      <c r="M219" s="1098"/>
      <c r="N219" s="1098"/>
      <c r="O219" s="1098"/>
      <c r="P219" s="1098"/>
      <c r="Q219" s="1098"/>
      <c r="R219" s="1098"/>
      <c r="S219" s="1098"/>
      <c r="T219" s="1098"/>
      <c r="U219" s="1098"/>
      <c r="V219" s="1098"/>
      <c r="W219" s="1098"/>
      <c r="X219" s="1098"/>
      <c r="Y219" s="1098"/>
      <c r="Z219" s="1098"/>
      <c r="AA219" s="1098"/>
      <c r="AB219" s="1098"/>
      <c r="AC219" s="1098"/>
      <c r="AD219" s="1098"/>
      <c r="AE219" s="1098"/>
      <c r="AF219" s="1098"/>
      <c r="AG219" s="1098"/>
      <c r="AH219" s="1098"/>
      <c r="AI219" s="1098"/>
      <c r="AJ219" s="1098"/>
    </row>
    <row r="220" spans="1:36" x14ac:dyDescent="0.25">
      <c r="A220" s="1098"/>
      <c r="B220" s="1103">
        <f t="shared" ca="1" si="94"/>
        <v>1.6274645603641427</v>
      </c>
      <c r="C220" s="1456">
        <f t="shared" ca="1" si="89"/>
        <v>1.6361066638615975</v>
      </c>
      <c r="D220" s="1098">
        <f t="shared" ca="1" si="88"/>
        <v>1</v>
      </c>
      <c r="E220" s="1459">
        <f t="shared" ca="1" si="90"/>
        <v>1.6274645603641427</v>
      </c>
      <c r="F220" s="1459">
        <f t="shared" ca="1" si="91"/>
        <v>1.6361066638615975</v>
      </c>
      <c r="G220" s="1458">
        <f t="shared" ca="1" si="92"/>
        <v>1.63178561211287</v>
      </c>
      <c r="H220" s="1098">
        <f t="shared" ca="1" si="93"/>
        <v>5.0000000000000001E-4</v>
      </c>
      <c r="I220" s="1098">
        <f t="shared" ca="1" si="95"/>
        <v>0.99899999999999989</v>
      </c>
      <c r="J220" s="1098"/>
      <c r="K220" s="1098"/>
      <c r="L220" s="1098"/>
      <c r="M220" s="1098"/>
      <c r="N220" s="1098"/>
      <c r="O220" s="1098"/>
      <c r="P220" s="1098"/>
      <c r="Q220" s="1098"/>
      <c r="R220" s="1098"/>
      <c r="S220" s="1098"/>
      <c r="T220" s="1098"/>
      <c r="U220" s="1098"/>
      <c r="V220" s="1098"/>
      <c r="W220" s="1098"/>
      <c r="X220" s="1098"/>
      <c r="Y220" s="1098"/>
      <c r="Z220" s="1098"/>
      <c r="AA220" s="1098"/>
      <c r="AB220" s="1098"/>
      <c r="AC220" s="1098"/>
      <c r="AD220" s="1098"/>
      <c r="AE220" s="1098"/>
      <c r="AF220" s="1098"/>
      <c r="AG220" s="1098"/>
      <c r="AH220" s="1098"/>
      <c r="AI220" s="1098"/>
      <c r="AJ220" s="1098"/>
    </row>
    <row r="221" spans="1:36" x14ac:dyDescent="0.25">
      <c r="A221" s="1098"/>
      <c r="B221" s="1103">
        <f t="shared" ca="1" si="94"/>
        <v>1.6361066638615975</v>
      </c>
      <c r="C221" s="1456">
        <f ca="1">+B221+($C$197/20)+0.000001</f>
        <v>1.6447497673590523</v>
      </c>
      <c r="D221" s="1098">
        <f t="shared" ca="1" si="88"/>
        <v>2</v>
      </c>
      <c r="E221" s="1459">
        <f t="shared" ca="1" si="90"/>
        <v>1.6361066638615975</v>
      </c>
      <c r="F221" s="1459">
        <f t="shared" ca="1" si="91"/>
        <v>1.6447497673590523</v>
      </c>
      <c r="G221" s="1458">
        <f t="shared" ca="1" si="92"/>
        <v>1.6404282156103249</v>
      </c>
      <c r="H221" s="1098">
        <f t="shared" ca="1" si="93"/>
        <v>1E-3</v>
      </c>
      <c r="I221" s="1098">
        <f t="shared" ca="1" si="95"/>
        <v>0.99999999999999989</v>
      </c>
      <c r="J221" s="1098"/>
      <c r="K221" s="1098"/>
      <c r="L221" s="1098"/>
      <c r="M221" s="1098"/>
      <c r="N221" s="1098"/>
      <c r="O221" s="1098"/>
      <c r="P221" s="1098"/>
      <c r="Q221" s="1098"/>
      <c r="R221" s="1098"/>
      <c r="S221" s="1098"/>
      <c r="T221" s="1098"/>
      <c r="U221" s="1098"/>
      <c r="V221" s="1098"/>
      <c r="W221" s="1098"/>
      <c r="X221" s="1098"/>
      <c r="Y221" s="1098"/>
      <c r="Z221" s="1098"/>
      <c r="AA221" s="1098"/>
      <c r="AB221" s="1098"/>
      <c r="AC221" s="1098"/>
      <c r="AD221" s="1098"/>
      <c r="AE221" s="1098"/>
      <c r="AF221" s="1098"/>
      <c r="AG221" s="1098"/>
      <c r="AH221" s="1098"/>
      <c r="AI221" s="1098"/>
      <c r="AJ221" s="1098"/>
    </row>
    <row r="222" spans="1:36" x14ac:dyDescent="0.25">
      <c r="A222" s="1098"/>
      <c r="B222" s="1099"/>
      <c r="C222" s="1460"/>
      <c r="D222" s="1098"/>
      <c r="E222" s="1098"/>
      <c r="F222" s="1098">
        <f t="shared" ca="1" si="91"/>
        <v>0</v>
      </c>
      <c r="G222" s="1458">
        <f t="shared" ca="1" si="92"/>
        <v>0</v>
      </c>
      <c r="H222" s="1098"/>
      <c r="I222" s="1098"/>
      <c r="J222" s="1098"/>
      <c r="K222" s="1098"/>
      <c r="L222" s="1098"/>
      <c r="M222" s="1098"/>
      <c r="N222" s="1098"/>
      <c r="O222" s="1098"/>
      <c r="P222" s="1098"/>
      <c r="Q222" s="1098"/>
      <c r="R222" s="1098"/>
      <c r="S222" s="1098"/>
      <c r="T222" s="1098"/>
      <c r="U222" s="1098"/>
      <c r="V222" s="1098"/>
      <c r="W222" s="1098"/>
      <c r="X222" s="1098"/>
      <c r="Y222" s="1098"/>
      <c r="Z222" s="1098"/>
      <c r="AA222" s="1098"/>
      <c r="AB222" s="1098"/>
      <c r="AC222" s="1098"/>
      <c r="AD222" s="1098"/>
      <c r="AE222" s="1098"/>
      <c r="AF222" s="1098"/>
      <c r="AG222" s="1098"/>
      <c r="AH222" s="1098"/>
      <c r="AI222" s="1098"/>
      <c r="AJ222" s="1098"/>
    </row>
    <row r="223" spans="1:36" x14ac:dyDescent="0.25">
      <c r="A223" s="1098"/>
      <c r="B223" s="1099" t="s">
        <v>1310</v>
      </c>
      <c r="C223" s="1098"/>
      <c r="D223" s="1098">
        <f ca="1">+SUM(D202:D221)</f>
        <v>2000</v>
      </c>
      <c r="E223" s="1098"/>
      <c r="F223" s="1098"/>
      <c r="G223" s="1098"/>
      <c r="H223" s="1098"/>
      <c r="I223" s="1098"/>
      <c r="J223" s="1098"/>
      <c r="K223" s="1098"/>
      <c r="L223" s="1098"/>
      <c r="M223" s="1098"/>
      <c r="N223" s="1098"/>
      <c r="O223" s="1098"/>
      <c r="P223" s="1098"/>
      <c r="Q223" s="1098"/>
      <c r="R223" s="1098"/>
      <c r="S223" s="1098"/>
      <c r="T223" s="1098"/>
      <c r="U223" s="1098"/>
      <c r="V223" s="1098"/>
      <c r="W223" s="1098"/>
      <c r="X223" s="1098"/>
      <c r="Y223" s="1098"/>
      <c r="Z223" s="1098"/>
      <c r="AA223" s="1098"/>
      <c r="AB223" s="1098"/>
      <c r="AC223" s="1098"/>
      <c r="AD223" s="1098"/>
      <c r="AE223" s="1098"/>
      <c r="AF223" s="1098"/>
      <c r="AG223" s="1098"/>
      <c r="AH223" s="1098"/>
      <c r="AI223" s="1098"/>
      <c r="AJ223" s="1098"/>
    </row>
    <row r="224" spans="1:36" x14ac:dyDescent="0.25">
      <c r="A224" s="1098"/>
      <c r="B224" s="1098" t="str">
        <f t="array" ref="B224:B238">+TRANSPOSE(Sensitivity_output)</f>
        <v>Cost of hydrogen ($/kg)</v>
      </c>
      <c r="C224" s="1098"/>
      <c r="D224" s="1098"/>
      <c r="E224" s="1098"/>
      <c r="F224" s="1098"/>
      <c r="G224" s="1098"/>
      <c r="H224" s="1098"/>
      <c r="I224" s="1098"/>
      <c r="J224" s="1098"/>
      <c r="K224" s="1098"/>
      <c r="L224" s="1098"/>
      <c r="M224" s="1098"/>
      <c r="N224" s="1098"/>
      <c r="O224" s="1098"/>
      <c r="P224" s="1098"/>
      <c r="Q224" s="1098"/>
      <c r="R224" s="1098"/>
      <c r="S224" s="1098"/>
      <c r="T224" s="1098"/>
      <c r="U224" s="1098"/>
      <c r="V224" s="1098"/>
      <c r="W224" s="1098"/>
      <c r="X224" s="1098"/>
      <c r="Y224" s="1098"/>
      <c r="Z224" s="1098"/>
      <c r="AA224" s="1098"/>
      <c r="AB224" s="1098"/>
      <c r="AC224" s="1098"/>
      <c r="AD224" s="1098"/>
      <c r="AE224" s="1098"/>
      <c r="AF224" s="1098"/>
      <c r="AG224" s="1098"/>
      <c r="AH224" s="1098"/>
      <c r="AI224" s="1098"/>
      <c r="AJ224" s="1098"/>
    </row>
    <row r="225" spans="1:36" x14ac:dyDescent="0.25">
      <c r="A225" s="1098"/>
      <c r="B225" s="1098" t="str">
        <v>Revenue from byproduct sales ($/kg)</v>
      </c>
      <c r="C225" s="1098"/>
      <c r="D225" s="1098"/>
      <c r="E225" s="1098"/>
      <c r="F225" s="1098"/>
      <c r="G225" s="1098"/>
      <c r="H225" s="1098"/>
      <c r="I225" s="1098"/>
      <c r="J225" s="1098"/>
      <c r="K225" s="1098"/>
      <c r="L225" s="1098"/>
      <c r="M225" s="1098"/>
      <c r="N225" s="1098"/>
      <c r="O225" s="1098"/>
      <c r="P225" s="1098"/>
      <c r="Q225" s="1098"/>
      <c r="R225" s="1098"/>
      <c r="S225" s="1098"/>
      <c r="T225" s="1098"/>
      <c r="U225" s="1098"/>
      <c r="V225" s="1098"/>
      <c r="W225" s="1098"/>
      <c r="X225" s="1098"/>
      <c r="Y225" s="1098"/>
      <c r="Z225" s="1098"/>
      <c r="AA225" s="1098"/>
      <c r="AB225" s="1098"/>
      <c r="AC225" s="1098"/>
      <c r="AD225" s="1098"/>
      <c r="AE225" s="1098"/>
      <c r="AF225" s="1098"/>
      <c r="AG225" s="1098"/>
      <c r="AH225" s="1098"/>
      <c r="AI225" s="1098"/>
      <c r="AJ225" s="1098"/>
    </row>
    <row r="226" spans="1:36" x14ac:dyDescent="0.25">
      <c r="A226" s="1098"/>
      <c r="B226" s="1098" t="str">
        <v>Salvage value ($/kg)</v>
      </c>
      <c r="C226" s="1098"/>
      <c r="D226" s="1098"/>
      <c r="E226" s="1098"/>
      <c r="F226" s="1098"/>
      <c r="G226" s="1098"/>
      <c r="H226" s="1098"/>
      <c r="I226" s="1098"/>
      <c r="J226" s="1098"/>
      <c r="K226" s="1098"/>
      <c r="L226" s="1098"/>
      <c r="M226" s="1098"/>
      <c r="N226" s="1098"/>
      <c r="O226" s="1098"/>
      <c r="P226" s="1098"/>
      <c r="Q226" s="1098"/>
      <c r="R226" s="1098"/>
      <c r="S226" s="1098"/>
      <c r="T226" s="1098"/>
      <c r="U226" s="1098"/>
      <c r="V226" s="1098"/>
      <c r="W226" s="1098"/>
      <c r="X226" s="1098"/>
      <c r="Y226" s="1098"/>
      <c r="Z226" s="1098"/>
      <c r="AA226" s="1098"/>
      <c r="AB226" s="1098"/>
      <c r="AC226" s="1098"/>
      <c r="AD226" s="1098"/>
      <c r="AE226" s="1098"/>
      <c r="AF226" s="1098"/>
      <c r="AG226" s="1098"/>
      <c r="AH226" s="1098"/>
      <c r="AI226" s="1098"/>
      <c r="AJ226" s="1098"/>
    </row>
    <row r="227" spans="1:36" x14ac:dyDescent="0.25">
      <c r="A227" s="1098"/>
      <c r="B227" s="1098" t="str">
        <v>Initial equity depreciable capital ($/kg)</v>
      </c>
      <c r="C227" s="1098"/>
      <c r="D227" s="1098"/>
      <c r="E227" s="1098"/>
      <c r="F227" s="1098"/>
      <c r="G227" s="1098"/>
      <c r="H227" s="1098"/>
      <c r="I227" s="1098"/>
      <c r="J227" s="1098"/>
      <c r="K227" s="1098"/>
      <c r="L227" s="1098"/>
      <c r="M227" s="1098"/>
      <c r="N227" s="1098"/>
      <c r="O227" s="1098"/>
      <c r="P227" s="1098"/>
      <c r="Q227" s="1098"/>
      <c r="R227" s="1098"/>
      <c r="S227" s="1098"/>
      <c r="T227" s="1098"/>
      <c r="U227" s="1098"/>
      <c r="V227" s="1098"/>
      <c r="W227" s="1098"/>
      <c r="X227" s="1098"/>
      <c r="Y227" s="1098"/>
      <c r="Z227" s="1098"/>
      <c r="AA227" s="1098"/>
      <c r="AB227" s="1098"/>
      <c r="AC227" s="1098"/>
      <c r="AD227" s="1098"/>
      <c r="AE227" s="1098"/>
      <c r="AF227" s="1098"/>
      <c r="AG227" s="1098"/>
      <c r="AH227" s="1098"/>
      <c r="AI227" s="1098"/>
      <c r="AJ227" s="1098"/>
    </row>
    <row r="228" spans="1:36" x14ac:dyDescent="0.25">
      <c r="A228" s="1098"/>
      <c r="B228" s="1098" t="str">
        <v>Yearly replacement costs ($/kg)</v>
      </c>
      <c r="C228" s="1098"/>
      <c r="D228" s="1098"/>
      <c r="E228" s="1098"/>
      <c r="F228" s="1098"/>
      <c r="G228" s="1098"/>
      <c r="H228" s="1098"/>
      <c r="I228" s="1098"/>
      <c r="J228" s="1098"/>
      <c r="K228" s="1098"/>
      <c r="L228" s="1098"/>
      <c r="M228" s="1098"/>
      <c r="N228" s="1098"/>
      <c r="O228" s="1098"/>
      <c r="P228" s="1098"/>
      <c r="Q228" s="1098"/>
      <c r="R228" s="1098"/>
      <c r="S228" s="1098"/>
      <c r="T228" s="1098"/>
      <c r="U228" s="1098"/>
      <c r="V228" s="1098"/>
      <c r="W228" s="1098"/>
      <c r="X228" s="1098"/>
      <c r="Y228" s="1098"/>
      <c r="Z228" s="1098"/>
      <c r="AA228" s="1098"/>
      <c r="AB228" s="1098"/>
      <c r="AC228" s="1098"/>
      <c r="AD228" s="1098"/>
      <c r="AE228" s="1098"/>
      <c r="AF228" s="1098"/>
      <c r="AG228" s="1098"/>
      <c r="AH228" s="1098"/>
      <c r="AI228" s="1098"/>
      <c r="AJ228" s="1098"/>
    </row>
    <row r="229" spans="1:36" x14ac:dyDescent="0.25">
      <c r="A229" s="1098"/>
      <c r="B229" s="1098" t="str">
        <v>Cash from working capital reserve ($/kg)</v>
      </c>
      <c r="C229" s="1098"/>
      <c r="D229" s="1098"/>
      <c r="E229" s="1098"/>
      <c r="F229" s="1098"/>
      <c r="G229" s="1098"/>
      <c r="H229" s="1098"/>
      <c r="I229" s="1098"/>
      <c r="J229" s="1098"/>
      <c r="K229" s="1098"/>
      <c r="L229" s="1098"/>
      <c r="M229" s="1098"/>
      <c r="N229" s="1098"/>
      <c r="O229" s="1098"/>
      <c r="P229" s="1098"/>
      <c r="Q229" s="1098"/>
      <c r="R229" s="1098"/>
      <c r="S229" s="1098"/>
      <c r="T229" s="1098"/>
      <c r="U229" s="1098"/>
      <c r="V229" s="1098"/>
      <c r="W229" s="1098"/>
      <c r="X229" s="1098"/>
      <c r="Y229" s="1098"/>
      <c r="Z229" s="1098"/>
      <c r="AA229" s="1098"/>
      <c r="AB229" s="1098"/>
      <c r="AC229" s="1098"/>
      <c r="AD229" s="1098"/>
      <c r="AE229" s="1098"/>
      <c r="AF229" s="1098"/>
      <c r="AG229" s="1098"/>
      <c r="AH229" s="1098"/>
      <c r="AI229" s="1098"/>
      <c r="AJ229" s="1098"/>
    </row>
    <row r="230" spans="1:36" x14ac:dyDescent="0.25">
      <c r="A230" s="1098"/>
      <c r="B230" s="1098" t="str">
        <v>Other non-depreciable capital costs ($/kg)</v>
      </c>
      <c r="C230" s="1098"/>
      <c r="D230" s="1098"/>
      <c r="E230" s="1098"/>
      <c r="F230" s="1098"/>
      <c r="G230" s="1098"/>
      <c r="H230" s="1098"/>
      <c r="I230" s="1098"/>
      <c r="J230" s="1098"/>
      <c r="K230" s="1098"/>
      <c r="L230" s="1098"/>
      <c r="M230" s="1098"/>
      <c r="N230" s="1098"/>
      <c r="O230" s="1098"/>
      <c r="P230" s="1098"/>
      <c r="Q230" s="1098"/>
      <c r="R230" s="1098"/>
      <c r="S230" s="1098"/>
      <c r="T230" s="1098"/>
      <c r="U230" s="1098"/>
      <c r="V230" s="1098"/>
      <c r="W230" s="1098"/>
      <c r="X230" s="1098"/>
      <c r="Y230" s="1098"/>
      <c r="Z230" s="1098"/>
      <c r="AA230" s="1098"/>
      <c r="AB230" s="1098"/>
      <c r="AC230" s="1098"/>
      <c r="AD230" s="1098"/>
      <c r="AE230" s="1098"/>
      <c r="AF230" s="1098"/>
      <c r="AG230" s="1098"/>
      <c r="AH230" s="1098"/>
      <c r="AI230" s="1098"/>
      <c r="AJ230" s="1098"/>
    </row>
    <row r="231" spans="1:36" x14ac:dyDescent="0.25">
      <c r="A231" s="1098"/>
      <c r="B231" s="1098" t="str">
        <v>Decommissioning costs ($/kg)</v>
      </c>
      <c r="C231" s="1098"/>
      <c r="D231" s="1098"/>
      <c r="E231" s="1098"/>
      <c r="F231" s="1098"/>
      <c r="G231" s="1098"/>
      <c r="H231" s="1098"/>
      <c r="I231" s="1098"/>
      <c r="J231" s="1098"/>
      <c r="K231" s="1098"/>
      <c r="L231" s="1098"/>
      <c r="M231" s="1098"/>
      <c r="N231" s="1098"/>
      <c r="O231" s="1098"/>
      <c r="P231" s="1098"/>
      <c r="Q231" s="1098"/>
      <c r="R231" s="1098"/>
      <c r="S231" s="1098"/>
      <c r="T231" s="1098"/>
      <c r="U231" s="1098"/>
      <c r="V231" s="1098"/>
      <c r="W231" s="1098"/>
      <c r="X231" s="1098"/>
      <c r="Y231" s="1098"/>
      <c r="Z231" s="1098"/>
      <c r="AA231" s="1098"/>
      <c r="AB231" s="1098"/>
      <c r="AC231" s="1098"/>
      <c r="AD231" s="1098"/>
      <c r="AE231" s="1098"/>
      <c r="AF231" s="1098"/>
      <c r="AG231" s="1098"/>
      <c r="AH231" s="1098"/>
      <c r="AI231" s="1098"/>
      <c r="AJ231" s="1098"/>
    </row>
    <row r="232" spans="1:36" x14ac:dyDescent="0.25">
      <c r="A232" s="1098"/>
      <c r="B232" s="1098" t="str">
        <v>Fixed operating cost ($/kg)</v>
      </c>
      <c r="C232" s="1098"/>
      <c r="D232" s="1098"/>
      <c r="E232" s="1098"/>
      <c r="F232" s="1098"/>
      <c r="G232" s="1098"/>
      <c r="H232" s="1098"/>
      <c r="I232" s="1098"/>
      <c r="J232" s="1098"/>
      <c r="K232" s="1098"/>
      <c r="L232" s="1098"/>
      <c r="M232" s="1098"/>
      <c r="N232" s="1098"/>
      <c r="O232" s="1098"/>
      <c r="P232" s="1098"/>
      <c r="Q232" s="1098"/>
      <c r="R232" s="1098"/>
      <c r="S232" s="1098"/>
      <c r="T232" s="1098"/>
      <c r="U232" s="1098"/>
      <c r="V232" s="1098"/>
      <c r="W232" s="1098"/>
      <c r="X232" s="1098"/>
      <c r="Y232" s="1098"/>
      <c r="Z232" s="1098"/>
      <c r="AA232" s="1098"/>
      <c r="AB232" s="1098"/>
      <c r="AC232" s="1098"/>
      <c r="AD232" s="1098"/>
      <c r="AE232" s="1098"/>
      <c r="AF232" s="1098"/>
      <c r="AG232" s="1098"/>
      <c r="AH232" s="1098"/>
      <c r="AI232" s="1098"/>
      <c r="AJ232" s="1098"/>
    </row>
    <row r="233" spans="1:36" x14ac:dyDescent="0.25">
      <c r="A233" s="1098"/>
      <c r="B233" s="1098" t="str">
        <v>Feedstock cost ($/kg)</v>
      </c>
      <c r="C233" s="1098"/>
      <c r="D233" s="1098"/>
      <c r="E233" s="1098"/>
      <c r="F233" s="1098"/>
      <c r="G233" s="1098"/>
      <c r="H233" s="1098"/>
      <c r="I233" s="1098"/>
      <c r="J233" s="1098"/>
      <c r="K233" s="1098"/>
      <c r="L233" s="1098"/>
      <c r="M233" s="1098"/>
      <c r="N233" s="1098"/>
      <c r="O233" s="1098"/>
      <c r="P233" s="1098"/>
      <c r="Q233" s="1098"/>
      <c r="R233" s="1098"/>
      <c r="S233" s="1098"/>
      <c r="T233" s="1098"/>
      <c r="U233" s="1098"/>
      <c r="V233" s="1098"/>
      <c r="W233" s="1098"/>
      <c r="X233" s="1098"/>
      <c r="Y233" s="1098"/>
      <c r="Z233" s="1098"/>
      <c r="AA233" s="1098"/>
      <c r="AB233" s="1098"/>
      <c r="AC233" s="1098"/>
      <c r="AD233" s="1098"/>
      <c r="AE233" s="1098"/>
      <c r="AF233" s="1098"/>
      <c r="AG233" s="1098"/>
      <c r="AH233" s="1098"/>
      <c r="AI233" s="1098"/>
      <c r="AJ233" s="1098"/>
    </row>
    <row r="234" spans="1:36" x14ac:dyDescent="0.25">
      <c r="A234" s="1098"/>
      <c r="B234" s="1098" t="str">
        <v>Other raw material cost ($/kg)</v>
      </c>
      <c r="C234" s="1098"/>
      <c r="D234" s="1098"/>
      <c r="E234" s="1098"/>
      <c r="F234" s="1098"/>
      <c r="G234" s="1098"/>
      <c r="H234" s="1098"/>
      <c r="I234" s="1098"/>
      <c r="J234" s="1098"/>
      <c r="K234" s="1098"/>
      <c r="L234" s="1098"/>
      <c r="M234" s="1098"/>
      <c r="N234" s="1098"/>
      <c r="O234" s="1098"/>
      <c r="P234" s="1098"/>
      <c r="Q234" s="1098"/>
      <c r="R234" s="1098"/>
      <c r="S234" s="1098"/>
      <c r="T234" s="1098"/>
      <c r="U234" s="1098"/>
      <c r="V234" s="1098"/>
      <c r="W234" s="1098"/>
      <c r="X234" s="1098"/>
      <c r="Y234" s="1098"/>
      <c r="Z234" s="1098"/>
      <c r="AA234" s="1098"/>
      <c r="AB234" s="1098"/>
      <c r="AC234" s="1098"/>
      <c r="AD234" s="1098"/>
      <c r="AE234" s="1098"/>
      <c r="AF234" s="1098"/>
      <c r="AG234" s="1098"/>
      <c r="AH234" s="1098"/>
      <c r="AI234" s="1098"/>
      <c r="AJ234" s="1098"/>
    </row>
    <row r="235" spans="1:36" x14ac:dyDescent="0.25">
      <c r="A235" s="1098"/>
      <c r="B235" s="1098" t="str">
        <v>Other variable operating costs ($/kg)</v>
      </c>
      <c r="C235" s="1098"/>
      <c r="D235" s="1098"/>
      <c r="E235" s="1098"/>
      <c r="F235" s="1098"/>
      <c r="G235" s="1098"/>
      <c r="H235" s="1098"/>
      <c r="I235" s="1098"/>
      <c r="J235" s="1098"/>
      <c r="K235" s="1098"/>
      <c r="L235" s="1098"/>
      <c r="M235" s="1098"/>
      <c r="N235" s="1098"/>
      <c r="O235" s="1098"/>
      <c r="P235" s="1098"/>
      <c r="Q235" s="1098"/>
      <c r="R235" s="1098"/>
      <c r="S235" s="1098"/>
      <c r="T235" s="1098"/>
      <c r="U235" s="1098"/>
      <c r="V235" s="1098"/>
      <c r="W235" s="1098"/>
      <c r="X235" s="1098"/>
      <c r="Y235" s="1098"/>
      <c r="Z235" s="1098"/>
      <c r="AA235" s="1098"/>
      <c r="AB235" s="1098"/>
      <c r="AC235" s="1098"/>
      <c r="AD235" s="1098"/>
      <c r="AE235" s="1098"/>
      <c r="AF235" s="1098"/>
      <c r="AG235" s="1098"/>
      <c r="AH235" s="1098"/>
      <c r="AI235" s="1098"/>
      <c r="AJ235" s="1098"/>
    </row>
    <row r="236" spans="1:36" x14ac:dyDescent="0.25">
      <c r="A236" s="1098"/>
      <c r="B236" s="1098" t="str">
        <v>Debt interest ($/kg)</v>
      </c>
      <c r="C236" s="1098"/>
      <c r="D236" s="1098"/>
      <c r="E236" s="1098"/>
      <c r="F236" s="1098"/>
      <c r="G236" s="1098"/>
      <c r="H236" s="1098"/>
      <c r="I236" s="1098"/>
      <c r="J236" s="1098"/>
      <c r="K236" s="1098"/>
      <c r="L236" s="1098"/>
      <c r="M236" s="1098"/>
      <c r="N236" s="1098"/>
      <c r="O236" s="1098"/>
      <c r="P236" s="1098"/>
      <c r="Q236" s="1098"/>
      <c r="R236" s="1098"/>
      <c r="S236" s="1098"/>
      <c r="T236" s="1098"/>
      <c r="U236" s="1098"/>
      <c r="V236" s="1098"/>
      <c r="W236" s="1098"/>
      <c r="X236" s="1098"/>
      <c r="Y236" s="1098"/>
      <c r="Z236" s="1098"/>
      <c r="AA236" s="1098"/>
      <c r="AB236" s="1098"/>
      <c r="AC236" s="1098"/>
      <c r="AD236" s="1098"/>
      <c r="AE236" s="1098"/>
      <c r="AF236" s="1098"/>
      <c r="AG236" s="1098"/>
      <c r="AH236" s="1098"/>
      <c r="AI236" s="1098"/>
      <c r="AJ236" s="1098"/>
    </row>
    <row r="237" spans="1:36" x14ac:dyDescent="0.25">
      <c r="A237" s="1098"/>
      <c r="B237" s="1098" t="str">
        <v>Taxes ($/kg)</v>
      </c>
      <c r="C237" s="1098"/>
      <c r="D237" s="1098"/>
      <c r="E237" s="1098"/>
      <c r="F237" s="1098"/>
      <c r="G237" s="1098"/>
      <c r="H237" s="1098"/>
      <c r="I237" s="1098"/>
      <c r="J237" s="1098"/>
      <c r="K237" s="1098"/>
      <c r="L237" s="1098"/>
      <c r="M237" s="1098"/>
      <c r="N237" s="1098"/>
      <c r="O237" s="1098"/>
      <c r="P237" s="1098"/>
      <c r="Q237" s="1098"/>
      <c r="R237" s="1098"/>
      <c r="S237" s="1098"/>
      <c r="T237" s="1098"/>
      <c r="U237" s="1098"/>
      <c r="V237" s="1098"/>
      <c r="W237" s="1098"/>
      <c r="X237" s="1098"/>
      <c r="Y237" s="1098"/>
      <c r="Z237" s="1098"/>
      <c r="AA237" s="1098"/>
      <c r="AB237" s="1098"/>
      <c r="AC237" s="1098"/>
      <c r="AD237" s="1098"/>
      <c r="AE237" s="1098"/>
      <c r="AF237" s="1098"/>
      <c r="AG237" s="1098"/>
      <c r="AH237" s="1098"/>
      <c r="AI237" s="1098"/>
      <c r="AJ237" s="1098"/>
    </row>
    <row r="238" spans="1:36" x14ac:dyDescent="0.25">
      <c r="A238" s="1098"/>
      <c r="B238" s="1098" t="str">
        <v>Principal payment ($/kg)</v>
      </c>
      <c r="C238" s="1098"/>
      <c r="D238" s="1098"/>
      <c r="E238" s="1098"/>
      <c r="F238" s="1098"/>
      <c r="G238" s="1098"/>
      <c r="H238" s="1098"/>
      <c r="I238" s="1098"/>
      <c r="J238" s="1098"/>
      <c r="K238" s="1098"/>
      <c r="L238" s="1098"/>
      <c r="M238" s="1098"/>
      <c r="N238" s="1098"/>
      <c r="O238" s="1098"/>
      <c r="P238" s="1098"/>
      <c r="Q238" s="1098"/>
      <c r="R238" s="1098"/>
      <c r="S238" s="1098"/>
      <c r="T238" s="1098"/>
      <c r="U238" s="1098"/>
      <c r="V238" s="1098"/>
      <c r="W238" s="1098"/>
      <c r="X238" s="1098"/>
      <c r="Y238" s="1098"/>
      <c r="Z238" s="1098"/>
      <c r="AA238" s="1098"/>
      <c r="AB238" s="1098"/>
      <c r="AC238" s="1098"/>
      <c r="AD238" s="1098"/>
      <c r="AE238" s="1098"/>
      <c r="AF238" s="1098"/>
      <c r="AG238" s="1098"/>
      <c r="AH238" s="1098"/>
      <c r="AI238" s="1098"/>
      <c r="AJ238" s="1098"/>
    </row>
    <row r="239" spans="1:36" x14ac:dyDescent="0.25">
      <c r="A239" s="1098"/>
      <c r="B239" s="1098" t="str">
        <f t="array" ref="B239:B245">+TRANSPOSE(C50:I50)</f>
        <v>Operating capacity factor</v>
      </c>
      <c r="C239" s="1098"/>
      <c r="D239" s="1098"/>
      <c r="E239" s="1098"/>
      <c r="F239" s="1098"/>
      <c r="G239" s="1098"/>
      <c r="H239" s="1098"/>
      <c r="I239" s="1098"/>
      <c r="J239" s="1098"/>
      <c r="K239" s="1098"/>
      <c r="L239" s="1098"/>
      <c r="M239" s="1098"/>
      <c r="N239" s="1098"/>
      <c r="O239" s="1098"/>
      <c r="P239" s="1098"/>
      <c r="Q239" s="1098"/>
      <c r="R239" s="1098"/>
      <c r="S239" s="1098"/>
      <c r="T239" s="1098"/>
      <c r="U239" s="1098"/>
      <c r="V239" s="1098"/>
      <c r="W239" s="1098"/>
      <c r="X239" s="1098"/>
      <c r="Y239" s="1098"/>
      <c r="Z239" s="1098"/>
      <c r="AA239" s="1098"/>
      <c r="AB239" s="1098"/>
      <c r="AC239" s="1098"/>
      <c r="AD239" s="1098"/>
      <c r="AE239" s="1098"/>
      <c r="AF239" s="1098"/>
      <c r="AG239" s="1098"/>
      <c r="AH239" s="1098"/>
      <c r="AI239" s="1098"/>
      <c r="AJ239" s="1098"/>
    </row>
    <row r="240" spans="1:36" x14ac:dyDescent="0.25">
      <c r="A240" s="1098"/>
      <c r="B240" s="1098" t="str">
        <v>Plant design capacity (kg of H2/day)</v>
      </c>
      <c r="C240" s="1098"/>
      <c r="D240" s="1098"/>
      <c r="E240" s="1098"/>
      <c r="F240" s="1098"/>
      <c r="G240" s="1098"/>
      <c r="H240" s="1098"/>
      <c r="I240" s="1098"/>
      <c r="J240" s="1098"/>
      <c r="K240" s="1098"/>
      <c r="L240" s="1098"/>
      <c r="M240" s="1098"/>
      <c r="N240" s="1098"/>
      <c r="O240" s="1098"/>
      <c r="P240" s="1098"/>
      <c r="Q240" s="1098"/>
      <c r="R240" s="1098"/>
      <c r="S240" s="1098"/>
      <c r="T240" s="1098"/>
      <c r="U240" s="1098"/>
      <c r="V240" s="1098"/>
      <c r="W240" s="1098"/>
      <c r="X240" s="1098"/>
      <c r="Y240" s="1098"/>
      <c r="Z240" s="1098"/>
      <c r="AA240" s="1098"/>
      <c r="AB240" s="1098"/>
      <c r="AC240" s="1098"/>
      <c r="AD240" s="1098"/>
      <c r="AE240" s="1098"/>
      <c r="AF240" s="1098"/>
      <c r="AG240" s="1098"/>
      <c r="AH240" s="1098"/>
      <c r="AI240" s="1098"/>
      <c r="AJ240" s="1098"/>
    </row>
    <row r="241" spans="1:36" x14ac:dyDescent="0.25">
      <c r="A241" s="1098"/>
      <c r="B241" s="1098" t="str">
        <v>After-tax real IRR (%)</v>
      </c>
      <c r="C241" s="1098"/>
      <c r="D241" s="1098"/>
      <c r="E241" s="1098"/>
      <c r="F241" s="1098"/>
      <c r="G241" s="1098"/>
      <c r="H241" s="1098"/>
      <c r="I241" s="1098"/>
      <c r="J241" s="1098"/>
      <c r="K241" s="1098"/>
      <c r="L241" s="1098"/>
      <c r="M241" s="1098"/>
      <c r="N241" s="1098"/>
      <c r="O241" s="1098"/>
      <c r="P241" s="1098"/>
      <c r="Q241" s="1098"/>
      <c r="R241" s="1098"/>
      <c r="S241" s="1098"/>
      <c r="T241" s="1098"/>
      <c r="U241" s="1098"/>
      <c r="V241" s="1098"/>
      <c r="W241" s="1098"/>
      <c r="X241" s="1098"/>
      <c r="Y241" s="1098"/>
      <c r="Z241" s="1098"/>
      <c r="AA241" s="1098"/>
      <c r="AB241" s="1098"/>
      <c r="AC241" s="1098"/>
      <c r="AD241" s="1098"/>
      <c r="AE241" s="1098"/>
      <c r="AF241" s="1098"/>
      <c r="AG241" s="1098"/>
      <c r="AH241" s="1098"/>
      <c r="AI241" s="1098"/>
      <c r="AJ241" s="1098"/>
    </row>
    <row r="242" spans="1:36" x14ac:dyDescent="0.25">
      <c r="A242" s="1098"/>
      <c r="B242" s="1098" t="str">
        <v>Feedstock consumption (% of most likely value)</v>
      </c>
      <c r="C242" s="1098"/>
      <c r="D242" s="1098"/>
      <c r="E242" s="1098"/>
      <c r="F242" s="1098"/>
      <c r="G242" s="1098"/>
      <c r="H242" s="1098"/>
      <c r="I242" s="1098"/>
      <c r="J242" s="1098"/>
      <c r="K242" s="1098"/>
      <c r="L242" s="1098"/>
      <c r="M242" s="1098"/>
      <c r="N242" s="1098"/>
      <c r="O242" s="1098"/>
      <c r="P242" s="1098"/>
      <c r="Q242" s="1098"/>
      <c r="R242" s="1098"/>
      <c r="S242" s="1098"/>
      <c r="T242" s="1098"/>
      <c r="U242" s="1098"/>
      <c r="V242" s="1098"/>
      <c r="W242" s="1098"/>
      <c r="X242" s="1098"/>
      <c r="Y242" s="1098"/>
      <c r="Z242" s="1098"/>
      <c r="AA242" s="1098"/>
      <c r="AB242" s="1098"/>
      <c r="AC242" s="1098"/>
      <c r="AD242" s="1098"/>
      <c r="AE242" s="1098"/>
      <c r="AF242" s="1098"/>
      <c r="AG242" s="1098"/>
      <c r="AH242" s="1098"/>
      <c r="AI242" s="1098"/>
      <c r="AJ242" s="1098"/>
    </row>
    <row r="243" spans="1:36" x14ac:dyDescent="0.25">
      <c r="A243" s="1098"/>
      <c r="B243" s="1098" t="str">
        <v>Utilities consumption (% of most likely value)</v>
      </c>
      <c r="C243" s="1098"/>
      <c r="D243" s="1098"/>
      <c r="E243" s="1098"/>
      <c r="F243" s="1098"/>
      <c r="G243" s="1098"/>
      <c r="H243" s="1098"/>
      <c r="I243" s="1098"/>
      <c r="J243" s="1098"/>
      <c r="K243" s="1098"/>
      <c r="L243" s="1098"/>
      <c r="M243" s="1098"/>
      <c r="N243" s="1098"/>
      <c r="O243" s="1098"/>
      <c r="P243" s="1098"/>
      <c r="Q243" s="1098"/>
      <c r="R243" s="1098"/>
      <c r="S243" s="1098"/>
      <c r="T243" s="1098"/>
      <c r="U243" s="1098"/>
      <c r="V243" s="1098"/>
      <c r="W243" s="1098"/>
      <c r="X243" s="1098"/>
      <c r="Y243" s="1098"/>
      <c r="Z243" s="1098"/>
      <c r="AA243" s="1098"/>
      <c r="AB243" s="1098"/>
      <c r="AC243" s="1098"/>
      <c r="AD243" s="1098"/>
      <c r="AE243" s="1098"/>
      <c r="AF243" s="1098"/>
      <c r="AG243" s="1098"/>
      <c r="AH243" s="1098"/>
      <c r="AI243" s="1098"/>
      <c r="AJ243" s="1098"/>
    </row>
    <row r="244" spans="1:36" x14ac:dyDescent="0.25">
      <c r="A244" s="1098"/>
      <c r="B244" s="1098" t="str">
        <v>Total capital investment ($)</v>
      </c>
      <c r="C244" s="1098"/>
      <c r="D244" s="1098"/>
      <c r="E244" s="1098"/>
      <c r="F244" s="1098"/>
      <c r="G244" s="1098"/>
      <c r="H244" s="1098"/>
      <c r="I244" s="1098"/>
      <c r="J244" s="1098"/>
      <c r="K244" s="1098"/>
      <c r="L244" s="1098"/>
      <c r="M244" s="1098"/>
      <c r="N244" s="1098"/>
      <c r="O244" s="1098"/>
      <c r="P244" s="1098"/>
      <c r="Q244" s="1098"/>
      <c r="R244" s="1098"/>
      <c r="S244" s="1098"/>
      <c r="T244" s="1098"/>
      <c r="U244" s="1098"/>
      <c r="V244" s="1098"/>
      <c r="W244" s="1098"/>
      <c r="X244" s="1098"/>
      <c r="Y244" s="1098"/>
      <c r="Z244" s="1098"/>
      <c r="AA244" s="1098"/>
      <c r="AB244" s="1098"/>
      <c r="AC244" s="1098"/>
      <c r="AD244" s="1098"/>
      <c r="AE244" s="1098"/>
      <c r="AF244" s="1098"/>
      <c r="AG244" s="1098"/>
      <c r="AH244" s="1098"/>
      <c r="AI244" s="1098"/>
      <c r="AJ244" s="1098"/>
    </row>
    <row r="245" spans="1:36" x14ac:dyDescent="0.25">
      <c r="A245" s="1098"/>
      <c r="B245" s="1098" t="str">
        <v>Total fixed operating cost ($/year)</v>
      </c>
      <c r="C245" s="1098"/>
      <c r="D245" s="1098"/>
      <c r="E245" s="1098"/>
      <c r="F245" s="1098"/>
      <c r="G245" s="1098"/>
      <c r="H245" s="1098"/>
      <c r="I245" s="1098"/>
      <c r="J245" s="1098"/>
      <c r="K245" s="1098"/>
      <c r="L245" s="1098"/>
      <c r="M245" s="1098"/>
      <c r="N245" s="1098"/>
      <c r="O245" s="1098"/>
      <c r="P245" s="1098"/>
      <c r="Q245" s="1098"/>
      <c r="R245" s="1098"/>
      <c r="S245" s="1098"/>
      <c r="T245" s="1098"/>
      <c r="U245" s="1098"/>
      <c r="V245" s="1098"/>
      <c r="W245" s="1098"/>
      <c r="X245" s="1098"/>
      <c r="Y245" s="1098"/>
      <c r="Z245" s="1098"/>
      <c r="AA245" s="1098"/>
      <c r="AB245" s="1098"/>
      <c r="AC245" s="1098"/>
      <c r="AD245" s="1098"/>
      <c r="AE245" s="1098"/>
      <c r="AF245" s="1098"/>
      <c r="AG245" s="1098"/>
      <c r="AH245" s="1098"/>
      <c r="AI245" s="1098"/>
      <c r="AJ245" s="1098"/>
    </row>
    <row r="246" spans="1:36" x14ac:dyDescent="0.25">
      <c r="A246" s="1098"/>
      <c r="B246" s="1098"/>
      <c r="C246" s="1098"/>
      <c r="D246" s="1098"/>
      <c r="E246" s="1098"/>
      <c r="F246" s="1098"/>
      <c r="G246" s="1098"/>
      <c r="H246" s="1098"/>
      <c r="I246" s="1098"/>
      <c r="J246" s="1098"/>
      <c r="K246" s="1098"/>
      <c r="L246" s="1098"/>
      <c r="M246" s="1098"/>
      <c r="N246" s="1098"/>
      <c r="O246" s="1098"/>
      <c r="P246" s="1098"/>
      <c r="Q246" s="1098"/>
      <c r="R246" s="1098"/>
      <c r="S246" s="1098"/>
      <c r="T246" s="1098"/>
      <c r="U246" s="1098"/>
      <c r="V246" s="1098"/>
      <c r="W246" s="1098"/>
      <c r="X246" s="1098"/>
      <c r="Y246" s="1098"/>
      <c r="Z246" s="1098"/>
      <c r="AA246" s="1098"/>
      <c r="AB246" s="1098"/>
      <c r="AC246" s="1098"/>
      <c r="AD246" s="1098"/>
      <c r="AE246" s="1098"/>
      <c r="AF246" s="1098"/>
      <c r="AG246" s="1098"/>
      <c r="AH246" s="1098"/>
      <c r="AI246" s="1098"/>
      <c r="AJ246" s="1098"/>
    </row>
    <row r="247" spans="1:36" x14ac:dyDescent="0.25">
      <c r="A247" s="1098"/>
      <c r="B247" s="1098"/>
      <c r="C247" s="1098"/>
      <c r="D247" s="1098"/>
      <c r="E247" s="1098"/>
      <c r="F247" s="1098"/>
      <c r="G247" s="1098"/>
      <c r="H247" s="1098"/>
      <c r="I247" s="1098"/>
      <c r="J247" s="1098"/>
      <c r="K247" s="1098"/>
      <c r="L247" s="1098"/>
      <c r="M247" s="1098"/>
      <c r="N247" s="1098"/>
      <c r="O247" s="1098"/>
      <c r="P247" s="1098"/>
      <c r="Q247" s="1098"/>
      <c r="R247" s="1098"/>
      <c r="S247" s="1098"/>
      <c r="T247" s="1098"/>
      <c r="U247" s="1098"/>
      <c r="V247" s="1098"/>
      <c r="W247" s="1098"/>
      <c r="X247" s="1098"/>
      <c r="Y247" s="1098"/>
      <c r="Z247" s="1098"/>
      <c r="AA247" s="1098"/>
      <c r="AB247" s="1098"/>
      <c r="AC247" s="1098"/>
      <c r="AD247" s="1098"/>
      <c r="AE247" s="1098"/>
      <c r="AF247" s="1098"/>
      <c r="AG247" s="1098"/>
      <c r="AH247" s="1098"/>
      <c r="AI247" s="1098"/>
      <c r="AJ247" s="1098"/>
    </row>
    <row r="248" spans="1:36" x14ac:dyDescent="0.25">
      <c r="A248" s="1098"/>
      <c r="B248" s="1099"/>
      <c r="C248">
        <f ca="1">+RAND()</f>
        <v>0.68697223859215584</v>
      </c>
      <c r="D248">
        <f t="shared" ref="D248:I248" ca="1" si="96">+RAND()</f>
        <v>0.96586365504512517</v>
      </c>
      <c r="E248">
        <f t="shared" ca="1" si="96"/>
        <v>0.82950931562624164</v>
      </c>
      <c r="F248">
        <f t="shared" ca="1" si="96"/>
        <v>0.25667371545229101</v>
      </c>
      <c r="G248">
        <f t="shared" ca="1" si="96"/>
        <v>0.51590341863781963</v>
      </c>
      <c r="H248">
        <f t="shared" ca="1" si="96"/>
        <v>0.50053321112128668</v>
      </c>
      <c r="I248">
        <f t="shared" ca="1" si="96"/>
        <v>0.63240085083098685</v>
      </c>
      <c r="J248" s="1098"/>
      <c r="K248" s="1098"/>
      <c r="L248" s="1098"/>
      <c r="M248" s="1098"/>
      <c r="N248" s="1098"/>
      <c r="O248" s="1098"/>
      <c r="P248" s="1098"/>
      <c r="Q248" s="1098"/>
      <c r="R248" s="1098"/>
      <c r="S248" s="1098"/>
      <c r="T248" s="1098"/>
      <c r="U248" s="1098"/>
      <c r="V248" s="1098"/>
      <c r="W248" s="1098"/>
      <c r="X248" s="1098"/>
      <c r="Y248" s="1098"/>
      <c r="Z248" s="1098"/>
      <c r="AA248" s="1098"/>
      <c r="AB248" s="1098"/>
      <c r="AC248" s="1098"/>
      <c r="AD248" s="1098"/>
      <c r="AE248" s="1098"/>
      <c r="AF248" s="1098"/>
      <c r="AG248" s="1098"/>
      <c r="AH248" s="1098"/>
      <c r="AI248" s="1098"/>
      <c r="AJ248" s="1098"/>
    </row>
    <row r="249" spans="1:36" x14ac:dyDescent="0.25">
      <c r="A249" s="1098"/>
      <c r="B249" s="309"/>
      <c r="C249" s="1103">
        <f ca="1">IFERROR(IF(C$248&lt;=(C$190-C$189)/(C$191-C$189),C$189+SQRT(C$248*(C$191-C$189)*(C$190-C$189)),C$191-SQRT((1-C$248)*(C$191-C$189)*(C$191-C$190))),1)</f>
        <v>1.0104381647665428</v>
      </c>
      <c r="D249" s="1103">
        <f t="shared" ref="D249:I249" ca="1" si="97">IFERROR(IF(D$248&lt;=(D$190-D$189)/(D$191-D$189),D$189+SQRT(D$248*(D$191-D$189)*(D$190-D$189)),D$191-SQRT((1-D$248)*(D$191-D$189)*(D$191-D$190))),1)</f>
        <v>1.0369354783947373</v>
      </c>
      <c r="E249" s="1103">
        <f t="shared" ca="1" si="97"/>
        <v>1.0208031950058094</v>
      </c>
      <c r="F249" s="1103">
        <f t="shared" ca="1" si="97"/>
        <v>0.98582413400574331</v>
      </c>
      <c r="G249" s="1103">
        <f t="shared" ca="1" si="97"/>
        <v>1.0008015965014017</v>
      </c>
      <c r="H249" s="1103">
        <f t="shared" ca="1" si="97"/>
        <v>1.0000266676677094</v>
      </c>
      <c r="I249" s="1103">
        <f t="shared" ca="1" si="97"/>
        <v>1.0071281473942977</v>
      </c>
    </row>
    <row r="250" spans="1:36" x14ac:dyDescent="0.25">
      <c r="A250" s="1098"/>
      <c r="B250" s="309"/>
    </row>
    <row r="251" spans="1:36" x14ac:dyDescent="0.25">
      <c r="A251" s="1098"/>
      <c r="B251" s="1457">
        <v>1</v>
      </c>
      <c r="C251" s="1103">
        <v>1.028254925752812</v>
      </c>
      <c r="D251" s="1103">
        <v>0.99241571445435106</v>
      </c>
      <c r="E251" s="1103">
        <v>1.0001987722365799</v>
      </c>
      <c r="F251" s="1103">
        <v>0.96074043209557225</v>
      </c>
      <c r="G251" s="1103">
        <v>1.0176139609265549</v>
      </c>
      <c r="H251" s="1103">
        <v>0.99625840345937022</v>
      </c>
      <c r="I251" s="1103">
        <v>1.0180451992763524</v>
      </c>
      <c r="K251">
        <v>1.5094795421545459</v>
      </c>
      <c r="L251">
        <v>0</v>
      </c>
      <c r="M251">
        <v>1.516130117722417E-3</v>
      </c>
      <c r="N251">
        <v>0.13959141473303827</v>
      </c>
      <c r="O251">
        <v>0.11753041320981333</v>
      </c>
      <c r="P251">
        <v>1.5186672373702017E-2</v>
      </c>
      <c r="Q251">
        <v>8.7694486870631787E-4</v>
      </c>
      <c r="R251">
        <v>1.5126714726727895E-3</v>
      </c>
      <c r="S251">
        <v>0.11850072455838494</v>
      </c>
      <c r="T251">
        <v>0.79283801078326677</v>
      </c>
      <c r="U251">
        <v>0</v>
      </c>
      <c r="V251">
        <v>0.20227320696819595</v>
      </c>
      <c r="W251">
        <v>9.1691238047582807E-2</v>
      </c>
      <c r="X251">
        <v>2.6877382160303977E-2</v>
      </c>
      <c r="Y251">
        <v>4.1169930965983832E-3</v>
      </c>
    </row>
    <row r="252" spans="1:36" x14ac:dyDescent="0.25">
      <c r="A252" s="1098"/>
      <c r="B252" s="1457">
        <v>2</v>
      </c>
      <c r="C252" s="1103">
        <v>0.96404062185594386</v>
      </c>
      <c r="D252" s="1103">
        <v>1.0324284189391413</v>
      </c>
      <c r="E252" s="1103">
        <v>0.98516335914670128</v>
      </c>
      <c r="F252" s="1103">
        <v>0.96393084801407436</v>
      </c>
      <c r="G252" s="1103">
        <v>0.98085542433228068</v>
      </c>
      <c r="H252" s="1103">
        <v>1.0087342968446675</v>
      </c>
      <c r="I252" s="1103">
        <v>1.0331819097843087</v>
      </c>
      <c r="K252">
        <v>1.5345560066224235</v>
      </c>
      <c r="L252">
        <v>0</v>
      </c>
      <c r="M252">
        <v>1.6444877381704842E-3</v>
      </c>
      <c r="N252">
        <v>0.14468242105517612</v>
      </c>
      <c r="O252">
        <v>0.11933602231556879</v>
      </c>
      <c r="P252">
        <v>1.5201564682990937E-2</v>
      </c>
      <c r="Q252">
        <v>9.0638894558821629E-4</v>
      </c>
      <c r="R252">
        <v>1.6407416823169645E-3</v>
      </c>
      <c r="S252">
        <v>0.12592126605333823</v>
      </c>
      <c r="T252">
        <v>0.79643103146315519</v>
      </c>
      <c r="U252">
        <v>0</v>
      </c>
      <c r="V252">
        <v>0.2050107266645973</v>
      </c>
      <c r="W252">
        <v>9.5893326493632677E-2</v>
      </c>
      <c r="X252">
        <v>2.6711447015311276E-2</v>
      </c>
      <c r="Y252">
        <v>4.4655579889165617E-3</v>
      </c>
    </row>
    <row r="253" spans="1:36" x14ac:dyDescent="0.25">
      <c r="A253" s="1098"/>
      <c r="B253" s="1457">
        <v>3</v>
      </c>
      <c r="C253" s="1103">
        <v>1.0210158248731582</v>
      </c>
      <c r="D253" s="1103">
        <v>0.96872067749635893</v>
      </c>
      <c r="E253" s="1103">
        <v>1.0224383492659923</v>
      </c>
      <c r="F253" s="1103">
        <v>1.0150936906520001</v>
      </c>
      <c r="G253" s="1103">
        <v>1.0029165935402578</v>
      </c>
      <c r="H253" s="1103">
        <v>1.0332212679124044</v>
      </c>
      <c r="I253" s="1103">
        <v>0.98848544336759225</v>
      </c>
      <c r="K253">
        <v>1.5854246225366864</v>
      </c>
      <c r="L253">
        <v>0</v>
      </c>
      <c r="M253">
        <v>1.5386008344744563E-3</v>
      </c>
      <c r="N253">
        <v>0.1515121206159076</v>
      </c>
      <c r="O253">
        <v>0.12270010818478665</v>
      </c>
      <c r="P253">
        <v>1.6119916431515172E-2</v>
      </c>
      <c r="Q253">
        <v>9.1241543439449322E-4</v>
      </c>
      <c r="R253">
        <v>1.535242663953103E-3</v>
      </c>
      <c r="S253">
        <v>0.12079078777293259</v>
      </c>
      <c r="T253">
        <v>0.8362102708232948</v>
      </c>
      <c r="U253">
        <v>0</v>
      </c>
      <c r="V253">
        <v>0.20578178824403659</v>
      </c>
      <c r="W253">
        <v>9.8226105275990697E-2</v>
      </c>
      <c r="X253">
        <v>2.8996043485677359E-2</v>
      </c>
      <c r="Y253">
        <v>4.1784244386721889E-3</v>
      </c>
    </row>
    <row r="254" spans="1:36" x14ac:dyDescent="0.25">
      <c r="A254" s="1098"/>
      <c r="B254" s="1457">
        <v>4</v>
      </c>
      <c r="C254" s="1103">
        <v>1.0119535304464622</v>
      </c>
      <c r="D254" s="1103">
        <v>0.99918771411651031</v>
      </c>
      <c r="E254" s="1103">
        <v>1.0193550978446602</v>
      </c>
      <c r="F254" s="1103">
        <v>1.04565907939537</v>
      </c>
      <c r="G254" s="1103">
        <v>0.97095436537714552</v>
      </c>
      <c r="H254" s="1103">
        <v>0.96823839851564864</v>
      </c>
      <c r="I254" s="1103">
        <v>1.0237595369409709</v>
      </c>
      <c r="K254">
        <v>1.5921380244788483</v>
      </c>
      <c r="L254">
        <v>0</v>
      </c>
      <c r="M254">
        <v>1.4407836997194295E-3</v>
      </c>
      <c r="N254">
        <v>0.1405443468803905</v>
      </c>
      <c r="O254">
        <v>0.12390384939883546</v>
      </c>
      <c r="P254">
        <v>1.6406039337840666E-2</v>
      </c>
      <c r="Q254">
        <v>9.0638377935087233E-4</v>
      </c>
      <c r="R254">
        <v>1.4374156250780963E-3</v>
      </c>
      <c r="S254">
        <v>0.1187921492018274</v>
      </c>
      <c r="T254">
        <v>0.86159997252164444</v>
      </c>
      <c r="U254">
        <v>0</v>
      </c>
      <c r="V254">
        <v>0.2057157299820484</v>
      </c>
      <c r="W254">
        <v>9.128003254954066E-2</v>
      </c>
      <c r="X254">
        <v>2.9080717414480626E-2</v>
      </c>
      <c r="Y254">
        <v>3.9121714875291185E-3</v>
      </c>
    </row>
    <row r="255" spans="1:36" x14ac:dyDescent="0.25">
      <c r="A255" s="1098"/>
      <c r="B255" s="1457">
        <v>5</v>
      </c>
      <c r="C255" s="1103">
        <v>0.97576627755568335</v>
      </c>
      <c r="D255" s="1103">
        <v>1.0315580208735653</v>
      </c>
      <c r="E255" s="1103">
        <v>1.0242503442071444</v>
      </c>
      <c r="F255" s="1103">
        <v>1.0324695778436574</v>
      </c>
      <c r="G255" s="1103">
        <v>1.01699504692331</v>
      </c>
      <c r="H255" s="1103">
        <v>0.97446817626454063</v>
      </c>
      <c r="I255" s="1103">
        <v>0.96938458209371614</v>
      </c>
      <c r="K255">
        <v>1.5857686287883925</v>
      </c>
      <c r="L255">
        <v>0</v>
      </c>
      <c r="M255">
        <v>1.4567339545755304E-3</v>
      </c>
      <c r="N255">
        <v>0.14421322789026617</v>
      </c>
      <c r="O255">
        <v>0.12345308409469222</v>
      </c>
      <c r="P255">
        <v>1.6301597513238064E-2</v>
      </c>
      <c r="Q255">
        <v>9.3275396902362255E-4</v>
      </c>
      <c r="R255">
        <v>1.453320192905193E-3</v>
      </c>
      <c r="S255">
        <v>0.11467757026194997</v>
      </c>
      <c r="T255">
        <v>0.85040202751994776</v>
      </c>
      <c r="U255">
        <v>0</v>
      </c>
      <c r="V255">
        <v>0.20925813067367335</v>
      </c>
      <c r="W255">
        <v>9.3395392705746538E-2</v>
      </c>
      <c r="X255">
        <v>2.9182799443308323E-2</v>
      </c>
      <c r="Y255">
        <v>3.9554584782151014E-3</v>
      </c>
    </row>
    <row r="256" spans="1:36" x14ac:dyDescent="0.25">
      <c r="A256" s="1098"/>
      <c r="B256" s="1457">
        <v>6</v>
      </c>
      <c r="C256" s="1103">
        <v>0.99736679819304319</v>
      </c>
      <c r="D256" s="1103">
        <v>0.99164904844227852</v>
      </c>
      <c r="E256" s="1103">
        <v>1.0141469062585695</v>
      </c>
      <c r="F256" s="1103">
        <v>1.0098797029476967</v>
      </c>
      <c r="G256" s="1103">
        <v>0.97265375094330708</v>
      </c>
      <c r="H256" s="1103">
        <v>1.0044659508792146</v>
      </c>
      <c r="I256" s="1103">
        <v>0.95764155847427246</v>
      </c>
      <c r="K256">
        <v>1.5689796869479786</v>
      </c>
      <c r="L256">
        <v>0</v>
      </c>
      <c r="M256">
        <v>1.534083937357416E-3</v>
      </c>
      <c r="N256">
        <v>0.14732377481030276</v>
      </c>
      <c r="O256">
        <v>0.12253624632978075</v>
      </c>
      <c r="P256">
        <v>1.5895670623939828E-2</v>
      </c>
      <c r="Q256">
        <v>9.1750633638441393E-4</v>
      </c>
      <c r="R256">
        <v>1.5306189079735239E-3</v>
      </c>
      <c r="S256">
        <v>0.11575054083045695</v>
      </c>
      <c r="T256">
        <v>0.83246292119994325</v>
      </c>
      <c r="U256">
        <v>0</v>
      </c>
      <c r="V256">
        <v>0.20540124843557556</v>
      </c>
      <c r="W256">
        <v>9.5975847309424239E-2</v>
      </c>
      <c r="X256">
        <v>2.8553556002437176E-2</v>
      </c>
      <c r="Y256">
        <v>4.1658400991165237E-3</v>
      </c>
    </row>
    <row r="257" spans="1:25" x14ac:dyDescent="0.25">
      <c r="A257" s="1098"/>
      <c r="B257" s="1457">
        <v>7</v>
      </c>
      <c r="C257" s="1103">
        <v>0.9583592746609767</v>
      </c>
      <c r="D257" s="1103">
        <v>1.0156587993676991</v>
      </c>
      <c r="E257" s="1103">
        <v>1.0388104757073204</v>
      </c>
      <c r="F257" s="1103">
        <v>0.97610655885031783</v>
      </c>
      <c r="G257" s="1103">
        <v>1.0251791181779693</v>
      </c>
      <c r="H257" s="1103">
        <v>0.98064510799459204</v>
      </c>
      <c r="I257" s="1103">
        <v>0.98282065217769732</v>
      </c>
      <c r="K257">
        <v>1.5491793407982395</v>
      </c>
      <c r="L257">
        <v>0</v>
      </c>
      <c r="M257">
        <v>1.4525874584154048E-3</v>
      </c>
      <c r="N257">
        <v>0.15025559632866842</v>
      </c>
      <c r="O257">
        <v>0.12107185307983791</v>
      </c>
      <c r="P257">
        <v>1.587222175872002E-2</v>
      </c>
      <c r="Q257">
        <v>9.6990743890666838E-4</v>
      </c>
      <c r="R257">
        <v>1.4491945708490178E-3</v>
      </c>
      <c r="S257">
        <v>0.11956480137307615</v>
      </c>
      <c r="T257">
        <v>0.80305443911052377</v>
      </c>
      <c r="U257">
        <v>0</v>
      </c>
      <c r="V257">
        <v>0.20874652609735736</v>
      </c>
      <c r="W257">
        <v>9.6490558390484357E-2</v>
      </c>
      <c r="X257">
        <v>2.9212600213240975E-2</v>
      </c>
      <c r="Y257">
        <v>3.944229894989138E-3</v>
      </c>
    </row>
    <row r="258" spans="1:25" x14ac:dyDescent="0.25">
      <c r="A258" s="1098"/>
      <c r="B258" s="1457">
        <v>8</v>
      </c>
      <c r="C258" s="1103">
        <v>0.99759963969415333</v>
      </c>
      <c r="D258" s="1103">
        <v>0.9805449425309829</v>
      </c>
      <c r="E258" s="1103">
        <v>0.9527711047495333</v>
      </c>
      <c r="F258" s="1103">
        <v>1.0254147525678652</v>
      </c>
      <c r="G258" s="1103">
        <v>0.97328591916882301</v>
      </c>
      <c r="H258" s="1103">
        <v>1.0364765487668901</v>
      </c>
      <c r="I258" s="1103">
        <v>1.0073931439710644</v>
      </c>
      <c r="K258">
        <v>1.595171333794102</v>
      </c>
      <c r="L258">
        <v>0</v>
      </c>
      <c r="M258">
        <v>1.8105301280826836E-3</v>
      </c>
      <c r="N258">
        <v>0.14442209450552179</v>
      </c>
      <c r="O258">
        <v>0.12428909539499192</v>
      </c>
      <c r="P258">
        <v>1.5533680849405294E-2</v>
      </c>
      <c r="Q258">
        <v>8.6413308241009622E-4</v>
      </c>
      <c r="R258">
        <v>1.8065791232726716E-3</v>
      </c>
      <c r="S258">
        <v>0.12512629181099033</v>
      </c>
      <c r="T258">
        <v>0.84945696726578346</v>
      </c>
      <c r="U258">
        <v>0</v>
      </c>
      <c r="V258">
        <v>0.2064448939947425</v>
      </c>
      <c r="W258">
        <v>9.7628292481424697E-2</v>
      </c>
      <c r="X258">
        <v>2.6492922578740127E-2</v>
      </c>
      <c r="Y258">
        <v>4.916912834900279E-3</v>
      </c>
    </row>
    <row r="259" spans="1:25" x14ac:dyDescent="0.25">
      <c r="A259" s="1098"/>
      <c r="B259" s="1457">
        <v>9</v>
      </c>
      <c r="C259" s="1103">
        <v>0.98091230005652752</v>
      </c>
      <c r="D259" s="1103">
        <v>1.0039400628211061</v>
      </c>
      <c r="E259" s="1103">
        <v>0.99108140313160231</v>
      </c>
      <c r="F259" s="1103">
        <v>1.0011073547887481</v>
      </c>
      <c r="G259" s="1103">
        <v>1.0061850259290372</v>
      </c>
      <c r="H259" s="1103">
        <v>1.0169617369448167</v>
      </c>
      <c r="I259" s="1103">
        <v>1.0009003784721662</v>
      </c>
      <c r="K259">
        <v>1.5722752517212555</v>
      </c>
      <c r="L259">
        <v>0</v>
      </c>
      <c r="M259">
        <v>1.6420126028017521E-3</v>
      </c>
      <c r="N259">
        <v>0.14707879499236573</v>
      </c>
      <c r="O259">
        <v>0.12229368078317923</v>
      </c>
      <c r="P259">
        <v>1.5672586833091796E-2</v>
      </c>
      <c r="Q259">
        <v>9.0640508587711628E-4</v>
      </c>
      <c r="R259">
        <v>1.6383348812563049E-3</v>
      </c>
      <c r="S259">
        <v>0.1229157988396285</v>
      </c>
      <c r="T259">
        <v>0.82675409244317466</v>
      </c>
      <c r="U259">
        <v>0</v>
      </c>
      <c r="V259">
        <v>0.20745655281269015</v>
      </c>
      <c r="W259">
        <v>9.7136108056198697E-2</v>
      </c>
      <c r="X259">
        <v>2.7605902126763754E-2</v>
      </c>
      <c r="Y259">
        <v>4.4590074698312053E-3</v>
      </c>
    </row>
    <row r="260" spans="1:25" x14ac:dyDescent="0.25">
      <c r="A260" s="1098"/>
      <c r="B260" s="1457">
        <v>10</v>
      </c>
      <c r="C260" s="1103">
        <v>0.97933176287573076</v>
      </c>
      <c r="D260" s="1103">
        <v>1.0075973853532516</v>
      </c>
      <c r="E260" s="1103">
        <v>0.97777916664962616</v>
      </c>
      <c r="F260" s="1103">
        <v>1.0423877807600466</v>
      </c>
      <c r="G260" s="1103">
        <v>0.97722813517417961</v>
      </c>
      <c r="H260" s="1103">
        <v>0.97130828386056844</v>
      </c>
      <c r="I260" s="1103">
        <v>0.97667773343930131</v>
      </c>
      <c r="K260">
        <v>1.5921478011926002</v>
      </c>
      <c r="L260">
        <v>0</v>
      </c>
      <c r="M260">
        <v>1.6161120136436015E-3</v>
      </c>
      <c r="N260">
        <v>0.1390361692816672</v>
      </c>
      <c r="O260">
        <v>0.1251440164151181</v>
      </c>
      <c r="P260">
        <v>1.5909816505855136E-2</v>
      </c>
      <c r="Q260">
        <v>8.9402825889763754E-4</v>
      </c>
      <c r="R260">
        <v>1.6123310572103574E-3</v>
      </c>
      <c r="S260">
        <v>0.11648674043774943</v>
      </c>
      <c r="T260">
        <v>0.86176742812071516</v>
      </c>
      <c r="U260">
        <v>0</v>
      </c>
      <c r="V260">
        <v>0.20829433987813553</v>
      </c>
      <c r="W260">
        <v>9.256239154907063E-2</v>
      </c>
      <c r="X260">
        <v>2.7668418068886088E-2</v>
      </c>
      <c r="Y260">
        <v>4.3882336329364282E-3</v>
      </c>
    </row>
    <row r="261" spans="1:25" x14ac:dyDescent="0.25">
      <c r="A261" s="1098"/>
      <c r="B261" s="1457">
        <v>11</v>
      </c>
      <c r="C261" s="1103">
        <v>1.0112754102538037</v>
      </c>
      <c r="D261" s="1103">
        <v>0.95411524797194869</v>
      </c>
      <c r="E261" s="1103">
        <v>0.9760702251640947</v>
      </c>
      <c r="F261" s="1103">
        <v>0.96623042881972609</v>
      </c>
      <c r="G261" s="1103">
        <v>1.0083360584238457</v>
      </c>
      <c r="H261" s="1103">
        <v>0.9951357138316701</v>
      </c>
      <c r="I261" s="1103">
        <v>1.0081156834039489</v>
      </c>
      <c r="K261">
        <v>1.5288750270216536</v>
      </c>
      <c r="L261">
        <v>0</v>
      </c>
      <c r="M261">
        <v>1.6537382880546924E-3</v>
      </c>
      <c r="N261">
        <v>0.14154902346699283</v>
      </c>
      <c r="O261">
        <v>0.12051816754809219</v>
      </c>
      <c r="P261">
        <v>1.5071923757964395E-2</v>
      </c>
      <c r="Q261">
        <v>8.8329763860903578E-4</v>
      </c>
      <c r="R261">
        <v>1.6499827647085308E-3</v>
      </c>
      <c r="S261">
        <v>0.12194174517576634</v>
      </c>
      <c r="T261">
        <v>0.79891651991157919</v>
      </c>
      <c r="U261">
        <v>0</v>
      </c>
      <c r="V261">
        <v>0.20464463383378492</v>
      </c>
      <c r="W261">
        <v>9.433283640747718E-2</v>
      </c>
      <c r="X261">
        <v>2.6529925635867209E-2</v>
      </c>
      <c r="Y261">
        <v>4.4907091688644162E-3</v>
      </c>
    </row>
    <row r="262" spans="1:25" x14ac:dyDescent="0.25">
      <c r="A262" s="1098"/>
      <c r="B262" s="1457">
        <v>12</v>
      </c>
      <c r="C262" s="1103">
        <v>1.0272508861055982</v>
      </c>
      <c r="D262" s="1103">
        <v>1.0296187761234228</v>
      </c>
      <c r="E262" s="1103">
        <v>1.0339755523168961</v>
      </c>
      <c r="F262" s="1103">
        <v>1.002712031797373</v>
      </c>
      <c r="G262" s="1103">
        <v>0.97697181850014203</v>
      </c>
      <c r="H262" s="1103">
        <v>1.0093813891248453</v>
      </c>
      <c r="I262" s="1103">
        <v>1.0274049951221265</v>
      </c>
      <c r="K262">
        <v>1.5495164566298476</v>
      </c>
      <c r="L262">
        <v>0</v>
      </c>
      <c r="M262">
        <v>1.4080870629301731E-3</v>
      </c>
      <c r="N262">
        <v>0.14355706524058878</v>
      </c>
      <c r="O262">
        <v>0.11882822148775847</v>
      </c>
      <c r="P262">
        <v>1.6012466080945646E-2</v>
      </c>
      <c r="Q262">
        <v>8.9551981712463315E-4</v>
      </c>
      <c r="R262">
        <v>1.404907045750107E-3</v>
      </c>
      <c r="S262">
        <v>0.11843799891448137</v>
      </c>
      <c r="T262">
        <v>0.82525741360435778</v>
      </c>
      <c r="U262">
        <v>0</v>
      </c>
      <c r="V262">
        <v>0.20167589125007723</v>
      </c>
      <c r="W262">
        <v>9.2446721083579847E-2</v>
      </c>
      <c r="X262">
        <v>2.858464531706353E-2</v>
      </c>
      <c r="Y262">
        <v>3.8236938510486282E-3</v>
      </c>
    </row>
    <row r="263" spans="1:25" x14ac:dyDescent="0.25">
      <c r="A263" s="1098"/>
      <c r="B263" s="1457">
        <v>13</v>
      </c>
      <c r="C263" s="1103">
        <v>1.0145426985356976</v>
      </c>
      <c r="D263" s="1103">
        <v>0.99091547050719198</v>
      </c>
      <c r="E263" s="1103">
        <v>1.0321611754571549</v>
      </c>
      <c r="F263" s="1103">
        <v>1.0228316658139085</v>
      </c>
      <c r="G263" s="1103">
        <v>1.016039007261591</v>
      </c>
      <c r="H263" s="1103">
        <v>1.0072047083501368</v>
      </c>
      <c r="I263" s="1103">
        <v>1.0350429739987899</v>
      </c>
      <c r="K263">
        <v>1.5887317453535799</v>
      </c>
      <c r="L263">
        <v>0</v>
      </c>
      <c r="M263">
        <v>1.4603939922826256E-3</v>
      </c>
      <c r="N263">
        <v>0.14807953856009498</v>
      </c>
      <c r="O263">
        <v>0.12253189210398399</v>
      </c>
      <c r="P263">
        <v>1.6364013218625607E-2</v>
      </c>
      <c r="Q263">
        <v>9.1904031156832993E-4</v>
      </c>
      <c r="R263">
        <v>1.4571120245225281E-3</v>
      </c>
      <c r="S263">
        <v>0.12348206859682764</v>
      </c>
      <c r="T263">
        <v>0.84193690806499832</v>
      </c>
      <c r="U263">
        <v>0</v>
      </c>
      <c r="V263">
        <v>0.20663669504991822</v>
      </c>
      <c r="W263">
        <v>9.5459310527583163E-2</v>
      </c>
      <c r="X263">
        <v>2.9359782293837573E-2</v>
      </c>
      <c r="Y263">
        <v>3.9657785939005308E-3</v>
      </c>
    </row>
    <row r="264" spans="1:25" x14ac:dyDescent="0.25">
      <c r="A264" s="1098"/>
      <c r="B264" s="1457">
        <v>14</v>
      </c>
      <c r="C264" s="1103">
        <v>1.0019464760690238</v>
      </c>
      <c r="D264" s="1103">
        <v>0.99016748369073859</v>
      </c>
      <c r="E264" s="1103">
        <v>0.98375274518691913</v>
      </c>
      <c r="F264" s="1103">
        <v>0.98526849121179783</v>
      </c>
      <c r="G264" s="1103">
        <v>0.99529012852276422</v>
      </c>
      <c r="H264" s="1103">
        <v>0.9598985503187073</v>
      </c>
      <c r="I264" s="1103">
        <v>1.0002533717652584</v>
      </c>
      <c r="K264">
        <v>1.5299153562382113</v>
      </c>
      <c r="L264">
        <v>0</v>
      </c>
      <c r="M264">
        <v>1.5531346042068879E-3</v>
      </c>
      <c r="N264">
        <v>0.13605127279789225</v>
      </c>
      <c r="O264">
        <v>0.12071132046166218</v>
      </c>
      <c r="P264">
        <v>1.5296358447701082E-2</v>
      </c>
      <c r="Q264">
        <v>8.8549368158826218E-4</v>
      </c>
      <c r="R264">
        <v>1.5494587925873151E-3</v>
      </c>
      <c r="S264">
        <v>0.11672856424664699</v>
      </c>
      <c r="T264">
        <v>0.8141533323830723</v>
      </c>
      <c r="U264">
        <v>0</v>
      </c>
      <c r="V264">
        <v>0.20473777200126192</v>
      </c>
      <c r="W264">
        <v>9.0249298973794287E-2</v>
      </c>
      <c r="X264">
        <v>2.6888503001741979E-2</v>
      </c>
      <c r="Y264">
        <v>4.2171160544689692E-3</v>
      </c>
    </row>
    <row r="265" spans="1:25" x14ac:dyDescent="0.25">
      <c r="A265" s="1098"/>
      <c r="B265" s="1457">
        <v>15</v>
      </c>
      <c r="C265" s="1103">
        <v>0.98600206164399729</v>
      </c>
      <c r="D265" s="1103">
        <v>1.029018914610121</v>
      </c>
      <c r="E265" s="1103">
        <v>1.0052126374877466</v>
      </c>
      <c r="F265" s="1103">
        <v>1.0441441807319649</v>
      </c>
      <c r="G265" s="1103">
        <v>1.0230861685029151</v>
      </c>
      <c r="H265" s="1103">
        <v>1.0124224695623338</v>
      </c>
      <c r="I265" s="1103">
        <v>0.98660798077941958</v>
      </c>
      <c r="K265">
        <v>1.6049810308949051</v>
      </c>
      <c r="L265">
        <v>0</v>
      </c>
      <c r="M265">
        <v>1.5628283333003097E-3</v>
      </c>
      <c r="N265">
        <v>0.14609117075202305</v>
      </c>
      <c r="O265">
        <v>0.12387825065020962</v>
      </c>
      <c r="P265">
        <v>1.6279607835661566E-2</v>
      </c>
      <c r="Q265">
        <v>9.0606167935198872E-4</v>
      </c>
      <c r="R265">
        <v>1.5593101505315056E-3</v>
      </c>
      <c r="S265">
        <v>0.11872499915342791</v>
      </c>
      <c r="T265">
        <v>0.86132068381764393</v>
      </c>
      <c r="U265">
        <v>0</v>
      </c>
      <c r="V265">
        <v>0.20927580726771053</v>
      </c>
      <c r="W265">
        <v>9.5675705659707219E-2</v>
      </c>
      <c r="X265">
        <v>2.8588334058643149E-2</v>
      </c>
      <c r="Y265">
        <v>4.2439282032937838E-3</v>
      </c>
    </row>
    <row r="266" spans="1:25" x14ac:dyDescent="0.25">
      <c r="A266" s="1098"/>
      <c r="B266" s="1457">
        <v>16</v>
      </c>
      <c r="C266" s="1103">
        <v>0.99457823620494867</v>
      </c>
      <c r="D266" s="1103">
        <v>0.99398517462185898</v>
      </c>
      <c r="E266" s="1103">
        <v>1.0045710814008069</v>
      </c>
      <c r="F266" s="1103">
        <v>0.98790164708583184</v>
      </c>
      <c r="G266" s="1103">
        <v>0.98698695787180279</v>
      </c>
      <c r="H266" s="1103">
        <v>0.98861377740037593</v>
      </c>
      <c r="I266" s="1103">
        <v>0.99328494331016537</v>
      </c>
      <c r="K266">
        <v>1.5460764825429503</v>
      </c>
      <c r="L266">
        <v>0</v>
      </c>
      <c r="M266">
        <v>1.5395271059002911E-3</v>
      </c>
      <c r="N266">
        <v>0.14362736951288493</v>
      </c>
      <c r="O266">
        <v>0.12105242558117069</v>
      </c>
      <c r="P266">
        <v>1.5580986453911245E-2</v>
      </c>
      <c r="Q266">
        <v>9.1017706357065229E-4</v>
      </c>
      <c r="R266">
        <v>1.5359858848392246E-3</v>
      </c>
      <c r="S266">
        <v>0.11879782761838767</v>
      </c>
      <c r="T266">
        <v>0.81496762579720561</v>
      </c>
      <c r="U266">
        <v>0</v>
      </c>
      <c r="V266">
        <v>0.20504933138128353</v>
      </c>
      <c r="W266">
        <v>9.409788719148432E-2</v>
      </c>
      <c r="X266">
        <v>2.7815945923190678E-2</v>
      </c>
      <c r="Y266">
        <v>4.1804472409215131E-3</v>
      </c>
    </row>
    <row r="267" spans="1:25" x14ac:dyDescent="0.25">
      <c r="A267" s="1098"/>
      <c r="B267" s="1457">
        <v>17</v>
      </c>
      <c r="C267" s="1103">
        <v>1.0059124794491081</v>
      </c>
      <c r="D267" s="1103">
        <v>0.95630943943644642</v>
      </c>
      <c r="E267" s="1103">
        <v>0.99465511928969519</v>
      </c>
      <c r="F267" s="1103">
        <v>1.038758176313848</v>
      </c>
      <c r="G267" s="1103">
        <v>0.95940319936251028</v>
      </c>
      <c r="H267" s="1103">
        <v>1.0142687578967073</v>
      </c>
      <c r="I267" s="1103">
        <v>0.98524616502663298</v>
      </c>
      <c r="K267">
        <v>1.607591065841586</v>
      </c>
      <c r="L267">
        <v>0</v>
      </c>
      <c r="M267">
        <v>1.6371985769531047E-3</v>
      </c>
      <c r="N267">
        <v>0.14824373310956529</v>
      </c>
      <c r="O267">
        <v>0.12580650683590558</v>
      </c>
      <c r="P267">
        <v>1.6105283426268414E-2</v>
      </c>
      <c r="Q267">
        <v>9.0458910959119411E-4</v>
      </c>
      <c r="R267">
        <v>1.6335688268356904E-3</v>
      </c>
      <c r="S267">
        <v>0.12163535868045795</v>
      </c>
      <c r="T267">
        <v>0.85760171757191306</v>
      </c>
      <c r="U267">
        <v>0</v>
      </c>
      <c r="V267">
        <v>0.20665822201607234</v>
      </c>
      <c r="W267">
        <v>9.7696569740008316E-2</v>
      </c>
      <c r="X267">
        <v>2.8496679261094254E-2</v>
      </c>
      <c r="Y267">
        <v>4.4460358408277088E-3</v>
      </c>
    </row>
    <row r="268" spans="1:25" x14ac:dyDescent="0.25">
      <c r="A268" s="1098"/>
      <c r="B268" s="1457">
        <v>18</v>
      </c>
      <c r="C268" s="1103">
        <v>1.0362002435834967</v>
      </c>
      <c r="D268" s="1103">
        <v>0.99864451174791535</v>
      </c>
      <c r="E268" s="1103">
        <v>1.0203816456205821</v>
      </c>
      <c r="F268" s="1103">
        <v>0.97045939451581131</v>
      </c>
      <c r="G268" s="1103">
        <v>1.01944448135729</v>
      </c>
      <c r="H268" s="1103">
        <v>1.0105136011616247</v>
      </c>
      <c r="I268" s="1103">
        <v>0.98552898313251436</v>
      </c>
      <c r="K268">
        <v>1.5174153758730313</v>
      </c>
      <c r="L268">
        <v>0</v>
      </c>
      <c r="M268">
        <v>1.4601537954320575E-3</v>
      </c>
      <c r="N268">
        <v>0.14288842118458739</v>
      </c>
      <c r="O268">
        <v>0.11751119107684553</v>
      </c>
      <c r="P268">
        <v>1.5452030914170906E-2</v>
      </c>
      <c r="Q268">
        <v>8.8630020472518908E-4</v>
      </c>
      <c r="R268">
        <v>1.4568708364050562E-3</v>
      </c>
      <c r="S268">
        <v>0.11462637832204535</v>
      </c>
      <c r="T268">
        <v>0.79957196889150739</v>
      </c>
      <c r="U268">
        <v>0</v>
      </c>
      <c r="V268">
        <v>0.20208538607618332</v>
      </c>
      <c r="W268">
        <v>9.2746725303180233E-2</v>
      </c>
      <c r="X268">
        <v>2.7685134699462013E-2</v>
      </c>
      <c r="Y268">
        <v>3.9651221593524156E-3</v>
      </c>
    </row>
    <row r="269" spans="1:25" x14ac:dyDescent="0.25">
      <c r="A269" s="1098"/>
      <c r="B269" s="1457">
        <v>19</v>
      </c>
      <c r="C269" s="1103">
        <v>1.0093258770677422</v>
      </c>
      <c r="D269" s="1103">
        <v>1.021171476657236</v>
      </c>
      <c r="E269" s="1103">
        <v>1.0353166289665405</v>
      </c>
      <c r="F269" s="1103">
        <v>1.0117369841432928</v>
      </c>
      <c r="G269" s="1103">
        <v>0.97944934733255551</v>
      </c>
      <c r="H269" s="1103">
        <v>1.0170272762542427</v>
      </c>
      <c r="I269" s="1103">
        <v>0.9814632864478201</v>
      </c>
      <c r="K269">
        <v>1.5667907196239592</v>
      </c>
      <c r="L269">
        <v>0</v>
      </c>
      <c r="M269">
        <v>1.4458583453713901E-3</v>
      </c>
      <c r="N269">
        <v>0.14800764820920304</v>
      </c>
      <c r="O269">
        <v>0.12069450874636559</v>
      </c>
      <c r="P269">
        <v>1.6132143044046914E-2</v>
      </c>
      <c r="Q269">
        <v>9.1568119541285203E-4</v>
      </c>
      <c r="R269">
        <v>1.442620238195256E-3</v>
      </c>
      <c r="S269">
        <v>0.11626214439033433</v>
      </c>
      <c r="T269">
        <v>0.83259712831967514</v>
      </c>
      <c r="U269">
        <v>0</v>
      </c>
      <c r="V269">
        <v>0.20395474993092272</v>
      </c>
      <c r="W269">
        <v>9.5238872735128793E-2</v>
      </c>
      <c r="X269">
        <v>2.9064744431312631E-2</v>
      </c>
      <c r="Y269">
        <v>3.9263367287337755E-3</v>
      </c>
    </row>
    <row r="270" spans="1:25" x14ac:dyDescent="0.25">
      <c r="A270" s="1098"/>
      <c r="B270" s="1457">
        <v>20</v>
      </c>
      <c r="C270" s="1103">
        <v>0.98643391079496201</v>
      </c>
      <c r="D270" s="1103">
        <v>1.0121711996796852</v>
      </c>
      <c r="E270" s="1103">
        <v>1.0264121134627227</v>
      </c>
      <c r="F270" s="1103">
        <v>1.0076126980350144</v>
      </c>
      <c r="G270" s="1103">
        <v>0.99771784823405596</v>
      </c>
      <c r="H270" s="1103">
        <v>0.98303221974779942</v>
      </c>
      <c r="I270" s="1103">
        <v>1.0212018589612648</v>
      </c>
      <c r="K270">
        <v>1.5697576255386658</v>
      </c>
      <c r="L270">
        <v>0</v>
      </c>
      <c r="M270">
        <v>1.461237853208532E-3</v>
      </c>
      <c r="N270">
        <v>0.14560892101215506</v>
      </c>
      <c r="O270">
        <v>0.12200087985772586</v>
      </c>
      <c r="P270">
        <v>1.6100625090881508E-2</v>
      </c>
      <c r="Q270">
        <v>9.3175382883300094E-4</v>
      </c>
      <c r="R270">
        <v>1.4578505669590061E-3</v>
      </c>
      <c r="S270">
        <v>0.12148243174765157</v>
      </c>
      <c r="T270">
        <v>0.82978644421948822</v>
      </c>
      <c r="U270">
        <v>0</v>
      </c>
      <c r="V270">
        <v>0.20675233017090025</v>
      </c>
      <c r="W270">
        <v>9.4180580082157905E-2</v>
      </c>
      <c r="X270">
        <v>2.8949258152168665E-2</v>
      </c>
      <c r="Y270">
        <v>3.9677886629521748E-3</v>
      </c>
    </row>
    <row r="271" spans="1:25" x14ac:dyDescent="0.25">
      <c r="A271" s="1098"/>
      <c r="B271" s="1457">
        <v>21</v>
      </c>
      <c r="C271" s="1103">
        <v>0.98516536070676552</v>
      </c>
      <c r="D271" s="1103">
        <v>1.0096742850127884</v>
      </c>
      <c r="E271" s="1103">
        <v>1.0213928133197845</v>
      </c>
      <c r="F271" s="1103">
        <v>1.0054656018652779</v>
      </c>
      <c r="G271" s="1103">
        <v>0.97176064219366054</v>
      </c>
      <c r="H271" s="1103">
        <v>1.0066132593730608</v>
      </c>
      <c r="I271" s="1103">
        <v>0.98860008952441603</v>
      </c>
      <c r="K271">
        <v>1.5708806064248519</v>
      </c>
      <c r="L271">
        <v>0</v>
      </c>
      <c r="M271">
        <v>1.5156855908043741E-3</v>
      </c>
      <c r="N271">
        <v>0.14877354593444891</v>
      </c>
      <c r="O271">
        <v>0.12204141767118892</v>
      </c>
      <c r="P271">
        <v>1.5982606560494113E-2</v>
      </c>
      <c r="Q271">
        <v>9.2908947227818609E-4</v>
      </c>
      <c r="R271">
        <v>1.5122549279910984E-3</v>
      </c>
      <c r="S271">
        <v>0.11976486947031993</v>
      </c>
      <c r="T271">
        <v>0.828347530967526</v>
      </c>
      <c r="U271">
        <v>0</v>
      </c>
      <c r="V271">
        <v>0.20564682530350273</v>
      </c>
      <c r="W271">
        <v>9.6509600412478011E-2</v>
      </c>
      <c r="X271">
        <v>2.8772691896138073E-2</v>
      </c>
      <c r="Y271">
        <v>4.1158593992887361E-3</v>
      </c>
    </row>
    <row r="272" spans="1:25" x14ac:dyDescent="0.25">
      <c r="A272" s="1098"/>
      <c r="B272" s="1457">
        <v>22</v>
      </c>
      <c r="C272" s="1103">
        <v>0.99743255190904667</v>
      </c>
      <c r="D272" s="1103">
        <v>1.0093492975918807</v>
      </c>
      <c r="E272" s="1103">
        <v>1.0359241616946271</v>
      </c>
      <c r="F272" s="1103">
        <v>1.0180410270627716</v>
      </c>
      <c r="G272" s="1103">
        <v>1.0038109839949239</v>
      </c>
      <c r="H272" s="1103">
        <v>0.98221332332698441</v>
      </c>
      <c r="I272" s="1103">
        <v>0.98074710773232787</v>
      </c>
      <c r="K272">
        <v>1.5720653476280231</v>
      </c>
      <c r="L272">
        <v>0</v>
      </c>
      <c r="M272">
        <v>1.4200576320521599E-3</v>
      </c>
      <c r="N272">
        <v>0.14562183026628386</v>
      </c>
      <c r="O272">
        <v>0.12225277442244618</v>
      </c>
      <c r="P272">
        <v>1.6241535668198206E-2</v>
      </c>
      <c r="Q272">
        <v>9.3150133909183463E-4</v>
      </c>
      <c r="R272">
        <v>1.4167697842415038E-3</v>
      </c>
      <c r="S272">
        <v>0.11565048728781013</v>
      </c>
      <c r="T272">
        <v>0.83774484952273442</v>
      </c>
      <c r="U272">
        <v>0</v>
      </c>
      <c r="V272">
        <v>0.20672608860994049</v>
      </c>
      <c r="W272">
        <v>9.3670769914002749E-2</v>
      </c>
      <c r="X272">
        <v>2.9372818130653386E-2</v>
      </c>
      <c r="Y272">
        <v>3.8559803146715173E-3</v>
      </c>
    </row>
    <row r="273" spans="1:25" x14ac:dyDescent="0.25">
      <c r="A273" s="1098"/>
      <c r="B273" s="1457">
        <v>23</v>
      </c>
      <c r="C273" s="1103">
        <v>0.96507397470537759</v>
      </c>
      <c r="D273" s="1103">
        <v>1.0385704508562512</v>
      </c>
      <c r="E273" s="1103">
        <v>1.0167015189551463</v>
      </c>
      <c r="F273" s="1103">
        <v>0.97676602420329572</v>
      </c>
      <c r="G273" s="1103">
        <v>0.97130736623197111</v>
      </c>
      <c r="H273" s="1103">
        <v>1.0006215073906897</v>
      </c>
      <c r="I273" s="1103">
        <v>0.95843196199672009</v>
      </c>
      <c r="K273">
        <v>1.5376017794021601</v>
      </c>
      <c r="L273">
        <v>0</v>
      </c>
      <c r="M273">
        <v>1.5229072560072228E-3</v>
      </c>
      <c r="N273">
        <v>0.14737675821104418</v>
      </c>
      <c r="O273">
        <v>0.11984923530684992</v>
      </c>
      <c r="P273">
        <v>1.5542328240095455E-2</v>
      </c>
      <c r="Q273">
        <v>9.3328241601699539E-4</v>
      </c>
      <c r="R273">
        <v>1.5194105168506561E-3</v>
      </c>
      <c r="S273">
        <v>0.11579760783335737</v>
      </c>
      <c r="T273">
        <v>0.80500321136547448</v>
      </c>
      <c r="U273">
        <v>0</v>
      </c>
      <c r="V273">
        <v>0.20504225823929625</v>
      </c>
      <c r="W273">
        <v>9.5866458904954557E-2</v>
      </c>
      <c r="X273">
        <v>2.8058801070899461E-2</v>
      </c>
      <c r="Y273">
        <v>4.1353345533252182E-3</v>
      </c>
    </row>
    <row r="274" spans="1:25" x14ac:dyDescent="0.25">
      <c r="A274" s="1098"/>
      <c r="B274" s="1457">
        <v>24</v>
      </c>
      <c r="C274" s="1103">
        <v>0.99894708554925837</v>
      </c>
      <c r="D274" s="1103">
        <v>0.99529957797322899</v>
      </c>
      <c r="E274" s="1103">
        <v>0.96296821097753438</v>
      </c>
      <c r="F274" s="1103">
        <v>1.0094907638390922</v>
      </c>
      <c r="G274" s="1103">
        <v>0.99890889981943853</v>
      </c>
      <c r="H274" s="1103">
        <v>1.0019721905041807</v>
      </c>
      <c r="I274" s="1103">
        <v>0.9993314378267677</v>
      </c>
      <c r="K274">
        <v>1.564762128210692</v>
      </c>
      <c r="L274">
        <v>0</v>
      </c>
      <c r="M274">
        <v>1.6952577686467068E-3</v>
      </c>
      <c r="N274">
        <v>0.13945962900908795</v>
      </c>
      <c r="O274">
        <v>0.12240845969102253</v>
      </c>
      <c r="P274">
        <v>1.5402704269900147E-2</v>
      </c>
      <c r="Q274">
        <v>8.6715408940998546E-4</v>
      </c>
      <c r="R274">
        <v>1.6914171395391265E-3</v>
      </c>
      <c r="S274">
        <v>0.12004366274778074</v>
      </c>
      <c r="T274">
        <v>0.83557196062188177</v>
      </c>
      <c r="U274">
        <v>0</v>
      </c>
      <c r="V274">
        <v>0.20622661653279778</v>
      </c>
      <c r="W274">
        <v>9.3684785543324059E-2</v>
      </c>
      <c r="X274">
        <v>2.6497516456279874E-2</v>
      </c>
      <c r="Y274">
        <v>4.6034798783153056E-3</v>
      </c>
    </row>
    <row r="275" spans="1:25" x14ac:dyDescent="0.25">
      <c r="A275" s="1098"/>
      <c r="B275" s="1457">
        <v>25</v>
      </c>
      <c r="C275" s="1103">
        <v>0.99812681543101645</v>
      </c>
      <c r="D275" s="1103">
        <v>1.0237885011067498</v>
      </c>
      <c r="E275" s="1103">
        <v>0.96494723635616952</v>
      </c>
      <c r="F275" s="1103">
        <v>1.0303211628741189</v>
      </c>
      <c r="G275" s="1103">
        <v>0.99787929884270987</v>
      </c>
      <c r="H275" s="1103">
        <v>0.99557510649320702</v>
      </c>
      <c r="I275" s="1103">
        <v>1.0001820010594742</v>
      </c>
      <c r="K275">
        <v>1.5761048874734469</v>
      </c>
      <c r="L275">
        <v>0</v>
      </c>
      <c r="M275">
        <v>1.6546679835264533E-3</v>
      </c>
      <c r="N275">
        <v>0.13693598630697518</v>
      </c>
      <c r="O275">
        <v>0.12263515789955926</v>
      </c>
      <c r="P275">
        <v>1.5627392311457974E-2</v>
      </c>
      <c r="Q275">
        <v>8.5992176383960467E-4</v>
      </c>
      <c r="R275">
        <v>1.6508828261754562E-3</v>
      </c>
      <c r="S275">
        <v>0.11784982814189381</v>
      </c>
      <c r="T275">
        <v>0.85267664672409893</v>
      </c>
      <c r="U275">
        <v>0</v>
      </c>
      <c r="V275">
        <v>0.20647329613601195</v>
      </c>
      <c r="W275">
        <v>9.1878210907645433E-2</v>
      </c>
      <c r="X275">
        <v>2.6679073599840709E-2</v>
      </c>
      <c r="Y275">
        <v>4.4931588394722033E-3</v>
      </c>
    </row>
    <row r="276" spans="1:25" x14ac:dyDescent="0.25">
      <c r="A276" s="1098"/>
      <c r="B276" s="1457">
        <v>26</v>
      </c>
      <c r="C276" s="1103">
        <v>0.96463903468141099</v>
      </c>
      <c r="D276" s="1103">
        <v>1.0132203078258271</v>
      </c>
      <c r="E276" s="1103">
        <v>0.99350407622413917</v>
      </c>
      <c r="F276" s="1103">
        <v>1.006849736121247</v>
      </c>
      <c r="G276" s="1103">
        <v>0.97047656954085604</v>
      </c>
      <c r="H276" s="1103">
        <v>0.99203626678916723</v>
      </c>
      <c r="I276" s="1103">
        <v>0.98110051150736977</v>
      </c>
      <c r="K276">
        <v>1.5716709100932453</v>
      </c>
      <c r="L276">
        <v>0</v>
      </c>
      <c r="M276">
        <v>1.6109611605427947E-3</v>
      </c>
      <c r="N276">
        <v>0.14534912681987278</v>
      </c>
      <c r="O276">
        <v>0.12315466825465954</v>
      </c>
      <c r="P276">
        <v>1.571905796508568E-2</v>
      </c>
      <c r="Q276">
        <v>9.2062891944985831E-4</v>
      </c>
      <c r="R276">
        <v>1.6072537909212249E-3</v>
      </c>
      <c r="S276">
        <v>0.11979785943083023</v>
      </c>
      <c r="T276">
        <v>0.83133474528253548</v>
      </c>
      <c r="U276">
        <v>0</v>
      </c>
      <c r="V276">
        <v>0.20731673886595367</v>
      </c>
      <c r="W276">
        <v>9.5854807748370421E-2</v>
      </c>
      <c r="X276">
        <v>2.7852569188291067E-2</v>
      </c>
      <c r="Y276">
        <v>4.3744149878177921E-3</v>
      </c>
    </row>
    <row r="277" spans="1:25" x14ac:dyDescent="0.25">
      <c r="A277" s="1098"/>
      <c r="B277" s="1457">
        <v>27</v>
      </c>
      <c r="C277" s="1103">
        <v>1.0081267019594706</v>
      </c>
      <c r="D277" s="1103">
        <v>0.98127077792316131</v>
      </c>
      <c r="E277" s="1103">
        <v>0.99580941464170736</v>
      </c>
      <c r="F277" s="1103">
        <v>0.99209651820895084</v>
      </c>
      <c r="G277" s="1103">
        <v>1.015987361774866</v>
      </c>
      <c r="H277" s="1103">
        <v>0.99384994597192777</v>
      </c>
      <c r="I277" s="1103">
        <v>1.027632888101836</v>
      </c>
      <c r="K277">
        <v>1.5533830892008564</v>
      </c>
      <c r="L277">
        <v>0</v>
      </c>
      <c r="M277">
        <v>1.5683452530236442E-3</v>
      </c>
      <c r="N277">
        <v>0.14249652290301185</v>
      </c>
      <c r="O277">
        <v>0.12124508838723742</v>
      </c>
      <c r="P277">
        <v>1.5597685879291858E-2</v>
      </c>
      <c r="Q277">
        <v>8.9441966877326401E-4</v>
      </c>
      <c r="R277">
        <v>1.5647691785857783E-3</v>
      </c>
      <c r="S277">
        <v>0.12270725154322104</v>
      </c>
      <c r="T277">
        <v>0.81900194554118932</v>
      </c>
      <c r="U277">
        <v>0</v>
      </c>
      <c r="V277">
        <v>0.20580459586452582</v>
      </c>
      <c r="W277">
        <v>9.3844358006170595E-2</v>
      </c>
      <c r="X277">
        <v>2.7536011603783869E-2</v>
      </c>
      <c r="Y277">
        <v>4.2587858780893991E-3</v>
      </c>
    </row>
    <row r="278" spans="1:25" x14ac:dyDescent="0.25">
      <c r="A278" s="1098"/>
      <c r="B278" s="1457">
        <v>28</v>
      </c>
      <c r="C278" s="1103">
        <v>0.98863372644500647</v>
      </c>
      <c r="D278" s="1103">
        <v>0.97864318460870525</v>
      </c>
      <c r="E278" s="1103">
        <v>1.0386466434853912</v>
      </c>
      <c r="F278" s="1103">
        <v>0.99636787492484258</v>
      </c>
      <c r="G278" s="1103">
        <v>0.98888236107045602</v>
      </c>
      <c r="H278" s="1103">
        <v>1.0187760974788442</v>
      </c>
      <c r="I278" s="1103">
        <v>0.9876583588083937</v>
      </c>
      <c r="K278">
        <v>1.5768430607265072</v>
      </c>
      <c r="L278">
        <v>0</v>
      </c>
      <c r="M278">
        <v>1.5002133968191535E-3</v>
      </c>
      <c r="N278">
        <v>0.15512252537334648</v>
      </c>
      <c r="O278">
        <v>0.12254863857060284</v>
      </c>
      <c r="P278">
        <v>1.6114791352072041E-2</v>
      </c>
      <c r="Q278">
        <v>9.5411413659144567E-4</v>
      </c>
      <c r="R278">
        <v>1.4968740599279227E-3</v>
      </c>
      <c r="S278">
        <v>0.12244203921063193</v>
      </c>
      <c r="T278">
        <v>0.81973423570089055</v>
      </c>
      <c r="U278">
        <v>0</v>
      </c>
      <c r="V278">
        <v>0.20661952478885759</v>
      </c>
      <c r="W278">
        <v>9.9625393465230097E-2</v>
      </c>
      <c r="X278">
        <v>2.9611139718453035E-2</v>
      </c>
      <c r="Y278">
        <v>4.0739977467225677E-3</v>
      </c>
    </row>
    <row r="279" spans="1:25" x14ac:dyDescent="0.25">
      <c r="A279" s="1098"/>
      <c r="B279" s="1457">
        <v>29</v>
      </c>
      <c r="C279" s="1103">
        <v>0.96825652813169982</v>
      </c>
      <c r="D279" s="1103">
        <v>0.99584357844881455</v>
      </c>
      <c r="E279" s="1103">
        <v>1.0175350286393361</v>
      </c>
      <c r="F279" s="1103">
        <v>0.96822364826658291</v>
      </c>
      <c r="G279" s="1103">
        <v>1.0099020583973388</v>
      </c>
      <c r="H279" s="1103">
        <v>0.99904654143206895</v>
      </c>
      <c r="I279" s="1103">
        <v>0.98226157306393058</v>
      </c>
      <c r="K279">
        <v>1.5441228147488038</v>
      </c>
      <c r="L279">
        <v>0</v>
      </c>
      <c r="M279">
        <v>1.5483372356754096E-3</v>
      </c>
      <c r="N279">
        <v>0.15021667407215319</v>
      </c>
      <c r="O279">
        <v>0.12089743447884108</v>
      </c>
      <c r="P279">
        <v>1.5558647610892713E-2</v>
      </c>
      <c r="Q279">
        <v>9.46788773896585E-4</v>
      </c>
      <c r="R279">
        <v>1.5447990673311618E-3</v>
      </c>
      <c r="S279">
        <v>0.12111335317675276</v>
      </c>
      <c r="T279">
        <v>0.79791017060427882</v>
      </c>
      <c r="U279">
        <v>0</v>
      </c>
      <c r="V279">
        <v>0.20730326750383279</v>
      </c>
      <c r="W279">
        <v>9.7666036950434618E-2</v>
      </c>
      <c r="X279">
        <v>2.8309545927664451E-2</v>
      </c>
      <c r="Y279">
        <v>4.2044338183997391E-3</v>
      </c>
    </row>
    <row r="280" spans="1:25" x14ac:dyDescent="0.25">
      <c r="A280" s="1098"/>
      <c r="B280" s="1457">
        <v>30</v>
      </c>
      <c r="C280" s="1103">
        <v>0.98219701160236317</v>
      </c>
      <c r="D280" s="1103">
        <v>0.98966502360788067</v>
      </c>
      <c r="E280" s="1103">
        <v>1.0026822734830352</v>
      </c>
      <c r="F280" s="1103">
        <v>0.97915140599479855</v>
      </c>
      <c r="G280" s="1103">
        <v>0.98412898752804268</v>
      </c>
      <c r="H280" s="1103">
        <v>1.0086243801964667</v>
      </c>
      <c r="I280" s="1103">
        <v>0.97225760376446702</v>
      </c>
      <c r="K280">
        <v>1.5482879703753381</v>
      </c>
      <c r="L280">
        <v>0</v>
      </c>
      <c r="M280">
        <v>1.59802949699723E-3</v>
      </c>
      <c r="N280">
        <v>0.14824360497377234</v>
      </c>
      <c r="O280">
        <v>0.12126498829583369</v>
      </c>
      <c r="P280">
        <v>1.5479996284343999E-2</v>
      </c>
      <c r="Q280">
        <v>9.2145483975984179E-4</v>
      </c>
      <c r="R280">
        <v>1.5944232741353513E-3</v>
      </c>
      <c r="S280">
        <v>0.11949761929369329</v>
      </c>
      <c r="T280">
        <v>0.80787100240349652</v>
      </c>
      <c r="U280">
        <v>0</v>
      </c>
      <c r="V280">
        <v>0.20565284758235788</v>
      </c>
      <c r="W280">
        <v>9.7231006292270189E-2</v>
      </c>
      <c r="X280">
        <v>2.7789562081964914E-2</v>
      </c>
      <c r="Y280">
        <v>4.339494550705366E-3</v>
      </c>
    </row>
    <row r="281" spans="1:25" x14ac:dyDescent="0.25">
      <c r="A281" s="1098"/>
      <c r="B281" s="1457">
        <v>31</v>
      </c>
      <c r="C281" s="1103">
        <v>1.0219480021109764</v>
      </c>
      <c r="D281" s="1103">
        <v>0.96340620633174501</v>
      </c>
      <c r="E281" s="1103">
        <v>1.0032773011643705</v>
      </c>
      <c r="F281" s="1103">
        <v>0.97513552998999065</v>
      </c>
      <c r="G281" s="1103">
        <v>1.0178819084513853</v>
      </c>
      <c r="H281" s="1103">
        <v>1.0358301704736608</v>
      </c>
      <c r="I281" s="1103">
        <v>1.0333879066664942</v>
      </c>
      <c r="K281">
        <v>1.5507465181953792</v>
      </c>
      <c r="L281">
        <v>0</v>
      </c>
      <c r="M281">
        <v>1.6037663040553271E-3</v>
      </c>
      <c r="N281">
        <v>0.14905460836936973</v>
      </c>
      <c r="O281">
        <v>0.12013088226872896</v>
      </c>
      <c r="P281">
        <v>1.5519987798273715E-2</v>
      </c>
      <c r="Q281">
        <v>8.9574188243628726E-4</v>
      </c>
      <c r="R281">
        <v>1.600267194013258E-3</v>
      </c>
      <c r="S281">
        <v>0.12649165558549966</v>
      </c>
      <c r="T281">
        <v>0.80451936544005265</v>
      </c>
      <c r="U281">
        <v>0</v>
      </c>
      <c r="V281">
        <v>0.20442890573261702</v>
      </c>
      <c r="W281">
        <v>9.7728445875424952E-2</v>
      </c>
      <c r="X281">
        <v>2.7625024578851434E-2</v>
      </c>
      <c r="Y281">
        <v>4.3553997741653588E-3</v>
      </c>
    </row>
    <row r="282" spans="1:25" x14ac:dyDescent="0.25">
      <c r="A282" s="1098"/>
      <c r="B282" s="1457">
        <v>32</v>
      </c>
      <c r="C282" s="1102">
        <v>0.98650115937113203</v>
      </c>
      <c r="D282" s="1102">
        <v>1.0091576571315251</v>
      </c>
      <c r="E282" s="1102">
        <v>1.0208298187064575</v>
      </c>
      <c r="F282" s="1102">
        <v>1.0242112427682011</v>
      </c>
      <c r="G282" s="1102">
        <v>1.0352660251945764</v>
      </c>
      <c r="H282" s="1102">
        <v>1.0317321425418378</v>
      </c>
      <c r="I282" s="1102">
        <v>1.0073169057619127</v>
      </c>
      <c r="K282">
        <v>1.602562869758237</v>
      </c>
      <c r="L282">
        <v>0</v>
      </c>
      <c r="M282">
        <v>1.5560006567152673E-3</v>
      </c>
      <c r="N282">
        <v>0.1524805022694237</v>
      </c>
      <c r="O282">
        <v>0.12330506103894856</v>
      </c>
      <c r="P282">
        <v>1.6301403078471308E-2</v>
      </c>
      <c r="Q282">
        <v>9.2748587699241134E-4</v>
      </c>
      <c r="R282">
        <v>1.5525699207356979E-3</v>
      </c>
      <c r="S282">
        <v>0.12404975678110404</v>
      </c>
      <c r="T282">
        <v>0.84382870036808821</v>
      </c>
      <c r="U282">
        <v>0</v>
      </c>
      <c r="V282">
        <v>0.2093787767319121</v>
      </c>
      <c r="W282">
        <v>9.8946865468549472E-2</v>
      </c>
      <c r="X282">
        <v>2.9122165361019626E-2</v>
      </c>
      <c r="Y282">
        <v>4.2255835197057496E-3</v>
      </c>
    </row>
    <row r="283" spans="1:25" x14ac:dyDescent="0.25">
      <c r="A283" s="1098"/>
      <c r="B283" s="1457">
        <v>33</v>
      </c>
      <c r="C283" s="1102">
        <v>0.99760610608087241</v>
      </c>
      <c r="D283" s="1102">
        <v>0.96532611976408589</v>
      </c>
      <c r="E283" s="1102">
        <v>0.98261132115864258</v>
      </c>
      <c r="F283" s="1102">
        <v>0.96190558896222522</v>
      </c>
      <c r="G283" s="1102">
        <v>0.99178157765573716</v>
      </c>
      <c r="H283" s="1102">
        <v>1.0431150772051196</v>
      </c>
      <c r="I283" s="1102">
        <v>0.97340797169131921</v>
      </c>
      <c r="K283">
        <v>1.5392420466008736</v>
      </c>
      <c r="L283">
        <v>0</v>
      </c>
      <c r="M283">
        <v>1.7197937057814171E-3</v>
      </c>
      <c r="N283">
        <v>0.15016003605479364</v>
      </c>
      <c r="O283">
        <v>0.12036962769304033</v>
      </c>
      <c r="P283">
        <v>1.5094567701374476E-2</v>
      </c>
      <c r="Q283">
        <v>8.9735882057310405E-4</v>
      </c>
      <c r="R283">
        <v>1.716055372121232E-3</v>
      </c>
      <c r="S283">
        <v>0.12220316844792983</v>
      </c>
      <c r="T283">
        <v>0.79492102589187918</v>
      </c>
      <c r="U283">
        <v>0</v>
      </c>
      <c r="V283">
        <v>0.20447338053791664</v>
      </c>
      <c r="W283">
        <v>9.9676817196888964E-2</v>
      </c>
      <c r="X283">
        <v>2.6779265564724191E-2</v>
      </c>
      <c r="Y283">
        <v>4.6705370254126084E-3</v>
      </c>
    </row>
    <row r="284" spans="1:25" x14ac:dyDescent="0.25">
      <c r="A284" s="1098"/>
      <c r="B284" s="1457">
        <v>34</v>
      </c>
      <c r="C284" s="1102">
        <v>0.99451827086607203</v>
      </c>
      <c r="D284" s="1102">
        <v>1.0159764793532771</v>
      </c>
      <c r="E284" s="1102">
        <v>0.96262070994205606</v>
      </c>
      <c r="F284" s="1102">
        <v>1.0010802360978652</v>
      </c>
      <c r="G284" s="1102">
        <v>1.0043455062194258</v>
      </c>
      <c r="H284" s="1102">
        <v>1.0028192961453317</v>
      </c>
      <c r="I284" s="1102">
        <v>0.99217048864588742</v>
      </c>
      <c r="K284">
        <v>1.5521307462565017</v>
      </c>
      <c r="L284">
        <v>0</v>
      </c>
      <c r="M284">
        <v>1.684099473687303E-3</v>
      </c>
      <c r="N284">
        <v>0.13839480934697007</v>
      </c>
      <c r="O284">
        <v>0.12114014697725979</v>
      </c>
      <c r="P284">
        <v>1.5277035192452989E-2</v>
      </c>
      <c r="Q284">
        <v>8.635638228851446E-4</v>
      </c>
      <c r="R284">
        <v>1.6802705972415143E-3</v>
      </c>
      <c r="S284">
        <v>0.1182446883062124</v>
      </c>
      <c r="T284">
        <v>0.82863381180866824</v>
      </c>
      <c r="U284">
        <v>0</v>
      </c>
      <c r="V284">
        <v>0.20579349137333583</v>
      </c>
      <c r="W284">
        <v>9.2989249846472902E-2</v>
      </c>
      <c r="X284">
        <v>2.6224635794050356E-2</v>
      </c>
      <c r="Y284">
        <v>4.5731426646378861E-3</v>
      </c>
    </row>
    <row r="285" spans="1:25" x14ac:dyDescent="0.25">
      <c r="A285" s="1098"/>
      <c r="B285" s="1457">
        <v>35</v>
      </c>
      <c r="C285" s="1102">
        <v>0.97369174905530209</v>
      </c>
      <c r="D285" s="1102">
        <v>0.98413582626541374</v>
      </c>
      <c r="E285" s="1102">
        <v>1.0013912664059992</v>
      </c>
      <c r="F285" s="1102">
        <v>1.0160605336431574</v>
      </c>
      <c r="G285" s="1102">
        <v>1.010948541008732</v>
      </c>
      <c r="H285" s="1102">
        <v>1.004827489434662</v>
      </c>
      <c r="I285" s="1102">
        <v>0.97549686678814307</v>
      </c>
      <c r="K285">
        <v>1.5915320171809311</v>
      </c>
      <c r="L285">
        <v>0</v>
      </c>
      <c r="M285">
        <v>1.6189748321206771E-3</v>
      </c>
      <c r="N285">
        <v>0.14960186769208655</v>
      </c>
      <c r="O285">
        <v>0.12459847957627171</v>
      </c>
      <c r="P285">
        <v>1.5960907442872773E-2</v>
      </c>
      <c r="Q285">
        <v>9.3034443330262799E-4</v>
      </c>
      <c r="R285">
        <v>1.6153191675787007E-3</v>
      </c>
      <c r="S285">
        <v>0.1212225424973383</v>
      </c>
      <c r="T285">
        <v>0.83841021965620166</v>
      </c>
      <c r="U285">
        <v>0</v>
      </c>
      <c r="V285">
        <v>0.20971769516939204</v>
      </c>
      <c r="W285">
        <v>9.819706987573236E-2</v>
      </c>
      <c r="X285">
        <v>2.850018021794664E-2</v>
      </c>
      <c r="Y285">
        <v>4.3963662843287425E-3</v>
      </c>
    </row>
    <row r="286" spans="1:25" x14ac:dyDescent="0.25">
      <c r="A286" s="1098"/>
      <c r="B286" s="1457">
        <v>36</v>
      </c>
      <c r="C286" s="1102">
        <v>0.96960318895706821</v>
      </c>
      <c r="D286" s="1102">
        <v>0.98944773255104601</v>
      </c>
      <c r="E286" s="1102">
        <v>1.0231835450935305</v>
      </c>
      <c r="F286" s="1102">
        <v>1.0214355981134209</v>
      </c>
      <c r="G286" s="1102">
        <v>1.0169959915895348</v>
      </c>
      <c r="H286" s="1102">
        <v>1.0165500224207062</v>
      </c>
      <c r="I286" s="1102">
        <v>0.99937097940784436</v>
      </c>
      <c r="K286">
        <v>1.6081019520052777</v>
      </c>
      <c r="L286">
        <v>0</v>
      </c>
      <c r="M286">
        <v>1.5673202666927433E-3</v>
      </c>
      <c r="N286">
        <v>0.15467960147039683</v>
      </c>
      <c r="O286">
        <v>0.12489636805280839</v>
      </c>
      <c r="P286">
        <v>1.6329129713190709E-2</v>
      </c>
      <c r="Q286">
        <v>9.5342130297321962E-4</v>
      </c>
      <c r="R286">
        <v>1.5638192852480571E-3</v>
      </c>
      <c r="S286">
        <v>0.12532882556931504</v>
      </c>
      <c r="T286">
        <v>0.84138489794518245</v>
      </c>
      <c r="U286">
        <v>0</v>
      </c>
      <c r="V286">
        <v>0.21051252883357693</v>
      </c>
      <c r="W286">
        <v>0.10023598595684641</v>
      </c>
      <c r="X286">
        <v>2.9528493560876678E-2</v>
      </c>
      <c r="Y286">
        <v>4.2562005815563759E-3</v>
      </c>
    </row>
    <row r="287" spans="1:25" x14ac:dyDescent="0.25">
      <c r="A287" s="1098"/>
      <c r="B287" s="1457">
        <v>37</v>
      </c>
      <c r="C287" s="1102">
        <v>1.0460092118290474</v>
      </c>
      <c r="D287" s="1102">
        <v>0.97662338225463008</v>
      </c>
      <c r="E287" s="1102">
        <v>1.0019138782808537</v>
      </c>
      <c r="F287" s="1102">
        <v>1.0141446233630724</v>
      </c>
      <c r="G287" s="1102">
        <v>1.0143860103681577</v>
      </c>
      <c r="H287" s="1102">
        <v>0.97933220131867671</v>
      </c>
      <c r="I287" s="1102">
        <v>1.0150261018112763</v>
      </c>
      <c r="K287">
        <v>1.5536843739545729</v>
      </c>
      <c r="L287">
        <v>0</v>
      </c>
      <c r="M287">
        <v>1.4811886425416213E-3</v>
      </c>
      <c r="N287">
        <v>0.13707990206054829</v>
      </c>
      <c r="O287">
        <v>0.12109689471543961</v>
      </c>
      <c r="P287">
        <v>1.5800068812390371E-2</v>
      </c>
      <c r="Q287">
        <v>8.6915258775282079E-4</v>
      </c>
      <c r="R287">
        <v>1.4777789708340192E-3</v>
      </c>
      <c r="S287">
        <v>0.11636026913008753</v>
      </c>
      <c r="T287">
        <v>0.83679433200670306</v>
      </c>
      <c r="U287">
        <v>0</v>
      </c>
      <c r="V287">
        <v>0.20396993325653176</v>
      </c>
      <c r="W287">
        <v>8.9949877823836302E-2</v>
      </c>
      <c r="X287">
        <v>2.7745326024086494E-2</v>
      </c>
      <c r="Y287">
        <v>4.0220272089033894E-3</v>
      </c>
    </row>
    <row r="288" spans="1:25" x14ac:dyDescent="0.25">
      <c r="A288" s="1098"/>
      <c r="B288" s="1457">
        <v>38</v>
      </c>
      <c r="C288" s="1102">
        <v>1.0217636898100104</v>
      </c>
      <c r="D288" s="1102">
        <v>0.9629542803451272</v>
      </c>
      <c r="E288" s="1102">
        <v>0.99731039058190596</v>
      </c>
      <c r="F288" s="1102">
        <v>0.97761058992447425</v>
      </c>
      <c r="G288" s="1102">
        <v>0.98861170404910026</v>
      </c>
      <c r="H288" s="1102">
        <v>1.0096373320829073</v>
      </c>
      <c r="I288" s="1102">
        <v>0.98654213529199564</v>
      </c>
      <c r="K288">
        <v>1.5369058167226366</v>
      </c>
      <c r="L288">
        <v>0</v>
      </c>
      <c r="M288">
        <v>1.5836852314749256E-3</v>
      </c>
      <c r="N288">
        <v>0.14455057215131512</v>
      </c>
      <c r="O288">
        <v>0.1203542091714746</v>
      </c>
      <c r="P288">
        <v>1.5362921707203341E-2</v>
      </c>
      <c r="Q288">
        <v>8.9054602729865008E-4</v>
      </c>
      <c r="R288">
        <v>1.5801412369951581E-3</v>
      </c>
      <c r="S288">
        <v>0.11876895721803805</v>
      </c>
      <c r="T288">
        <v>0.8069463980771111</v>
      </c>
      <c r="U288">
        <v>0</v>
      </c>
      <c r="V288">
        <v>0.20325839010689392</v>
      </c>
      <c r="W288">
        <v>9.5111981211363009E-2</v>
      </c>
      <c r="X288">
        <v>2.7364761492735253E-2</v>
      </c>
      <c r="Y288">
        <v>4.3006235536820377E-3</v>
      </c>
    </row>
    <row r="289" spans="1:25" x14ac:dyDescent="0.25">
      <c r="A289" s="1098"/>
      <c r="B289" s="1457">
        <v>39</v>
      </c>
      <c r="C289" s="1102">
        <v>1.0225125313762786</v>
      </c>
      <c r="D289" s="1102">
        <v>1.0240648647041515</v>
      </c>
      <c r="E289" s="1102">
        <v>0.98246202056066134</v>
      </c>
      <c r="F289" s="1102">
        <v>0.98007702957930753</v>
      </c>
      <c r="G289" s="1102">
        <v>0.989691068754463</v>
      </c>
      <c r="H289" s="1102">
        <v>1.0109106560439245</v>
      </c>
      <c r="I289" s="1102">
        <v>1.0001814925806829</v>
      </c>
      <c r="K289">
        <v>1.5212389583863801</v>
      </c>
      <c r="L289">
        <v>0</v>
      </c>
      <c r="M289">
        <v>1.5784394845332463E-3</v>
      </c>
      <c r="N289">
        <v>0.13774421201938872</v>
      </c>
      <c r="O289">
        <v>0.11787328102456172</v>
      </c>
      <c r="P289">
        <v>1.5172880334586124E-2</v>
      </c>
      <c r="Q289">
        <v>8.5492373692763724E-4</v>
      </c>
      <c r="R289">
        <v>1.5748762756075067E-3</v>
      </c>
      <c r="S289">
        <v>0.11607519028036382</v>
      </c>
      <c r="T289">
        <v>0.80994768892724101</v>
      </c>
      <c r="U289">
        <v>0</v>
      </c>
      <c r="V289">
        <v>0.20153430076942028</v>
      </c>
      <c r="W289">
        <v>9.144337161429178E-2</v>
      </c>
      <c r="X289">
        <v>2.6310378824144477E-2</v>
      </c>
      <c r="Y289">
        <v>4.2862940643789062E-3</v>
      </c>
    </row>
    <row r="290" spans="1:25" x14ac:dyDescent="0.25">
      <c r="A290" s="1098"/>
      <c r="B290" s="1457">
        <v>40</v>
      </c>
      <c r="C290" s="1102">
        <v>1.0058712949224893</v>
      </c>
      <c r="D290" s="1102">
        <v>0.98293912745041601</v>
      </c>
      <c r="E290" s="1102">
        <v>1.0283812684634535</v>
      </c>
      <c r="F290" s="1102">
        <v>1.0120485527101599</v>
      </c>
      <c r="G290" s="1102">
        <v>0.99567802064280453</v>
      </c>
      <c r="H290" s="1102">
        <v>0.96637344002339376</v>
      </c>
      <c r="I290" s="1102">
        <v>0.98959018703973034</v>
      </c>
      <c r="K290">
        <v>1.5640994323625375</v>
      </c>
      <c r="L290">
        <v>0</v>
      </c>
      <c r="M290">
        <v>1.4289584354526565E-3</v>
      </c>
      <c r="N290">
        <v>0.14323679813258086</v>
      </c>
      <c r="O290">
        <v>0.12259463597831333</v>
      </c>
      <c r="P290">
        <v>1.6091948225266009E-2</v>
      </c>
      <c r="Q290">
        <v>9.2638512904449054E-4</v>
      </c>
      <c r="R290">
        <v>1.4256111937363297E-3</v>
      </c>
      <c r="S290">
        <v>0.11631152911288067</v>
      </c>
      <c r="T290">
        <v>0.83330965328857021</v>
      </c>
      <c r="U290">
        <v>0</v>
      </c>
      <c r="V290">
        <v>0.20612225328512715</v>
      </c>
      <c r="W290">
        <v>9.2540224238765012E-2</v>
      </c>
      <c r="X290">
        <v>2.9089308496959166E-2</v>
      </c>
      <c r="Y290">
        <v>3.8800437167465758E-3</v>
      </c>
    </row>
    <row r="291" spans="1:25" x14ac:dyDescent="0.25">
      <c r="A291" s="1098"/>
      <c r="B291" s="1457">
        <v>41</v>
      </c>
      <c r="C291" s="1102">
        <v>0.96914034983263764</v>
      </c>
      <c r="D291" s="1102">
        <v>1.0408759775246053</v>
      </c>
      <c r="E291" s="1102">
        <v>1.0027324803307742</v>
      </c>
      <c r="F291" s="1102">
        <v>0.99376789935962662</v>
      </c>
      <c r="G291" s="1102">
        <v>1.0281059592715884</v>
      </c>
      <c r="H291" s="1102">
        <v>0.97085554003726793</v>
      </c>
      <c r="I291" s="1102">
        <v>0.99900653231184688</v>
      </c>
      <c r="K291">
        <v>1.5476699492957593</v>
      </c>
      <c r="L291">
        <v>0</v>
      </c>
      <c r="M291">
        <v>1.515292817374886E-3</v>
      </c>
      <c r="N291">
        <v>0.14057467679059246</v>
      </c>
      <c r="O291">
        <v>0.12077711927781148</v>
      </c>
      <c r="P291">
        <v>1.5654169031619185E-2</v>
      </c>
      <c r="Q291">
        <v>9.1525952499760992E-4</v>
      </c>
      <c r="R291">
        <v>1.5117113999581313E-3</v>
      </c>
      <c r="S291">
        <v>0.11776560982861464</v>
      </c>
      <c r="T291">
        <v>0.81992738133675758</v>
      </c>
      <c r="U291">
        <v>0</v>
      </c>
      <c r="V291">
        <v>0.20803778642361448</v>
      </c>
      <c r="W291">
        <v>9.2198313042308785E-2</v>
      </c>
      <c r="X291">
        <v>2.7708835361700802E-2</v>
      </c>
      <c r="Y291">
        <v>4.1143800951569673E-3</v>
      </c>
    </row>
    <row r="292" spans="1:25" x14ac:dyDescent="0.25">
      <c r="A292" s="1098"/>
      <c r="B292" s="1457">
        <v>42</v>
      </c>
      <c r="C292" s="1102">
        <v>1.0068893026018779</v>
      </c>
      <c r="D292" s="1102">
        <v>0.97574604533375331</v>
      </c>
      <c r="E292" s="1102">
        <v>1.0365454988236824</v>
      </c>
      <c r="F292" s="1102">
        <v>0.99178069220036291</v>
      </c>
      <c r="G292" s="1102">
        <v>0.9727149612130862</v>
      </c>
      <c r="H292" s="1102">
        <v>1.0023256366026339</v>
      </c>
      <c r="I292" s="1102">
        <v>0.99128121429496108</v>
      </c>
      <c r="K292">
        <v>1.5578074589844841</v>
      </c>
      <c r="L292">
        <v>0</v>
      </c>
      <c r="M292">
        <v>1.4595259206170751E-3</v>
      </c>
      <c r="N292">
        <v>0.14995809371240551</v>
      </c>
      <c r="O292">
        <v>0.12141897720541601</v>
      </c>
      <c r="P292">
        <v>1.5966173550224942E-2</v>
      </c>
      <c r="Q292">
        <v>9.3592623396260581E-4</v>
      </c>
      <c r="R292">
        <v>1.4562288171314553E-3</v>
      </c>
      <c r="S292">
        <v>0.11965219267351719</v>
      </c>
      <c r="T292">
        <v>0.81609529041921414</v>
      </c>
      <c r="U292">
        <v>0</v>
      </c>
      <c r="V292">
        <v>0.20418480443734227</v>
      </c>
      <c r="W292">
        <v>9.6425442843677531E-2</v>
      </c>
      <c r="X292">
        <v>2.9210480217676082E-2</v>
      </c>
      <c r="Y292">
        <v>3.9633747945312693E-3</v>
      </c>
    </row>
    <row r="293" spans="1:25" x14ac:dyDescent="0.25">
      <c r="A293" s="1098"/>
      <c r="B293" s="1457">
        <v>43</v>
      </c>
      <c r="C293" s="1102">
        <v>0.9940146299192647</v>
      </c>
      <c r="D293" s="1102">
        <v>1.0224790476353092</v>
      </c>
      <c r="E293" s="1102">
        <v>0.95621416008863269</v>
      </c>
      <c r="F293" s="1102">
        <v>1.0302998159514483</v>
      </c>
      <c r="G293" s="1102">
        <v>1.0380957399293751</v>
      </c>
      <c r="H293" s="1102">
        <v>0.99605988266696821</v>
      </c>
      <c r="I293" s="1102">
        <v>1.02620616292488</v>
      </c>
      <c r="K293">
        <v>1.5823621843930296</v>
      </c>
      <c r="L293">
        <v>0</v>
      </c>
      <c r="M293">
        <v>1.6932594908700563E-3</v>
      </c>
      <c r="N293">
        <v>0.13647048719204058</v>
      </c>
      <c r="O293">
        <v>0.12292884614767575</v>
      </c>
      <c r="P293">
        <v>1.5607007658454087E-2</v>
      </c>
      <c r="Q293">
        <v>8.559689108649731E-4</v>
      </c>
      <c r="R293">
        <v>1.6893876532193255E-3</v>
      </c>
      <c r="S293">
        <v>0.12150829767017596</v>
      </c>
      <c r="T293">
        <v>0.85326438987644204</v>
      </c>
      <c r="U293">
        <v>0</v>
      </c>
      <c r="V293">
        <v>0.20865871757110052</v>
      </c>
      <c r="W293">
        <v>9.2057549892889293E-2</v>
      </c>
      <c r="X293">
        <v>2.6416835025464901E-2</v>
      </c>
      <c r="Y293">
        <v>4.5979562855727914E-3</v>
      </c>
    </row>
    <row r="294" spans="1:25" x14ac:dyDescent="0.25">
      <c r="A294" s="1098"/>
      <c r="B294" s="1457">
        <v>44</v>
      </c>
      <c r="C294" s="1102">
        <v>0.97681317378855115</v>
      </c>
      <c r="D294" s="1102">
        <v>1.0253297305275773</v>
      </c>
      <c r="E294" s="1102">
        <v>0.96435948120247961</v>
      </c>
      <c r="F294" s="1102">
        <v>0.99271724778586823</v>
      </c>
      <c r="G294" s="1102">
        <v>0.99678291197937663</v>
      </c>
      <c r="H294" s="1102">
        <v>1.0339827558835957</v>
      </c>
      <c r="I294" s="1102">
        <v>1.0001924465211043</v>
      </c>
      <c r="K294">
        <v>1.5606398415778517</v>
      </c>
      <c r="L294">
        <v>0</v>
      </c>
      <c r="M294">
        <v>1.7490787007018783E-3</v>
      </c>
      <c r="N294">
        <v>0.14450254210389246</v>
      </c>
      <c r="O294">
        <v>0.12106457831099555</v>
      </c>
      <c r="P294">
        <v>1.5274194982938782E-2</v>
      </c>
      <c r="Q294">
        <v>8.7761113711249793E-4</v>
      </c>
      <c r="R294">
        <v>1.7452085903682938E-3</v>
      </c>
      <c r="S294">
        <v>0.12303534279382512</v>
      </c>
      <c r="T294">
        <v>0.82159545508100473</v>
      </c>
      <c r="U294">
        <v>0</v>
      </c>
      <c r="V294">
        <v>0.20627402306835058</v>
      </c>
      <c r="W294">
        <v>9.6989884769998397E-2</v>
      </c>
      <c r="X294">
        <v>2.628019696494183E-2</v>
      </c>
      <c r="Y294">
        <v>4.7498824751252972E-3</v>
      </c>
    </row>
    <row r="295" spans="1:25" x14ac:dyDescent="0.25">
      <c r="A295" s="1098"/>
      <c r="B295" s="1457">
        <v>45</v>
      </c>
      <c r="C295" s="1102">
        <v>0.98923790698120051</v>
      </c>
      <c r="D295" s="1102">
        <v>1.0169395415565887</v>
      </c>
      <c r="E295" s="1102">
        <v>1.0181888577643756</v>
      </c>
      <c r="F295" s="1102">
        <v>1.0313340806968385</v>
      </c>
      <c r="G295" s="1102">
        <v>0.99573123655595164</v>
      </c>
      <c r="H295" s="1102">
        <v>0.97936930764293162</v>
      </c>
      <c r="I295" s="1102">
        <v>0.96667780632497091</v>
      </c>
      <c r="K295">
        <v>1.5815584827364835</v>
      </c>
      <c r="L295">
        <v>0</v>
      </c>
      <c r="M295">
        <v>1.4756627778053047E-3</v>
      </c>
      <c r="N295">
        <v>0.14344305463448939</v>
      </c>
      <c r="O295">
        <v>0.12331646322378925</v>
      </c>
      <c r="P295">
        <v>1.6190975806900779E-2</v>
      </c>
      <c r="Q295">
        <v>9.1958696074385601E-4</v>
      </c>
      <c r="R295">
        <v>1.472233237186038E-3</v>
      </c>
      <c r="S295">
        <v>0.11419878224819692</v>
      </c>
      <c r="T295">
        <v>0.84987516126564866</v>
      </c>
      <c r="U295">
        <v>0</v>
      </c>
      <c r="V295">
        <v>0.20748744152303225</v>
      </c>
      <c r="W295">
        <v>9.3226319810624181E-2</v>
      </c>
      <c r="X295">
        <v>2.8897193253612057E-2</v>
      </c>
      <c r="Y295">
        <v>4.0069335500641894E-3</v>
      </c>
    </row>
    <row r="296" spans="1:25" x14ac:dyDescent="0.25">
      <c r="A296" s="1098"/>
      <c r="B296" s="1457">
        <v>46</v>
      </c>
      <c r="C296" s="1102">
        <v>1.0058801372030639</v>
      </c>
      <c r="D296" s="1102">
        <v>0.99933663950379903</v>
      </c>
      <c r="E296" s="1102">
        <v>0.98331885657344964</v>
      </c>
      <c r="F296" s="1102">
        <v>0.96131014690919125</v>
      </c>
      <c r="G296" s="1102">
        <v>1.0003782631784841</v>
      </c>
      <c r="H296" s="1102">
        <v>0.98259760115176786</v>
      </c>
      <c r="I296" s="1102">
        <v>1.0215487843287647</v>
      </c>
      <c r="K296">
        <v>1.5114172763850899</v>
      </c>
      <c r="L296">
        <v>0</v>
      </c>
      <c r="M296">
        <v>1.5742854870909411E-3</v>
      </c>
      <c r="N296">
        <v>0.13772971486383156</v>
      </c>
      <c r="O296">
        <v>0.11841859270052026</v>
      </c>
      <c r="P296">
        <v>1.5044637716678496E-2</v>
      </c>
      <c r="Q296">
        <v>8.7838599038161231E-4</v>
      </c>
      <c r="R296">
        <v>1.5706342491173411E-3</v>
      </c>
      <c r="S296">
        <v>0.11979346203575447</v>
      </c>
      <c r="T296">
        <v>0.7943836770167878</v>
      </c>
      <c r="U296">
        <v>0</v>
      </c>
      <c r="V296">
        <v>0.20311412251381206</v>
      </c>
      <c r="W296">
        <v>9.1386562111545458E-2</v>
      </c>
      <c r="X296">
        <v>2.6397024007095132E-2</v>
      </c>
      <c r="Y296">
        <v>4.2747486666563335E-3</v>
      </c>
    </row>
    <row r="297" spans="1:25" x14ac:dyDescent="0.25">
      <c r="A297" s="1098"/>
      <c r="B297" s="1457">
        <v>47</v>
      </c>
      <c r="C297" s="1102">
        <v>0.99846483253787832</v>
      </c>
      <c r="D297" s="1102">
        <v>1.0326973333441893</v>
      </c>
      <c r="E297" s="1102">
        <v>0.9986128427182418</v>
      </c>
      <c r="F297" s="1102">
        <v>1.0164769514310514</v>
      </c>
      <c r="G297" s="1102">
        <v>0.98328695367483976</v>
      </c>
      <c r="H297" s="1102">
        <v>0.98173430679693963</v>
      </c>
      <c r="I297" s="1102">
        <v>1.016827022645252</v>
      </c>
      <c r="K297">
        <v>1.5612291942095389</v>
      </c>
      <c r="L297">
        <v>0</v>
      </c>
      <c r="M297">
        <v>1.5124621970916447E-3</v>
      </c>
      <c r="N297">
        <v>0.13858190649576327</v>
      </c>
      <c r="O297">
        <v>0.12118363333006195</v>
      </c>
      <c r="P297">
        <v>1.5825706788024016E-2</v>
      </c>
      <c r="Q297">
        <v>8.8738934848861506E-4</v>
      </c>
      <c r="R297">
        <v>1.5089450476730142E-3</v>
      </c>
      <c r="S297">
        <v>0.11804155723452923</v>
      </c>
      <c r="T297">
        <v>0.83894026704476443</v>
      </c>
      <c r="U297">
        <v>0</v>
      </c>
      <c r="V297">
        <v>0.20487761334057672</v>
      </c>
      <c r="W297">
        <v>9.1114021035799755E-2</v>
      </c>
      <c r="X297">
        <v>2.7673765744785115E-2</v>
      </c>
      <c r="Y297">
        <v>4.1068509961646659E-3</v>
      </c>
    </row>
    <row r="298" spans="1:25" x14ac:dyDescent="0.25">
      <c r="A298" s="1098"/>
      <c r="B298" s="1457">
        <v>48</v>
      </c>
      <c r="C298" s="1102">
        <v>1.0038329415601681</v>
      </c>
      <c r="D298" s="1102">
        <v>0.96724220056886512</v>
      </c>
      <c r="E298" s="1102">
        <v>1.0126259167204621</v>
      </c>
      <c r="F298" s="1102">
        <v>0.99933502834346111</v>
      </c>
      <c r="G298" s="1102">
        <v>0.96526684683864805</v>
      </c>
      <c r="H298" s="1102">
        <v>1.0135226121054759</v>
      </c>
      <c r="I298" s="1102">
        <v>0.99857697974083715</v>
      </c>
      <c r="K298">
        <v>1.5701255873327007</v>
      </c>
      <c r="L298">
        <v>0</v>
      </c>
      <c r="M298">
        <v>1.5642158713842463E-3</v>
      </c>
      <c r="N298">
        <v>0.14953372986565741</v>
      </c>
      <c r="O298">
        <v>0.12256683076054709</v>
      </c>
      <c r="P298">
        <v>1.5842096314679723E-2</v>
      </c>
      <c r="Q298">
        <v>9.1928808225562688E-4</v>
      </c>
      <c r="R298">
        <v>1.5607276622810391E-3</v>
      </c>
      <c r="S298">
        <v>0.12241565514905263</v>
      </c>
      <c r="T298">
        <v>0.82387042928312237</v>
      </c>
      <c r="U298">
        <v>0</v>
      </c>
      <c r="V298">
        <v>0.20472355500819192</v>
      </c>
      <c r="W298">
        <v>9.750272655809207E-2</v>
      </c>
      <c r="X298">
        <v>2.8506978317210222E-2</v>
      </c>
      <c r="Y298">
        <v>4.2477862029933894E-3</v>
      </c>
    </row>
    <row r="299" spans="1:25" x14ac:dyDescent="0.25">
      <c r="A299" s="1098"/>
      <c r="B299" s="1457">
        <v>49</v>
      </c>
      <c r="C299" s="1102">
        <v>0.99696092283603432</v>
      </c>
      <c r="D299" s="1102">
        <v>1.041133630884542</v>
      </c>
      <c r="E299" s="1102">
        <v>0.97231834278511275</v>
      </c>
      <c r="F299" s="1102">
        <v>0.99675141927397359</v>
      </c>
      <c r="G299" s="1102">
        <v>0.97417867922761858</v>
      </c>
      <c r="H299" s="1102">
        <v>0.99029210061678552</v>
      </c>
      <c r="I299" s="1102">
        <v>1.0305718434299744</v>
      </c>
      <c r="K299">
        <v>1.5402350783135157</v>
      </c>
      <c r="L299">
        <v>0</v>
      </c>
      <c r="M299">
        <v>1.603497082501513E-3</v>
      </c>
      <c r="N299">
        <v>0.13569323212689888</v>
      </c>
      <c r="O299">
        <v>0.11961496691134904</v>
      </c>
      <c r="P299">
        <v>1.5321618824627934E-2</v>
      </c>
      <c r="Q299">
        <v>8.6183328528537692E-4</v>
      </c>
      <c r="R299">
        <v>1.5997897146386882E-3</v>
      </c>
      <c r="S299">
        <v>0.11974996499086607</v>
      </c>
      <c r="T299">
        <v>0.82440243604095853</v>
      </c>
      <c r="U299">
        <v>0</v>
      </c>
      <c r="V299">
        <v>0.20329335638328946</v>
      </c>
      <c r="W299">
        <v>9.0636395700873937E-2</v>
      </c>
      <c r="X299">
        <v>2.6310881184519831E-2</v>
      </c>
      <c r="Y299">
        <v>4.3541002327088119E-3</v>
      </c>
    </row>
    <row r="300" spans="1:25" x14ac:dyDescent="0.25">
      <c r="A300" s="1098"/>
      <c r="B300" s="1457">
        <v>50</v>
      </c>
      <c r="C300" s="1102">
        <v>0.970369842198607</v>
      </c>
      <c r="D300" s="1102">
        <v>0.95635777484667406</v>
      </c>
      <c r="E300" s="1102">
        <v>1.0400751703467166</v>
      </c>
      <c r="F300" s="1102">
        <v>1.0039898290105789</v>
      </c>
      <c r="G300" s="1102">
        <v>0.99965839311316373</v>
      </c>
      <c r="H300" s="1102">
        <v>0.96427142065540739</v>
      </c>
      <c r="I300" s="1102">
        <v>1.0065711575469241</v>
      </c>
      <c r="K300">
        <v>1.5853288627999407</v>
      </c>
      <c r="L300">
        <v>0</v>
      </c>
      <c r="M300">
        <v>1.4600374601409177E-3</v>
      </c>
      <c r="N300">
        <v>0.15160134222985167</v>
      </c>
      <c r="O300">
        <v>0.12509866783762963</v>
      </c>
      <c r="P300">
        <v>1.62884520934947E-2</v>
      </c>
      <c r="Q300">
        <v>9.8249424224582495E-4</v>
      </c>
      <c r="R300">
        <v>1.4566139990806657E-3</v>
      </c>
      <c r="S300">
        <v>0.12423255379977183</v>
      </c>
      <c r="T300">
        <v>0.8259121339545108</v>
      </c>
      <c r="U300">
        <v>0</v>
      </c>
      <c r="V300">
        <v>0.20983370505887511</v>
      </c>
      <c r="W300">
        <v>9.7283846698588694E-2</v>
      </c>
      <c r="X300">
        <v>3.0134667213208916E-2</v>
      </c>
      <c r="Y300">
        <v>3.9644231328218238E-3</v>
      </c>
    </row>
    <row r="301" spans="1:25" x14ac:dyDescent="0.25">
      <c r="A301" s="1098"/>
      <c r="B301" s="1457">
        <v>51</v>
      </c>
      <c r="C301" s="1102">
        <v>0.98679455885632528</v>
      </c>
      <c r="D301" s="1102">
        <v>0.9603139428305395</v>
      </c>
      <c r="E301" s="1102">
        <v>0.98184727453422183</v>
      </c>
      <c r="F301" s="1102">
        <v>0.97702744245632667</v>
      </c>
      <c r="G301" s="1102">
        <v>0.99441814177009491</v>
      </c>
      <c r="H301" s="1102">
        <v>1.0369760609935299</v>
      </c>
      <c r="I301" s="1102">
        <v>1.0210880179118833</v>
      </c>
      <c r="K301">
        <v>1.565689865541672</v>
      </c>
      <c r="L301">
        <v>0</v>
      </c>
      <c r="M301">
        <v>1.7369412251899896E-3</v>
      </c>
      <c r="N301">
        <v>0.15130557134681694</v>
      </c>
      <c r="O301">
        <v>0.12225469221654056</v>
      </c>
      <c r="P301">
        <v>1.5379964477616248E-2</v>
      </c>
      <c r="Q301">
        <v>9.0835477472076898E-4</v>
      </c>
      <c r="R301">
        <v>1.7331480655413711E-3</v>
      </c>
      <c r="S301">
        <v>0.1295159337996428</v>
      </c>
      <c r="T301">
        <v>0.80746746825320515</v>
      </c>
      <c r="U301">
        <v>0</v>
      </c>
      <c r="V301">
        <v>0.20647930287544436</v>
      </c>
      <c r="W301">
        <v>0.10048349348912329</v>
      </c>
      <c r="X301">
        <v>2.718181976591243E-2</v>
      </c>
      <c r="Y301">
        <v>4.717057702297355E-3</v>
      </c>
    </row>
    <row r="302" spans="1:25" x14ac:dyDescent="0.25">
      <c r="A302" s="1098"/>
      <c r="B302" s="1457">
        <v>52</v>
      </c>
      <c r="C302" s="1102">
        <v>1.0196394313169073</v>
      </c>
      <c r="D302" s="1102">
        <v>1.0205451107014092</v>
      </c>
      <c r="E302" s="1102">
        <v>1.0082221688589879</v>
      </c>
      <c r="F302" s="1102">
        <v>0.98051120428128036</v>
      </c>
      <c r="G302" s="1102">
        <v>0.97561559851392521</v>
      </c>
      <c r="H302" s="1102">
        <v>1.0238580425513399</v>
      </c>
      <c r="I302" s="1102">
        <v>1.0311454977547569</v>
      </c>
      <c r="K302">
        <v>1.5348321874817463</v>
      </c>
      <c r="L302">
        <v>0</v>
      </c>
      <c r="M302">
        <v>1.5225242123733437E-3</v>
      </c>
      <c r="N302">
        <v>0.14362625954812347</v>
      </c>
      <c r="O302">
        <v>0.11812400359403913</v>
      </c>
      <c r="P302">
        <v>1.5519539180185516E-2</v>
      </c>
      <c r="Q302">
        <v>8.8181141277837737E-4</v>
      </c>
      <c r="R302">
        <v>1.5191320855695196E-3</v>
      </c>
      <c r="S302">
        <v>0.12131561605264293</v>
      </c>
      <c r="T302">
        <v>0.80863530751092094</v>
      </c>
      <c r="U302">
        <v>0</v>
      </c>
      <c r="V302">
        <v>0.20130130336890245</v>
      </c>
      <c r="W302">
        <v>9.389421555094743E-2</v>
      </c>
      <c r="X302">
        <v>2.7402946634847349E-2</v>
      </c>
      <c r="Y302">
        <v>4.1345767551628117E-3</v>
      </c>
    </row>
    <row r="303" spans="1:25" x14ac:dyDescent="0.25">
      <c r="A303" s="1098"/>
      <c r="B303" s="1457">
        <v>53</v>
      </c>
      <c r="C303" s="1102">
        <v>0.99231020010554916</v>
      </c>
      <c r="D303" s="1102">
        <v>1.0001305552837378</v>
      </c>
      <c r="E303" s="1102">
        <v>0.99306388981226867</v>
      </c>
      <c r="F303" s="1102">
        <v>0.98307541795007403</v>
      </c>
      <c r="G303" s="1102">
        <v>1.020664222627008</v>
      </c>
      <c r="H303" s="1102">
        <v>0.99746669342630367</v>
      </c>
      <c r="I303" s="1102">
        <v>1.0019475820767181</v>
      </c>
      <c r="K303">
        <v>1.5443412605759665</v>
      </c>
      <c r="L303">
        <v>0</v>
      </c>
      <c r="M303">
        <v>1.5880443101461627E-3</v>
      </c>
      <c r="N303">
        <v>0.14309351257204639</v>
      </c>
      <c r="O303">
        <v>0.12058623208532496</v>
      </c>
      <c r="P303">
        <v>1.5441198364720686E-2</v>
      </c>
      <c r="Q303">
        <v>8.9921169757551148E-4</v>
      </c>
      <c r="R303">
        <v>1.5844182227231604E-3</v>
      </c>
      <c r="S303">
        <v>0.12030860568522686</v>
      </c>
      <c r="T303">
        <v>0.81173344910427903</v>
      </c>
      <c r="U303">
        <v>0</v>
      </c>
      <c r="V303">
        <v>0.20630104316761583</v>
      </c>
      <c r="W303">
        <v>9.4392099024294435E-2</v>
      </c>
      <c r="X303">
        <v>2.7277270863380131E-2</v>
      </c>
      <c r="Y303">
        <v>4.3122640989256946E-3</v>
      </c>
    </row>
    <row r="304" spans="1:25" x14ac:dyDescent="0.25">
      <c r="A304" s="1098"/>
      <c r="B304" s="1457">
        <v>54</v>
      </c>
      <c r="C304" s="1102">
        <v>0.97965443373524064</v>
      </c>
      <c r="D304" s="1102">
        <v>1.0119819472710785</v>
      </c>
      <c r="E304" s="1102">
        <v>0.97290343622283737</v>
      </c>
      <c r="F304" s="1102">
        <v>0.99725958855803509</v>
      </c>
      <c r="G304" s="1102">
        <v>1.0183793295012151</v>
      </c>
      <c r="H304" s="1102">
        <v>1.0124711528863668</v>
      </c>
      <c r="I304" s="1102">
        <v>1.0136002224017706</v>
      </c>
      <c r="K304">
        <v>1.5646451654414568</v>
      </c>
      <c r="L304">
        <v>0</v>
      </c>
      <c r="M304">
        <v>1.6912829667188297E-3</v>
      </c>
      <c r="N304">
        <v>0.14338410470063573</v>
      </c>
      <c r="O304">
        <v>0.12179076419592298</v>
      </c>
      <c r="P304">
        <v>1.5443387744639893E-2</v>
      </c>
      <c r="Q304">
        <v>8.8762457323263708E-4</v>
      </c>
      <c r="R304">
        <v>1.687471610110555E-3</v>
      </c>
      <c r="S304">
        <v>0.12361139402113148</v>
      </c>
      <c r="T304">
        <v>0.82478370327877415</v>
      </c>
      <c r="U304">
        <v>0</v>
      </c>
      <c r="V304">
        <v>0.20764566999947442</v>
      </c>
      <c r="W304">
        <v>9.5739490801558275E-2</v>
      </c>
      <c r="X304">
        <v>2.6770096034841779E-2</v>
      </c>
      <c r="Y304">
        <v>4.5927414478541609E-3</v>
      </c>
    </row>
    <row r="305" spans="1:25" x14ac:dyDescent="0.25">
      <c r="A305" s="1098"/>
      <c r="B305" s="1457">
        <v>55</v>
      </c>
      <c r="C305" s="1102">
        <v>0.98649404697937404</v>
      </c>
      <c r="D305" s="1102">
        <v>0.98196979779820015</v>
      </c>
      <c r="E305" s="1102">
        <v>1.0127085361609545</v>
      </c>
      <c r="F305" s="1102">
        <v>0.99004828657262034</v>
      </c>
      <c r="G305" s="1102">
        <v>0.99047755784328873</v>
      </c>
      <c r="H305" s="1102">
        <v>1.0102790761333573</v>
      </c>
      <c r="I305" s="1102">
        <v>1.0057177711230258</v>
      </c>
      <c r="K305">
        <v>1.5659686829736885</v>
      </c>
      <c r="L305">
        <v>0</v>
      </c>
      <c r="M305">
        <v>1.569614442676425E-3</v>
      </c>
      <c r="N305">
        <v>0.15008462511366438</v>
      </c>
      <c r="O305">
        <v>0.12213395398339476</v>
      </c>
      <c r="P305">
        <v>1.578106765340832E-2</v>
      </c>
      <c r="Q305">
        <v>9.2988747638351099E-4</v>
      </c>
      <c r="R305">
        <v>1.5660869204871274E-3</v>
      </c>
      <c r="S305">
        <v>0.12389869276658555</v>
      </c>
      <c r="T305">
        <v>0.8162088999272008</v>
      </c>
      <c r="U305">
        <v>0</v>
      </c>
      <c r="V305">
        <v>0.20639341277002562</v>
      </c>
      <c r="W305">
        <v>9.7857177485342214E-2</v>
      </c>
      <c r="X305">
        <v>2.8422120982721271E-2</v>
      </c>
      <c r="Y305">
        <v>4.2623723371513714E-3</v>
      </c>
    </row>
    <row r="306" spans="1:25" x14ac:dyDescent="0.25">
      <c r="A306" s="1098"/>
      <c r="B306" s="1457">
        <v>56</v>
      </c>
      <c r="C306" s="1102">
        <v>0.95956773832720654</v>
      </c>
      <c r="D306" s="1102">
        <v>0.99163858090933865</v>
      </c>
      <c r="E306" s="1102">
        <v>0.99579070524072799</v>
      </c>
      <c r="F306" s="1102">
        <v>1.023326997072902</v>
      </c>
      <c r="G306" s="1102">
        <v>0.99683536928289074</v>
      </c>
      <c r="H306" s="1102">
        <v>1.009670214119984</v>
      </c>
      <c r="I306" s="1102">
        <v>1.0128210737335388</v>
      </c>
      <c r="K306">
        <v>1.6087943341169919</v>
      </c>
      <c r="L306">
        <v>0</v>
      </c>
      <c r="M306">
        <v>1.6619589150692023E-3</v>
      </c>
      <c r="N306">
        <v>0.15099790415953462</v>
      </c>
      <c r="O306">
        <v>0.12555663345443463</v>
      </c>
      <c r="P306">
        <v>1.6076565474202244E-2</v>
      </c>
      <c r="Q306">
        <v>9.3572139104128283E-4</v>
      </c>
      <c r="R306">
        <v>1.6582174899826599E-3</v>
      </c>
      <c r="S306">
        <v>0.12748623290718675</v>
      </c>
      <c r="T306">
        <v>0.84478479928772521</v>
      </c>
      <c r="U306">
        <v>0</v>
      </c>
      <c r="V306">
        <v>0.21049024346497344</v>
      </c>
      <c r="W306">
        <v>9.9444247364192301E-2</v>
      </c>
      <c r="X306">
        <v>2.8512606662304096E-2</v>
      </c>
      <c r="Y306">
        <v>4.5131213764841374E-3</v>
      </c>
    </row>
    <row r="307" spans="1:25" x14ac:dyDescent="0.25">
      <c r="A307" s="1098"/>
      <c r="B307" s="1457">
        <v>57</v>
      </c>
      <c r="C307" s="1102">
        <v>0.98873551469725018</v>
      </c>
      <c r="D307" s="1102">
        <v>1.0216531680778824</v>
      </c>
      <c r="E307" s="1102">
        <v>0.9873057216847333</v>
      </c>
      <c r="F307" s="1102">
        <v>0.99056748021496044</v>
      </c>
      <c r="G307" s="1102">
        <v>1.0186662419433532</v>
      </c>
      <c r="H307" s="1102">
        <v>0.97821875196032892</v>
      </c>
      <c r="I307" s="1102">
        <v>0.97242628236424045</v>
      </c>
      <c r="K307">
        <v>1.5367598720060702</v>
      </c>
      <c r="L307">
        <v>0</v>
      </c>
      <c r="M307">
        <v>1.5633751647148037E-3</v>
      </c>
      <c r="N307">
        <v>0.13843216642401299</v>
      </c>
      <c r="O307">
        <v>0.12038518330033872</v>
      </c>
      <c r="P307">
        <v>1.5380493816946702E-2</v>
      </c>
      <c r="Q307">
        <v>8.8945536731857046E-4</v>
      </c>
      <c r="R307">
        <v>1.559723539262212E-3</v>
      </c>
      <c r="S307">
        <v>0.11424297258666422</v>
      </c>
      <c r="T307">
        <v>0.81829804861854372</v>
      </c>
      <c r="U307">
        <v>0</v>
      </c>
      <c r="V307">
        <v>0.20626281819248224</v>
      </c>
      <c r="W307">
        <v>9.1632723127681143E-2</v>
      </c>
      <c r="X307">
        <v>2.6994608886389441E-2</v>
      </c>
      <c r="Y307">
        <v>4.2450533111452063E-3</v>
      </c>
    </row>
    <row r="308" spans="1:25" x14ac:dyDescent="0.25">
      <c r="A308" s="1098"/>
      <c r="B308" s="1457">
        <v>58</v>
      </c>
      <c r="C308" s="1102">
        <v>1.0145580559862812</v>
      </c>
      <c r="D308" s="1102">
        <v>1.0144331500370818</v>
      </c>
      <c r="E308" s="1102">
        <v>0.97581704310276762</v>
      </c>
      <c r="F308" s="1102">
        <v>0.99814250503859037</v>
      </c>
      <c r="G308" s="1102">
        <v>0.97819012411585549</v>
      </c>
      <c r="H308" s="1102">
        <v>1.015991430714779</v>
      </c>
      <c r="I308" s="1102">
        <v>1.001924290097381</v>
      </c>
      <c r="K308">
        <v>1.5460363364391114</v>
      </c>
      <c r="L308">
        <v>0</v>
      </c>
      <c r="M308">
        <v>1.6309511135085724E-3</v>
      </c>
      <c r="N308">
        <v>0.13949587755018575</v>
      </c>
      <c r="O308">
        <v>0.11994793493939618</v>
      </c>
      <c r="P308">
        <v>1.5349613902771422E-2</v>
      </c>
      <c r="Q308">
        <v>8.5888515537818253E-4</v>
      </c>
      <c r="R308">
        <v>1.6272965022481839E-3</v>
      </c>
      <c r="S308">
        <v>0.11829730218679889</v>
      </c>
      <c r="T308">
        <v>0.82531953188857021</v>
      </c>
      <c r="U308">
        <v>0</v>
      </c>
      <c r="V308">
        <v>0.20285745782305487</v>
      </c>
      <c r="W308">
        <v>9.2978812767824548E-2</v>
      </c>
      <c r="X308">
        <v>2.650561019541936E-2</v>
      </c>
      <c r="Y308">
        <v>4.4289646409717614E-3</v>
      </c>
    </row>
    <row r="309" spans="1:25" x14ac:dyDescent="0.25">
      <c r="A309" s="1098"/>
      <c r="B309" s="1457">
        <v>59</v>
      </c>
      <c r="C309" s="1102">
        <v>1.0077947694584599</v>
      </c>
      <c r="D309" s="1102">
        <v>1.0155296023085123</v>
      </c>
      <c r="E309" s="1102">
        <v>1.0070515747101585</v>
      </c>
      <c r="F309" s="1102">
        <v>1.0309563543827263</v>
      </c>
      <c r="G309" s="1102">
        <v>1.0049260320350812</v>
      </c>
      <c r="H309" s="1102">
        <v>1.0052705474927324</v>
      </c>
      <c r="I309" s="1102">
        <v>1.0057098327713401</v>
      </c>
      <c r="K309">
        <v>1.5844406782267833</v>
      </c>
      <c r="L309">
        <v>0</v>
      </c>
      <c r="M309">
        <v>1.5247575385452308E-3</v>
      </c>
      <c r="N309">
        <v>0.14332471170987132</v>
      </c>
      <c r="O309">
        <v>0.12241837545588029</v>
      </c>
      <c r="P309">
        <v>1.6112125708324574E-2</v>
      </c>
      <c r="Q309">
        <v>8.9285539991896927E-4</v>
      </c>
      <c r="R309">
        <v>1.5213104040113455E-3</v>
      </c>
      <c r="S309">
        <v>0.11883327462227272</v>
      </c>
      <c r="T309">
        <v>0.85031718999764361</v>
      </c>
      <c r="U309">
        <v>0</v>
      </c>
      <c r="V309">
        <v>0.2063280680134352</v>
      </c>
      <c r="W309">
        <v>9.376190109100227E-2</v>
      </c>
      <c r="X309">
        <v>2.8315117943086821E-2</v>
      </c>
      <c r="Y309">
        <v>4.1405054198789806E-3</v>
      </c>
    </row>
    <row r="310" spans="1:25" x14ac:dyDescent="0.25">
      <c r="A310" s="1098"/>
      <c r="B310" s="1457">
        <v>60</v>
      </c>
      <c r="C310" s="1102">
        <v>0.98930797750482968</v>
      </c>
      <c r="D310" s="1102">
        <v>1.0012042074153436</v>
      </c>
      <c r="E310" s="1102">
        <v>0.97536348266161965</v>
      </c>
      <c r="F310" s="1102">
        <v>1.0208293205479724</v>
      </c>
      <c r="G310" s="1102">
        <v>0.96673512030038</v>
      </c>
      <c r="H310" s="1102">
        <v>0.97020698523907412</v>
      </c>
      <c r="I310" s="1102">
        <v>1.0128159128650955</v>
      </c>
      <c r="K310">
        <v>1.5707690823836211</v>
      </c>
      <c r="L310">
        <v>0</v>
      </c>
      <c r="M310">
        <v>1.6104588624143417E-3</v>
      </c>
      <c r="N310">
        <v>0.13754030091179875</v>
      </c>
      <c r="O310">
        <v>0.1234074214260097</v>
      </c>
      <c r="P310">
        <v>1.5659334786909302E-2</v>
      </c>
      <c r="Q310">
        <v>8.8502163033627628E-4</v>
      </c>
      <c r="R310">
        <v>1.6066877115247145E-3</v>
      </c>
      <c r="S310">
        <v>0.1198746011007147</v>
      </c>
      <c r="T310">
        <v>0.84410917776798267</v>
      </c>
      <c r="U310">
        <v>0</v>
      </c>
      <c r="V310">
        <v>0.20603054771330953</v>
      </c>
      <c r="W310">
        <v>9.1700552079125669E-2</v>
      </c>
      <c r="X310">
        <v>2.7193021812015574E-2</v>
      </c>
      <c r="Y310">
        <v>4.3728743063085147E-3</v>
      </c>
    </row>
    <row r="311" spans="1:25" x14ac:dyDescent="0.25">
      <c r="A311" s="1098"/>
      <c r="B311" s="1457">
        <v>61</v>
      </c>
      <c r="C311" s="1102">
        <v>1.0091333076051321</v>
      </c>
      <c r="D311" s="1102">
        <v>1.0087405878879736</v>
      </c>
      <c r="E311" s="1102">
        <v>1.0392719269006354</v>
      </c>
      <c r="F311" s="1102">
        <v>0.97659209205895992</v>
      </c>
      <c r="G311" s="1102">
        <v>0.98099304226640871</v>
      </c>
      <c r="H311" s="1102">
        <v>1.0320690992689781</v>
      </c>
      <c r="I311" s="1102">
        <v>0.96567207689807755</v>
      </c>
      <c r="K311">
        <v>1.5390470769302331</v>
      </c>
      <c r="L311">
        <v>0</v>
      </c>
      <c r="M311">
        <v>1.4616992741691992E-3</v>
      </c>
      <c r="N311">
        <v>0.15142779859068978</v>
      </c>
      <c r="O311">
        <v>0.11877668850307525</v>
      </c>
      <c r="P311">
        <v>1.5748842991379713E-2</v>
      </c>
      <c r="Q311">
        <v>9.2406168444260166E-4</v>
      </c>
      <c r="R311">
        <v>1.4584713861915013E-3</v>
      </c>
      <c r="S311">
        <v>0.11618963429705573</v>
      </c>
      <c r="T311">
        <v>0.80342471244847458</v>
      </c>
      <c r="U311">
        <v>0</v>
      </c>
      <c r="V311">
        <v>0.20259051834872008</v>
      </c>
      <c r="W311">
        <v>9.7217458401388845E-2</v>
      </c>
      <c r="X311">
        <v>2.8781111224733296E-2</v>
      </c>
      <c r="Y311">
        <v>3.969478328250022E-3</v>
      </c>
    </row>
    <row r="312" spans="1:25" x14ac:dyDescent="0.25">
      <c r="A312" s="1098"/>
      <c r="B312" s="1457">
        <v>62</v>
      </c>
      <c r="C312" s="1102">
        <v>0.99454270487305141</v>
      </c>
      <c r="D312" s="1102">
        <v>0.96282185462118475</v>
      </c>
      <c r="E312" s="1102">
        <v>1.0015606287344656</v>
      </c>
      <c r="F312" s="1102">
        <v>1.0218227021562964</v>
      </c>
      <c r="G312" s="1102">
        <v>1.0058672905517629</v>
      </c>
      <c r="H312" s="1102">
        <v>0.95927705569773614</v>
      </c>
      <c r="I312" s="1102">
        <v>1.0007912774388024</v>
      </c>
      <c r="K312">
        <v>1.5810513704715283</v>
      </c>
      <c r="L312">
        <v>0</v>
      </c>
      <c r="M312">
        <v>1.5346408665196437E-3</v>
      </c>
      <c r="N312">
        <v>0.14186818987913938</v>
      </c>
      <c r="O312">
        <v>0.1248822130583065</v>
      </c>
      <c r="P312">
        <v>1.5993661010804537E-2</v>
      </c>
      <c r="Q312">
        <v>9.1901300767816083E-4</v>
      </c>
      <c r="R312">
        <v>1.5310316293237775E-3</v>
      </c>
      <c r="S312">
        <v>0.11980978186835053</v>
      </c>
      <c r="T312">
        <v>0.84315350160441993</v>
      </c>
      <c r="U312">
        <v>0</v>
      </c>
      <c r="V312">
        <v>0.20864240441651846</v>
      </c>
      <c r="W312">
        <v>9.311140414611567E-2</v>
      </c>
      <c r="X312">
        <v>2.8507847326811414E-2</v>
      </c>
      <c r="Y312">
        <v>4.1669633905783571E-3</v>
      </c>
    </row>
    <row r="313" spans="1:25" x14ac:dyDescent="0.25">
      <c r="A313" s="1098"/>
      <c r="B313" s="1457">
        <v>63</v>
      </c>
      <c r="C313" s="1102">
        <v>1.0082112013804061</v>
      </c>
      <c r="D313" s="1102">
        <v>0.98714530704707493</v>
      </c>
      <c r="E313" s="1102">
        <v>0.99509971257870034</v>
      </c>
      <c r="F313" s="1102">
        <v>0.9903521417361395</v>
      </c>
      <c r="G313" s="1102">
        <v>1.036637908066731</v>
      </c>
      <c r="H313" s="1102">
        <v>1.0193453834686084</v>
      </c>
      <c r="I313" s="1102">
        <v>1.0135918478464394</v>
      </c>
      <c r="K313">
        <v>1.5572585645672015</v>
      </c>
      <c r="L313">
        <v>0</v>
      </c>
      <c r="M313">
        <v>1.605173191642403E-3</v>
      </c>
      <c r="N313">
        <v>0.1455381073218345</v>
      </c>
      <c r="O313">
        <v>0.12085978518293662</v>
      </c>
      <c r="P313">
        <v>1.557823659430457E-2</v>
      </c>
      <c r="Q313">
        <v>8.9155412572624454E-4</v>
      </c>
      <c r="R313">
        <v>1.6016006923453034E-3</v>
      </c>
      <c r="S313">
        <v>0.12262501039390415</v>
      </c>
      <c r="T313">
        <v>0.81760841806246609</v>
      </c>
      <c r="U313">
        <v>0</v>
      </c>
      <c r="V313">
        <v>0.2064587775998919</v>
      </c>
      <c r="W313">
        <v>9.5888046514308239E-2</v>
      </c>
      <c r="X313">
        <v>2.7455172154086931E-2</v>
      </c>
      <c r="Y313">
        <v>4.3590291170375779E-3</v>
      </c>
    </row>
    <row r="314" spans="1:25" x14ac:dyDescent="0.25">
      <c r="A314" s="1098"/>
      <c r="B314" s="1457">
        <v>64</v>
      </c>
      <c r="C314" s="1102">
        <v>0.97525059647475854</v>
      </c>
      <c r="D314" s="1102">
        <v>0.99437072268814197</v>
      </c>
      <c r="E314" s="1102">
        <v>1.0141275492423107</v>
      </c>
      <c r="F314" s="1102">
        <v>1.0326678790822894</v>
      </c>
      <c r="G314" s="1102">
        <v>0.98196399601741258</v>
      </c>
      <c r="H314" s="1102">
        <v>0.98745510214045906</v>
      </c>
      <c r="I314" s="1102">
        <v>1.0146689312537687</v>
      </c>
      <c r="K314">
        <v>1.6039151619791923</v>
      </c>
      <c r="L314">
        <v>0</v>
      </c>
      <c r="M314">
        <v>1.5400665486487387E-3</v>
      </c>
      <c r="N314">
        <v>0.14788376482707918</v>
      </c>
      <c r="O314">
        <v>0.12518200067573579</v>
      </c>
      <c r="P314">
        <v>1.6312906555688976E-2</v>
      </c>
      <c r="Q314">
        <v>9.3726623481859314E-4</v>
      </c>
      <c r="R314">
        <v>1.5365266816239728E-3</v>
      </c>
      <c r="S314">
        <v>0.12381602362325453</v>
      </c>
      <c r="T314">
        <v>0.8512489558287949</v>
      </c>
      <c r="U314">
        <v>0</v>
      </c>
      <c r="V314">
        <v>0.20884340672186696</v>
      </c>
      <c r="W314">
        <v>9.6341755646722274E-2</v>
      </c>
      <c r="X314">
        <v>2.9170702620758687E-2</v>
      </c>
      <c r="Y314">
        <v>4.181919111495987E-3</v>
      </c>
    </row>
    <row r="315" spans="1:25" x14ac:dyDescent="0.25">
      <c r="A315" s="1098"/>
      <c r="B315" s="1457">
        <v>65</v>
      </c>
      <c r="C315" s="1102">
        <v>1.001050286428528</v>
      </c>
      <c r="D315" s="1102">
        <v>0.99862130623466838</v>
      </c>
      <c r="E315" s="1102">
        <v>0.96134931689435743</v>
      </c>
      <c r="F315" s="1102">
        <v>0.97030546242395044</v>
      </c>
      <c r="G315" s="1102">
        <v>0.99814429513349623</v>
      </c>
      <c r="H315" s="1102">
        <v>1.0208808011999977</v>
      </c>
      <c r="I315" s="1102">
        <v>1.0021731714715898</v>
      </c>
      <c r="K315">
        <v>1.5295428038734167</v>
      </c>
      <c r="L315">
        <v>0</v>
      </c>
      <c r="M315">
        <v>1.7211222688223702E-3</v>
      </c>
      <c r="N315">
        <v>0.14089946160711991</v>
      </c>
      <c r="O315">
        <v>0.11938987839557909</v>
      </c>
      <c r="P315">
        <v>1.4939058632290971E-2</v>
      </c>
      <c r="Q315">
        <v>8.6270077474414123E-4</v>
      </c>
      <c r="R315">
        <v>1.7172820163359377E-3</v>
      </c>
      <c r="S315">
        <v>0.1211573214508196</v>
      </c>
      <c r="T315">
        <v>0.80324326092491072</v>
      </c>
      <c r="U315">
        <v>0</v>
      </c>
      <c r="V315">
        <v>0.20386923786805453</v>
      </c>
      <c r="W315">
        <v>9.4745913219445838E-2</v>
      </c>
      <c r="X315">
        <v>2.5765935706335074E-2</v>
      </c>
      <c r="Y315">
        <v>4.6738755466018793E-3</v>
      </c>
    </row>
    <row r="316" spans="1:25" x14ac:dyDescent="0.25">
      <c r="A316" s="1098"/>
      <c r="B316" s="1457">
        <v>66</v>
      </c>
      <c r="C316" s="1102">
        <v>1.0083468942591016</v>
      </c>
      <c r="D316" s="1102">
        <v>1.0310810814654572</v>
      </c>
      <c r="E316" s="1102">
        <v>0.98926841095912732</v>
      </c>
      <c r="F316" s="1102">
        <v>0.98547464062859214</v>
      </c>
      <c r="G316" s="1102">
        <v>1.0062339832921892</v>
      </c>
      <c r="H316" s="1102">
        <v>0.96478161094752235</v>
      </c>
      <c r="I316" s="1102">
        <v>0.97854255176873917</v>
      </c>
      <c r="K316">
        <v>1.5160622806755282</v>
      </c>
      <c r="L316">
        <v>0</v>
      </c>
      <c r="M316">
        <v>1.4995161176661951E-3</v>
      </c>
      <c r="N316">
        <v>0.13356348132277063</v>
      </c>
      <c r="O316">
        <v>0.11863576884844038</v>
      </c>
      <c r="P316">
        <v>1.5266066090934682E-2</v>
      </c>
      <c r="Q316">
        <v>8.7073879435250285E-4</v>
      </c>
      <c r="R316">
        <v>1.4959631128850404E-3</v>
      </c>
      <c r="S316">
        <v>0.11117387238707564</v>
      </c>
      <c r="T316">
        <v>0.8139624894266948</v>
      </c>
      <c r="U316">
        <v>0</v>
      </c>
      <c r="V316">
        <v>0.20352579762428769</v>
      </c>
      <c r="W316">
        <v>8.8305953604728649E-2</v>
      </c>
      <c r="X316">
        <v>2.6690147131859635E-2</v>
      </c>
      <c r="Y316">
        <v>4.0715184491654536E-3</v>
      </c>
    </row>
    <row r="317" spans="1:25" x14ac:dyDescent="0.25">
      <c r="A317" s="1098"/>
      <c r="B317" s="1457">
        <v>67</v>
      </c>
      <c r="C317" s="1102">
        <v>0.96123633095528227</v>
      </c>
      <c r="D317" s="1102">
        <v>1.0196505047445867</v>
      </c>
      <c r="E317" s="1102">
        <v>1.0160372639098141</v>
      </c>
      <c r="F317" s="1102">
        <v>1.0310353259662253</v>
      </c>
      <c r="G317" s="1102">
        <v>1.028525037359552</v>
      </c>
      <c r="H317" s="1102">
        <v>1.0333653619341634</v>
      </c>
      <c r="I317" s="1102">
        <v>1.0254339318996744</v>
      </c>
      <c r="K317">
        <v>1.6213085360132786</v>
      </c>
      <c r="L317">
        <v>0</v>
      </c>
      <c r="M317">
        <v>1.6038117600333495E-3</v>
      </c>
      <c r="N317">
        <v>0.1549090121611984</v>
      </c>
      <c r="O317">
        <v>0.12468869646401654</v>
      </c>
      <c r="P317">
        <v>1.6419069053519215E-2</v>
      </c>
      <c r="Q317">
        <v>9.4328048849982458E-4</v>
      </c>
      <c r="R317">
        <v>1.6002702586297415E-3</v>
      </c>
      <c r="S317">
        <v>0.12881164014509111</v>
      </c>
      <c r="T317">
        <v>0.84977418821374617</v>
      </c>
      <c r="U317">
        <v>0</v>
      </c>
      <c r="V317">
        <v>0.21134617091346244</v>
      </c>
      <c r="W317">
        <v>0.1008053614394239</v>
      </c>
      <c r="X317">
        <v>2.9259250520683167E-2</v>
      </c>
      <c r="Y317">
        <v>4.3554081150411744E-3</v>
      </c>
    </row>
    <row r="318" spans="1:25" x14ac:dyDescent="0.25">
      <c r="A318" s="1098"/>
      <c r="B318" s="1457">
        <v>68</v>
      </c>
      <c r="C318" s="1102">
        <v>0.9674622930844482</v>
      </c>
      <c r="D318" s="1102">
        <v>1.02618092387633</v>
      </c>
      <c r="E318" s="1102">
        <v>1.0082175205940258</v>
      </c>
      <c r="F318" s="1102">
        <v>1.0412654099978551</v>
      </c>
      <c r="G318" s="1102">
        <v>1.0128246945631447</v>
      </c>
      <c r="H318" s="1102">
        <v>0.99565737112214303</v>
      </c>
      <c r="I318" s="1102">
        <v>0.99044165251216842</v>
      </c>
      <c r="K318">
        <v>1.6073251338247445</v>
      </c>
      <c r="L318">
        <v>0</v>
      </c>
      <c r="M318">
        <v>1.5567287186030062E-3</v>
      </c>
      <c r="N318">
        <v>0.14684150585301448</v>
      </c>
      <c r="O318">
        <v>0.12479413749246943</v>
      </c>
      <c r="P318">
        <v>1.6316321181093489E-2</v>
      </c>
      <c r="Q318">
        <v>9.2731975950790233E-4</v>
      </c>
      <c r="R318">
        <v>1.5531614800436335E-3</v>
      </c>
      <c r="S318">
        <v>0.12021130903018684</v>
      </c>
      <c r="T318">
        <v>0.85874009737351009</v>
      </c>
      <c r="U318">
        <v>0</v>
      </c>
      <c r="V318">
        <v>0.21039378429716202</v>
      </c>
      <c r="W318">
        <v>9.5996413818701692E-2</v>
      </c>
      <c r="X318">
        <v>2.8880618708525332E-2</v>
      </c>
      <c r="Y318">
        <v>4.2271935491344772E-3</v>
      </c>
    </row>
    <row r="319" spans="1:25" x14ac:dyDescent="0.25">
      <c r="A319" s="1098"/>
      <c r="B319" s="1457">
        <v>69</v>
      </c>
      <c r="C319" s="1102">
        <v>1.0103844225804268</v>
      </c>
      <c r="D319" s="1102">
        <v>1.0086331000021187</v>
      </c>
      <c r="E319" s="1102">
        <v>0.98036484637265298</v>
      </c>
      <c r="F319" s="1102">
        <v>1.0304063458985799</v>
      </c>
      <c r="G319" s="1102">
        <v>1.017981847772325</v>
      </c>
      <c r="H319" s="1102">
        <v>1.00514060188335</v>
      </c>
      <c r="I319" s="1102">
        <v>0.96349904232251171</v>
      </c>
      <c r="K319">
        <v>1.5763094790012528</v>
      </c>
      <c r="L319">
        <v>0</v>
      </c>
      <c r="M319">
        <v>1.6135988560187556E-3</v>
      </c>
      <c r="N319">
        <v>0.13992175208575089</v>
      </c>
      <c r="O319">
        <v>0.12262914380403407</v>
      </c>
      <c r="P319">
        <v>1.5752207102946225E-2</v>
      </c>
      <c r="Q319">
        <v>8.6854702830931377E-4</v>
      </c>
      <c r="R319">
        <v>1.6099551382538022E-3</v>
      </c>
      <c r="S319">
        <v>0.11397013134239145</v>
      </c>
      <c r="T319">
        <v>0.85168440264270928</v>
      </c>
      <c r="U319">
        <v>0</v>
      </c>
      <c r="V319">
        <v>0.206831456253324</v>
      </c>
      <c r="W319">
        <v>9.300653132605001E-2</v>
      </c>
      <c r="X319">
        <v>2.7267183968745164E-2</v>
      </c>
      <c r="Y319">
        <v>4.3817671647581585E-3</v>
      </c>
    </row>
    <row r="320" spans="1:25" x14ac:dyDescent="0.25">
      <c r="A320" s="1098"/>
      <c r="B320" s="1457">
        <v>70</v>
      </c>
      <c r="C320" s="1102">
        <v>1.0443307702241063</v>
      </c>
      <c r="D320" s="1102">
        <v>0.99525707015846632</v>
      </c>
      <c r="E320" s="1102">
        <v>1.0224781321514576</v>
      </c>
      <c r="F320" s="1102">
        <v>1.0330073359177068</v>
      </c>
      <c r="G320" s="1102">
        <v>0.99123147433606973</v>
      </c>
      <c r="H320" s="1102">
        <v>0.99120198337248544</v>
      </c>
      <c r="I320" s="1102">
        <v>0.96898085682705892</v>
      </c>
      <c r="K320">
        <v>1.5679336148265124</v>
      </c>
      <c r="L320">
        <v>0</v>
      </c>
      <c r="M320">
        <v>1.4250200942740609E-3</v>
      </c>
      <c r="N320">
        <v>0.14033065684644988</v>
      </c>
      <c r="O320">
        <v>0.12157450359613302</v>
      </c>
      <c r="P320">
        <v>1.6157359019937624E-2</v>
      </c>
      <c r="Q320">
        <v>8.8249050753336276E-4</v>
      </c>
      <c r="R320">
        <v>1.4217724645958737E-3</v>
      </c>
      <c r="S320">
        <v>0.11101064921495638</v>
      </c>
      <c r="T320">
        <v>0.85096442672710093</v>
      </c>
      <c r="U320">
        <v>0</v>
      </c>
      <c r="V320">
        <v>0.20348897669251095</v>
      </c>
      <c r="W320">
        <v>9.0974990072174647E-2</v>
      </c>
      <c r="X320">
        <v>2.8683213817931173E-2</v>
      </c>
      <c r="Y320">
        <v>3.8695959614629756E-3</v>
      </c>
    </row>
    <row r="321" spans="1:25" x14ac:dyDescent="0.25">
      <c r="A321" s="1098"/>
      <c r="B321" s="1457">
        <v>71</v>
      </c>
      <c r="C321" s="1102">
        <v>1.0109903197071537</v>
      </c>
      <c r="D321" s="1102">
        <v>0.97102183023467958</v>
      </c>
      <c r="E321" s="1102">
        <v>0.97744442207044679</v>
      </c>
      <c r="F321" s="1102">
        <v>1.013736333833773</v>
      </c>
      <c r="G321" s="1102">
        <v>1.0014803534354677</v>
      </c>
      <c r="H321" s="1102">
        <v>1.0042467283217806</v>
      </c>
      <c r="I321" s="1102">
        <v>0.99048176790328268</v>
      </c>
      <c r="K321">
        <v>1.5722614100367633</v>
      </c>
      <c r="L321">
        <v>0</v>
      </c>
      <c r="M321">
        <v>1.6544173865585988E-3</v>
      </c>
      <c r="N321">
        <v>0.14220051690993543</v>
      </c>
      <c r="O321">
        <v>0.12314488773811506</v>
      </c>
      <c r="P321">
        <v>1.560419037952245E-2</v>
      </c>
      <c r="Q321">
        <v>8.7862743984673433E-4</v>
      </c>
      <c r="R321">
        <v>1.6506976838872409E-3</v>
      </c>
      <c r="S321">
        <v>0.11961389497836612</v>
      </c>
      <c r="T321">
        <v>0.83810322398125414</v>
      </c>
      <c r="U321">
        <v>0</v>
      </c>
      <c r="V321">
        <v>0.20632650530862176</v>
      </c>
      <c r="W321">
        <v>9.4688207967594806E-2</v>
      </c>
      <c r="X321">
        <v>2.7212420092982706E-2</v>
      </c>
      <c r="Y321">
        <v>4.4926549431958205E-3</v>
      </c>
    </row>
    <row r="322" spans="1:25" x14ac:dyDescent="0.25">
      <c r="A322" s="1098"/>
      <c r="B322" s="1457">
        <v>72</v>
      </c>
      <c r="C322" s="1102">
        <v>0.98325747995297219</v>
      </c>
      <c r="D322" s="1102">
        <v>1.0102508736893292</v>
      </c>
      <c r="E322" s="1102">
        <v>1.0127706418741538</v>
      </c>
      <c r="F322" s="1102">
        <v>1.0073757311168774</v>
      </c>
      <c r="G322" s="1102">
        <v>1.0096060404510077</v>
      </c>
      <c r="H322" s="1102">
        <v>1.0007159563499501</v>
      </c>
      <c r="I322" s="1102">
        <v>1.0240114366972553</v>
      </c>
      <c r="K322">
        <v>1.5764293883859142</v>
      </c>
      <c r="L322">
        <v>0</v>
      </c>
      <c r="M322">
        <v>1.5365533821160031E-3</v>
      </c>
      <c r="N322">
        <v>0.1469465508454397</v>
      </c>
      <c r="O322">
        <v>0.12227408676082878</v>
      </c>
      <c r="P322">
        <v>1.5992687217402574E-2</v>
      </c>
      <c r="Q322">
        <v>9.2247146943982101E-4</v>
      </c>
      <c r="R322">
        <v>1.5330546679431973E-3</v>
      </c>
      <c r="S322">
        <v>0.12375225841886002</v>
      </c>
      <c r="T322">
        <v>0.83048977000754354</v>
      </c>
      <c r="U322">
        <v>0</v>
      </c>
      <c r="V322">
        <v>0.20758391878099211</v>
      </c>
      <c r="W322">
        <v>9.5807610013572145E-2</v>
      </c>
      <c r="X322">
        <v>2.8491064151200576E-2</v>
      </c>
      <c r="Y322">
        <v>4.1724694348059159E-3</v>
      </c>
    </row>
    <row r="323" spans="1:25" x14ac:dyDescent="0.25">
      <c r="A323" s="1098"/>
      <c r="B323" s="1457">
        <v>73</v>
      </c>
      <c r="C323" s="1102">
        <v>1.0167675910421174</v>
      </c>
      <c r="D323" s="1102">
        <v>0.96490348083983724</v>
      </c>
      <c r="E323" s="1102">
        <v>1.0213537267367747</v>
      </c>
      <c r="F323" s="1102">
        <v>1.0134044056787148</v>
      </c>
      <c r="G323" s="1102">
        <v>0.96740588870890909</v>
      </c>
      <c r="H323" s="1102">
        <v>1.0207061054662119</v>
      </c>
      <c r="I323" s="1102">
        <v>1.0062814657710351</v>
      </c>
      <c r="K323">
        <v>1.5833236485848488</v>
      </c>
      <c r="L323">
        <v>0</v>
      </c>
      <c r="M323">
        <v>1.5325356574905167E-3</v>
      </c>
      <c r="N323">
        <v>0.15041797232165649</v>
      </c>
      <c r="O323">
        <v>0.12298087503877242</v>
      </c>
      <c r="P323">
        <v>1.6098838326207933E-2</v>
      </c>
      <c r="Q323">
        <v>9.1665633720185255E-4</v>
      </c>
      <c r="R323">
        <v>1.5291504930581589E-3</v>
      </c>
      <c r="S323">
        <v>0.12272814020473514</v>
      </c>
      <c r="T323">
        <v>0.83489046009773693</v>
      </c>
      <c r="U323">
        <v>0</v>
      </c>
      <c r="V323">
        <v>0.20456488149899457</v>
      </c>
      <c r="W323">
        <v>9.7578571000096745E-2</v>
      </c>
      <c r="X323">
        <v>2.8988795366099281E-2</v>
      </c>
      <c r="Y323">
        <v>4.161843557779747E-3</v>
      </c>
    </row>
    <row r="324" spans="1:25" x14ac:dyDescent="0.25">
      <c r="A324" s="1098"/>
      <c r="B324" s="1457">
        <v>74</v>
      </c>
      <c r="C324" s="1102">
        <v>1.0092236946224225</v>
      </c>
      <c r="D324" s="1102">
        <v>0.96491406744299468</v>
      </c>
      <c r="E324" s="1102">
        <v>1.0396406454373821</v>
      </c>
      <c r="F324" s="1102">
        <v>0.96022149768997045</v>
      </c>
      <c r="G324" s="1102">
        <v>1.0196415349986707</v>
      </c>
      <c r="H324" s="1102">
        <v>0.99166870504606097</v>
      </c>
      <c r="I324" s="1102">
        <v>1.0014476213631205</v>
      </c>
      <c r="K324">
        <v>1.5286346126351873</v>
      </c>
      <c r="L324">
        <v>0</v>
      </c>
      <c r="M324">
        <v>1.436992607588169E-3</v>
      </c>
      <c r="N324">
        <v>0.14902231601969348</v>
      </c>
      <c r="O324">
        <v>0.11952257250733045</v>
      </c>
      <c r="P324">
        <v>1.5653112186246342E-2</v>
      </c>
      <c r="Q324">
        <v>9.4089465088857986E-4</v>
      </c>
      <c r="R324">
        <v>1.433709676602743E-3</v>
      </c>
      <c r="S324">
        <v>0.12036384941319238</v>
      </c>
      <c r="T324">
        <v>0.78993399862839142</v>
      </c>
      <c r="U324">
        <v>0</v>
      </c>
      <c r="V324">
        <v>0.20478054943177842</v>
      </c>
      <c r="W324">
        <v>9.5652801960444955E-2</v>
      </c>
      <c r="X324">
        <v>2.8865715650759936E-2</v>
      </c>
      <c r="Y324">
        <v>3.9020851174447948E-3</v>
      </c>
    </row>
    <row r="325" spans="1:25" x14ac:dyDescent="0.25">
      <c r="A325" s="1098"/>
      <c r="B325" s="1457">
        <v>75</v>
      </c>
      <c r="C325" s="1102">
        <v>1.0133372283931665</v>
      </c>
      <c r="D325" s="1102">
        <v>0.99092897834552085</v>
      </c>
      <c r="E325" s="1102">
        <v>0.96721870984922431</v>
      </c>
      <c r="F325" s="1102">
        <v>1.0178831991098374</v>
      </c>
      <c r="G325" s="1102">
        <v>0.99806680968560402</v>
      </c>
      <c r="H325" s="1102">
        <v>1.0080344602145703</v>
      </c>
      <c r="I325" s="1102">
        <v>0.98722490709506994</v>
      </c>
      <c r="K325">
        <v>1.5685388578149413</v>
      </c>
      <c r="L325">
        <v>0</v>
      </c>
      <c r="M325">
        <v>1.6735738251088508E-3</v>
      </c>
      <c r="N325">
        <v>0.13946246118605901</v>
      </c>
      <c r="O325">
        <v>0.12243738828122913</v>
      </c>
      <c r="P325">
        <v>1.5503250330026351E-2</v>
      </c>
      <c r="Q325">
        <v>8.6019969710425547E-4</v>
      </c>
      <c r="R325">
        <v>1.669814174582082E-3</v>
      </c>
      <c r="S325">
        <v>0.1178224026790563</v>
      </c>
      <c r="T325">
        <v>0.84222803499090171</v>
      </c>
      <c r="U325">
        <v>0</v>
      </c>
      <c r="V325">
        <v>0.20555637294778195</v>
      </c>
      <c r="W325">
        <v>9.3443689934055635E-2</v>
      </c>
      <c r="X325">
        <v>2.6684133690134591E-2</v>
      </c>
      <c r="Y325">
        <v>4.544683729117714E-3</v>
      </c>
    </row>
    <row r="326" spans="1:25" x14ac:dyDescent="0.25">
      <c r="A326" s="1098"/>
      <c r="B326" s="1457">
        <v>76</v>
      </c>
      <c r="C326" s="1102">
        <v>1.0350041858314618</v>
      </c>
      <c r="D326" s="1102">
        <v>1.0104883259805928</v>
      </c>
      <c r="E326" s="1102">
        <v>0.95821779663618301</v>
      </c>
      <c r="F326" s="1102">
        <v>1.0394199470054357</v>
      </c>
      <c r="G326" s="1102">
        <v>1.0028838542498444</v>
      </c>
      <c r="H326" s="1102">
        <v>1.0400663644438499</v>
      </c>
      <c r="I326" s="1102">
        <v>0.98594243675178583</v>
      </c>
      <c r="K326">
        <v>1.5829218816053801</v>
      </c>
      <c r="L326">
        <v>0</v>
      </c>
      <c r="M326">
        <v>1.7082909050909569E-3</v>
      </c>
      <c r="N326">
        <v>0.13853565842539323</v>
      </c>
      <c r="O326">
        <v>0.12198352656816627</v>
      </c>
      <c r="P326">
        <v>1.5608033538558575E-2</v>
      </c>
      <c r="Q326">
        <v>8.2771537973052754E-4</v>
      </c>
      <c r="R326">
        <v>1.7045702074815646E-3</v>
      </c>
      <c r="S326">
        <v>0.11649126387808427</v>
      </c>
      <c r="T326">
        <v>0.86067706306083336</v>
      </c>
      <c r="U326">
        <v>0</v>
      </c>
      <c r="V326">
        <v>0.20451174983700068</v>
      </c>
      <c r="W326">
        <v>9.333557740182935E-2</v>
      </c>
      <c r="X326">
        <v>2.6315736020046186E-2</v>
      </c>
      <c r="Y326">
        <v>4.639278193346941E-3</v>
      </c>
    </row>
    <row r="327" spans="1:25" x14ac:dyDescent="0.25">
      <c r="A327" s="1098"/>
      <c r="B327" s="1457">
        <v>77</v>
      </c>
      <c r="C327" s="1102">
        <v>0.99159212922125939</v>
      </c>
      <c r="D327" s="1102">
        <v>1.0141458406143773</v>
      </c>
      <c r="E327" s="1102">
        <v>0.97799280660421806</v>
      </c>
      <c r="F327" s="1102">
        <v>1.0136301920934214</v>
      </c>
      <c r="G327" s="1102">
        <v>1.0354870019810301</v>
      </c>
      <c r="H327" s="1102">
        <v>1.0156016857995334</v>
      </c>
      <c r="I327" s="1102">
        <v>0.96117292511946872</v>
      </c>
      <c r="K327">
        <v>1.5705263520890205</v>
      </c>
      <c r="L327">
        <v>0</v>
      </c>
      <c r="M327">
        <v>1.6600571241207258E-3</v>
      </c>
      <c r="N327">
        <v>0.14292306536009652</v>
      </c>
      <c r="O327">
        <v>0.12220221950220125</v>
      </c>
      <c r="P327">
        <v>1.55862905280838E-2</v>
      </c>
      <c r="Q327">
        <v>8.80886600976151E-4</v>
      </c>
      <c r="R327">
        <v>1.6563342247280983E-3</v>
      </c>
      <c r="S327">
        <v>0.11607035612553138</v>
      </c>
      <c r="T327">
        <v>0.83797837744908565</v>
      </c>
      <c r="U327">
        <v>0</v>
      </c>
      <c r="V327">
        <v>0.20817595296452865</v>
      </c>
      <c r="W327">
        <v>9.5137772157247877E-2</v>
      </c>
      <c r="X327">
        <v>2.7067158551382652E-2</v>
      </c>
      <c r="Y327">
        <v>4.5079957492794457E-3</v>
      </c>
    </row>
    <row r="328" spans="1:25" x14ac:dyDescent="0.25">
      <c r="A328" s="1098"/>
      <c r="B328" s="1457">
        <v>78</v>
      </c>
      <c r="C328" s="1102">
        <v>1.0083105906064207</v>
      </c>
      <c r="D328" s="1102">
        <v>1.0384295879207754</v>
      </c>
      <c r="E328" s="1102">
        <v>1.0084993752222056</v>
      </c>
      <c r="F328" s="1102">
        <v>1.0195727889300357</v>
      </c>
      <c r="G328" s="1102">
        <v>1.0473672343742728</v>
      </c>
      <c r="H328" s="1102">
        <v>1.030072077633523</v>
      </c>
      <c r="I328" s="1102">
        <v>0.98098793365692094</v>
      </c>
      <c r="K328">
        <v>1.5734094681191895</v>
      </c>
      <c r="L328">
        <v>0</v>
      </c>
      <c r="M328">
        <v>1.5360539233965397E-3</v>
      </c>
      <c r="N328">
        <v>0.14502558687325678</v>
      </c>
      <c r="O328">
        <v>0.12062467941443977</v>
      </c>
      <c r="P328">
        <v>1.597089809367247E-2</v>
      </c>
      <c r="Q328">
        <v>8.8579726623068996E-4</v>
      </c>
      <c r="R328">
        <v>1.5326493995026103E-3</v>
      </c>
      <c r="S328">
        <v>0.11613750971775955</v>
      </c>
      <c r="T328">
        <v>0.84083112245085756</v>
      </c>
      <c r="U328">
        <v>0</v>
      </c>
      <c r="V328">
        <v>0.20695586345202502</v>
      </c>
      <c r="W328">
        <v>9.4793495216621199E-2</v>
      </c>
      <c r="X328">
        <v>2.8016553730511172E-2</v>
      </c>
      <c r="Y328">
        <v>4.1713664277073454E-3</v>
      </c>
    </row>
    <row r="329" spans="1:25" x14ac:dyDescent="0.25">
      <c r="A329" s="1098"/>
      <c r="B329" s="1457">
        <v>79</v>
      </c>
      <c r="C329" s="1102">
        <v>0.97420258842569862</v>
      </c>
      <c r="D329" s="1102">
        <v>0.99969290351789586</v>
      </c>
      <c r="E329" s="1102">
        <v>0.98776926860491443</v>
      </c>
      <c r="F329" s="1102">
        <v>0.99723015705978224</v>
      </c>
      <c r="G329" s="1102">
        <v>1.0009773976303376</v>
      </c>
      <c r="H329" s="1102">
        <v>0.98735784130147031</v>
      </c>
      <c r="I329" s="1102">
        <v>1.0162631511551641</v>
      </c>
      <c r="K329">
        <v>1.5644760587915618</v>
      </c>
      <c r="L329">
        <v>0</v>
      </c>
      <c r="M329">
        <v>1.6187991822979443E-3</v>
      </c>
      <c r="N329">
        <v>0.14354497255215626</v>
      </c>
      <c r="O329">
        <v>0.12257216387995623</v>
      </c>
      <c r="P329">
        <v>1.5604328101596733E-2</v>
      </c>
      <c r="Q329">
        <v>9.1104511507844252E-4</v>
      </c>
      <c r="R329">
        <v>1.6150643160426003E-3</v>
      </c>
      <c r="S329">
        <v>0.12346175439289067</v>
      </c>
      <c r="T329">
        <v>0.8237713185603609</v>
      </c>
      <c r="U329">
        <v>0</v>
      </c>
      <c r="V329">
        <v>0.20773176692512343</v>
      </c>
      <c r="W329">
        <v>9.4990621340384426E-2</v>
      </c>
      <c r="X329">
        <v>2.7496150127809784E-2</v>
      </c>
      <c r="Y329">
        <v>4.39567266245926E-3</v>
      </c>
    </row>
    <row r="330" spans="1:25" x14ac:dyDescent="0.25">
      <c r="A330" s="1098"/>
      <c r="B330" s="1457">
        <v>80</v>
      </c>
      <c r="C330" s="1102">
        <v>0.97044657608273821</v>
      </c>
      <c r="D330" s="1102">
        <v>0.97739954385590999</v>
      </c>
      <c r="E330" s="1102">
        <v>0.99378240304169296</v>
      </c>
      <c r="F330" s="1102">
        <v>0.98393882911985586</v>
      </c>
      <c r="G330" s="1102">
        <v>1.0269722109775177</v>
      </c>
      <c r="H330" s="1102">
        <v>1.0051795120230502</v>
      </c>
      <c r="I330" s="1102">
        <v>0.98026976749697026</v>
      </c>
      <c r="K330">
        <v>1.5632909788032554</v>
      </c>
      <c r="L330">
        <v>0</v>
      </c>
      <c r="M330">
        <v>1.6525656922760036E-3</v>
      </c>
      <c r="N330">
        <v>0.14923442172344306</v>
      </c>
      <c r="O330">
        <v>0.12280747794731331</v>
      </c>
      <c r="P330">
        <v>1.5528342139452329E-2</v>
      </c>
      <c r="Q330">
        <v>9.2865898407402622E-4</v>
      </c>
      <c r="R330">
        <v>1.6488292239664212E-3</v>
      </c>
      <c r="S330">
        <v>0.12250911126810328</v>
      </c>
      <c r="T330">
        <v>0.81239955448915635</v>
      </c>
      <c r="U330">
        <v>0</v>
      </c>
      <c r="V330">
        <v>0.20923709795492687</v>
      </c>
      <c r="W330">
        <v>9.8400720137806028E-2</v>
      </c>
      <c r="X330">
        <v>2.7761761016058289E-2</v>
      </c>
      <c r="Y330">
        <v>4.4875696112289965E-3</v>
      </c>
    </row>
    <row r="331" spans="1:25" x14ac:dyDescent="0.25">
      <c r="A331" s="1098"/>
      <c r="B331" s="1457">
        <v>81</v>
      </c>
      <c r="C331" s="1102">
        <v>0.99410939659643482</v>
      </c>
      <c r="D331" s="1102">
        <v>0.98168747252353761</v>
      </c>
      <c r="E331" s="1102">
        <v>1.0008221225447855</v>
      </c>
      <c r="F331" s="1102">
        <v>0.99201351433001106</v>
      </c>
      <c r="G331" s="1102">
        <v>0.9888769851574476</v>
      </c>
      <c r="H331" s="1102">
        <v>1.0016728247323061</v>
      </c>
      <c r="I331" s="1102">
        <v>0.99820149893179588</v>
      </c>
      <c r="K331">
        <v>1.5585037834562392</v>
      </c>
      <c r="L331">
        <v>0</v>
      </c>
      <c r="M331">
        <v>1.5843366661201508E-3</v>
      </c>
      <c r="N331">
        <v>0.1461486054084471</v>
      </c>
      <c r="O331">
        <v>0.12192210146045286</v>
      </c>
      <c r="P331">
        <v>1.5632269954610225E-2</v>
      </c>
      <c r="Q331">
        <v>9.1160703780575911E-4</v>
      </c>
      <c r="R331">
        <v>1.5807482799731481E-3</v>
      </c>
      <c r="S331">
        <v>0.12139644481620293</v>
      </c>
      <c r="T331">
        <v>0.81860488666937592</v>
      </c>
      <c r="U331">
        <v>0</v>
      </c>
      <c r="V331">
        <v>0.20575489081953038</v>
      </c>
      <c r="W331">
        <v>9.5962812671468847E-2</v>
      </c>
      <c r="X331">
        <v>2.7871477279933669E-2</v>
      </c>
      <c r="Y331">
        <v>4.3022757245564621E-3</v>
      </c>
    </row>
    <row r="332" spans="1:25" x14ac:dyDescent="0.25">
      <c r="A332" s="1098"/>
      <c r="B332" s="1457">
        <v>82</v>
      </c>
      <c r="C332" s="1102">
        <v>0.97280877678843691</v>
      </c>
      <c r="D332" s="1102">
        <v>0.98357013478023059</v>
      </c>
      <c r="E332" s="1102">
        <v>0.98115873748357607</v>
      </c>
      <c r="F332" s="1102">
        <v>0.99759062541231669</v>
      </c>
      <c r="G332" s="1102">
        <v>1.0381349901007937</v>
      </c>
      <c r="H332" s="1102">
        <v>0.99846505218301473</v>
      </c>
      <c r="I332" s="1102">
        <v>0.98668232779218856</v>
      </c>
      <c r="K332">
        <v>1.5710834995844143</v>
      </c>
      <c r="L332">
        <v>0</v>
      </c>
      <c r="M332">
        <v>1.6771107367440001E-3</v>
      </c>
      <c r="N332">
        <v>0.14577629868237929</v>
      </c>
      <c r="O332">
        <v>0.12341724290673853</v>
      </c>
      <c r="P332">
        <v>1.5548823919949746E-2</v>
      </c>
      <c r="Q332">
        <v>9.1197895835759958E-4</v>
      </c>
      <c r="R332">
        <v>1.6732942652581545E-3</v>
      </c>
      <c r="S332">
        <v>0.1220877371703583</v>
      </c>
      <c r="T332">
        <v>0.8245077305403089</v>
      </c>
      <c r="U332">
        <v>0</v>
      </c>
      <c r="V332">
        <v>0.21003582386481784</v>
      </c>
      <c r="W332">
        <v>9.6851660282917876E-2</v>
      </c>
      <c r="X332">
        <v>2.7395864341344299E-2</v>
      </c>
      <c r="Y332">
        <v>4.5541553887263999E-3</v>
      </c>
    </row>
    <row r="333" spans="1:25" x14ac:dyDescent="0.25">
      <c r="A333" s="1098"/>
      <c r="B333" s="1457">
        <v>83</v>
      </c>
      <c r="C333" s="1102">
        <v>1.0126645477047602</v>
      </c>
      <c r="D333" s="1102">
        <v>0.99184124333011003</v>
      </c>
      <c r="E333" s="1102">
        <v>0.98442521380570147</v>
      </c>
      <c r="F333" s="1102">
        <v>1.0146922131198808</v>
      </c>
      <c r="G333" s="1102">
        <v>0.99425415819260665</v>
      </c>
      <c r="H333" s="1102">
        <v>0.97705190911892803</v>
      </c>
      <c r="I333" s="1102">
        <v>1.0080663397009921</v>
      </c>
      <c r="K333">
        <v>1.5602979482689616</v>
      </c>
      <c r="L333">
        <v>0</v>
      </c>
      <c r="M333">
        <v>1.5652467908136654E-3</v>
      </c>
      <c r="N333">
        <v>0.13739805740223035</v>
      </c>
      <c r="O333">
        <v>0.12215904887145732</v>
      </c>
      <c r="P333">
        <v>1.565381509869385E-2</v>
      </c>
      <c r="Q333">
        <v>8.7614575884693196E-4</v>
      </c>
      <c r="R333">
        <v>1.5616173938434489E-3</v>
      </c>
      <c r="S333">
        <v>0.1178731641840029</v>
      </c>
      <c r="T333">
        <v>0.83842153453982393</v>
      </c>
      <c r="U333">
        <v>0</v>
      </c>
      <c r="V333">
        <v>0.20527764497349485</v>
      </c>
      <c r="W333">
        <v>9.1105803920225437E-2</v>
      </c>
      <c r="X333">
        <v>2.7286155158150884E-2</v>
      </c>
      <c r="Y333">
        <v>4.2502077590063393E-3</v>
      </c>
    </row>
    <row r="334" spans="1:25" x14ac:dyDescent="0.25">
      <c r="A334" s="1098"/>
      <c r="B334" s="1457">
        <v>84</v>
      </c>
      <c r="C334" s="1102">
        <v>0.99734051729913009</v>
      </c>
      <c r="D334" s="1102">
        <v>1.0174992066343851</v>
      </c>
      <c r="E334" s="1102">
        <v>0.99818253112615807</v>
      </c>
      <c r="F334" s="1102">
        <v>1.0050275547298002</v>
      </c>
      <c r="G334" s="1102">
        <v>1.0395545725355624</v>
      </c>
      <c r="H334" s="1102">
        <v>1.0119387750430351</v>
      </c>
      <c r="I334" s="1102">
        <v>0.9841797460393189</v>
      </c>
      <c r="K334">
        <v>1.5629478128581058</v>
      </c>
      <c r="L334">
        <v>0</v>
      </c>
      <c r="M334">
        <v>1.5739113347778542E-3</v>
      </c>
      <c r="N334">
        <v>0.14403543411923989</v>
      </c>
      <c r="O334">
        <v>0.12110527944589002</v>
      </c>
      <c r="P334">
        <v>1.5721158271698444E-2</v>
      </c>
      <c r="Q334">
        <v>8.9327501443054044E-4</v>
      </c>
      <c r="R334">
        <v>1.5703661141021345E-3</v>
      </c>
      <c r="S334">
        <v>0.11766824768878535</v>
      </c>
      <c r="T334">
        <v>0.8295191805004074</v>
      </c>
      <c r="U334">
        <v>0</v>
      </c>
      <c r="V334">
        <v>0.20736395878342523</v>
      </c>
      <c r="W334">
        <v>9.4723827997771709E-2</v>
      </c>
      <c r="X334">
        <v>2.7646977365597274E-2</v>
      </c>
      <c r="Y334">
        <v>4.2740188915356241E-3</v>
      </c>
    </row>
    <row r="335" spans="1:25" x14ac:dyDescent="0.25">
      <c r="A335" s="1098"/>
      <c r="B335" s="1457">
        <v>85</v>
      </c>
      <c r="C335" s="1102">
        <v>0.98797782379516708</v>
      </c>
      <c r="D335" s="1102">
        <v>0.98960227483983176</v>
      </c>
      <c r="E335" s="1102">
        <v>1.0014846231045047</v>
      </c>
      <c r="F335" s="1102">
        <v>0.99074089211329641</v>
      </c>
      <c r="G335" s="1102">
        <v>1.0014045067644914</v>
      </c>
      <c r="H335" s="1102">
        <v>1.0178754466152686</v>
      </c>
      <c r="I335" s="1102">
        <v>0.98337742443525433</v>
      </c>
      <c r="K335">
        <v>1.5620794164716714</v>
      </c>
      <c r="L335">
        <v>0</v>
      </c>
      <c r="M335">
        <v>1.6095077907751095E-3</v>
      </c>
      <c r="N335">
        <v>0.14877273276337663</v>
      </c>
      <c r="O335">
        <v>0.12179880370103389</v>
      </c>
      <c r="P335">
        <v>1.5630432351469718E-2</v>
      </c>
      <c r="Q335">
        <v>9.1495093211420178E-4</v>
      </c>
      <c r="R335">
        <v>1.6059136568775118E-3</v>
      </c>
      <c r="S335">
        <v>0.12100223693545238</v>
      </c>
      <c r="T335">
        <v>0.81751141982516551</v>
      </c>
      <c r="U335">
        <v>0</v>
      </c>
      <c r="V335">
        <v>0.20654146094697334</v>
      </c>
      <c r="W335">
        <v>9.7647422475454451E-2</v>
      </c>
      <c r="X335">
        <v>2.7892783089803697E-2</v>
      </c>
      <c r="Y335">
        <v>4.3707675847258739E-3</v>
      </c>
    </row>
    <row r="336" spans="1:25" x14ac:dyDescent="0.25">
      <c r="A336" s="1098"/>
      <c r="B336" s="1457">
        <v>86</v>
      </c>
      <c r="C336" s="1102">
        <v>1.008153033984893</v>
      </c>
      <c r="D336" s="1102">
        <v>1.0078811890994692</v>
      </c>
      <c r="E336" s="1102">
        <v>0.97890589563111352</v>
      </c>
      <c r="F336" s="1102">
        <v>1.0329782978968314</v>
      </c>
      <c r="G336" s="1102">
        <v>0.99767932719316055</v>
      </c>
      <c r="H336" s="1102">
        <v>1.0006959212720039</v>
      </c>
      <c r="I336" s="1102">
        <v>0.9998120636311516</v>
      </c>
      <c r="K336">
        <v>1.5819930565472762</v>
      </c>
      <c r="L336">
        <v>0</v>
      </c>
      <c r="M336">
        <v>1.6156212140684993E-3</v>
      </c>
      <c r="N336">
        <v>0.13947868441903452</v>
      </c>
      <c r="O336">
        <v>0.12296195762056748</v>
      </c>
      <c r="P336">
        <v>1.5814117121486847E-2</v>
      </c>
      <c r="Q336">
        <v>8.6939862560031554E-4</v>
      </c>
      <c r="R336">
        <v>1.6119573060433584E-3</v>
      </c>
      <c r="S336">
        <v>0.11823113601774156</v>
      </c>
      <c r="T336">
        <v>0.85391073257692895</v>
      </c>
      <c r="U336">
        <v>0</v>
      </c>
      <c r="V336">
        <v>0.20625611715286538</v>
      </c>
      <c r="W336">
        <v>9.2793756672770691E-2</v>
      </c>
      <c r="X336">
        <v>2.7293603842836189E-2</v>
      </c>
      <c r="Y336">
        <v>4.3872164054668964E-3</v>
      </c>
    </row>
    <row r="337" spans="1:25" x14ac:dyDescent="0.25">
      <c r="A337" s="1098"/>
      <c r="B337" s="1457">
        <v>87</v>
      </c>
      <c r="C337" s="1102">
        <v>1.0275696361035838</v>
      </c>
      <c r="D337" s="1102">
        <v>0.97075624595301302</v>
      </c>
      <c r="E337" s="1102">
        <v>1.0034368363260857</v>
      </c>
      <c r="F337" s="1102">
        <v>0.99082890306971994</v>
      </c>
      <c r="G337" s="1102">
        <v>0.99993548269489807</v>
      </c>
      <c r="H337" s="1102">
        <v>1.0116892744485555</v>
      </c>
      <c r="I337" s="1102">
        <v>0.97612287227381367</v>
      </c>
      <c r="K337">
        <v>1.545862984363737</v>
      </c>
      <c r="L337">
        <v>0</v>
      </c>
      <c r="M337">
        <v>1.5532050112173144E-3</v>
      </c>
      <c r="N337">
        <v>0.14441759662711035</v>
      </c>
      <c r="O337">
        <v>0.12063118795948626</v>
      </c>
      <c r="P337">
        <v>1.5553734176925243E-2</v>
      </c>
      <c r="Q337">
        <v>8.8828396571954754E-4</v>
      </c>
      <c r="R337">
        <v>1.5497367560512755E-3</v>
      </c>
      <c r="S337">
        <v>0.11657261322359339</v>
      </c>
      <c r="T337">
        <v>0.81745650428502292</v>
      </c>
      <c r="U337">
        <v>0</v>
      </c>
      <c r="V337">
        <v>0.20375741666618485</v>
      </c>
      <c r="W337">
        <v>9.467921043708713E-2</v>
      </c>
      <c r="X337">
        <v>2.7692032698385081E-2</v>
      </c>
      <c r="Y337">
        <v>4.2178725793872388E-3</v>
      </c>
    </row>
    <row r="338" spans="1:25" x14ac:dyDescent="0.25">
      <c r="A338" s="1098"/>
      <c r="B338" s="1457">
        <v>88</v>
      </c>
      <c r="C338" s="1102">
        <v>0.98999800897688328</v>
      </c>
      <c r="D338" s="1102">
        <v>1.0144690687610789</v>
      </c>
      <c r="E338" s="1102">
        <v>1.0310059111975429</v>
      </c>
      <c r="F338" s="1102">
        <v>1.0286419913777787</v>
      </c>
      <c r="G338" s="1102">
        <v>0.99240488126532234</v>
      </c>
      <c r="H338" s="1102">
        <v>0.97109882343996479</v>
      </c>
      <c r="I338" s="1102">
        <v>0.98978779886713797</v>
      </c>
      <c r="K338">
        <v>1.5809681865639258</v>
      </c>
      <c r="L338">
        <v>0</v>
      </c>
      <c r="M338">
        <v>1.42534802987242E-3</v>
      </c>
      <c r="N338">
        <v>0.14400974284194862</v>
      </c>
      <c r="O338">
        <v>0.12316265091846458</v>
      </c>
      <c r="P338">
        <v>1.6327105078301679E-2</v>
      </c>
      <c r="Q338">
        <v>9.3191894517038933E-4</v>
      </c>
      <c r="R338">
        <v>1.4220081167610969E-3</v>
      </c>
      <c r="S338">
        <v>0.11637141056905953</v>
      </c>
      <c r="T338">
        <v>0.84679687302328799</v>
      </c>
      <c r="U338">
        <v>0</v>
      </c>
      <c r="V338">
        <v>0.20723148050939219</v>
      </c>
      <c r="W338">
        <v>9.2897920652968716E-2</v>
      </c>
      <c r="X338">
        <v>2.9372186609468467E-2</v>
      </c>
      <c r="Y338">
        <v>3.870237328973999E-3</v>
      </c>
    </row>
    <row r="339" spans="1:25" x14ac:dyDescent="0.25">
      <c r="A339" s="1098"/>
      <c r="B339" s="1457">
        <v>89</v>
      </c>
      <c r="C339" s="1102">
        <v>1.0050214795023078</v>
      </c>
      <c r="D339" s="1102">
        <v>1.0102661332812599</v>
      </c>
      <c r="E339" s="1102">
        <v>0.9659613291344632</v>
      </c>
      <c r="F339" s="1102">
        <v>0.98650531652317697</v>
      </c>
      <c r="G339" s="1102">
        <v>1.0325565614821841</v>
      </c>
      <c r="H339" s="1102">
        <v>0.97802553887456722</v>
      </c>
      <c r="I339" s="1102">
        <v>1.0312254556186418</v>
      </c>
      <c r="K339">
        <v>1.5327351426162898</v>
      </c>
      <c r="L339">
        <v>0</v>
      </c>
      <c r="M339">
        <v>1.6187279729625531E-3</v>
      </c>
      <c r="N339">
        <v>0.13436810196553542</v>
      </c>
      <c r="O339">
        <v>0.11981940954556164</v>
      </c>
      <c r="P339">
        <v>1.5174010596722154E-2</v>
      </c>
      <c r="Q339">
        <v>8.5949676750737727E-4</v>
      </c>
      <c r="R339">
        <v>1.6149566341541971E-3</v>
      </c>
      <c r="S339">
        <v>0.11999973103970632</v>
      </c>
      <c r="T339">
        <v>0.81634822594309542</v>
      </c>
      <c r="U339">
        <v>0</v>
      </c>
      <c r="V339">
        <v>0.20559960764138077</v>
      </c>
      <c r="W339">
        <v>9.0099441118004706E-2</v>
      </c>
      <c r="X339">
        <v>2.6075509749726417E-2</v>
      </c>
      <c r="Y339">
        <v>4.3953795878563543E-3</v>
      </c>
    </row>
    <row r="340" spans="1:25" x14ac:dyDescent="0.25">
      <c r="A340" s="1098"/>
      <c r="B340" s="1457">
        <v>90</v>
      </c>
      <c r="C340" s="1102">
        <v>1.0186301337234267</v>
      </c>
      <c r="D340" s="1102">
        <v>0.96551906497084872</v>
      </c>
      <c r="E340" s="1102">
        <v>0.99621773774367917</v>
      </c>
      <c r="F340" s="1102">
        <v>0.99615638462774714</v>
      </c>
      <c r="G340" s="1102">
        <v>0.99688697963474993</v>
      </c>
      <c r="H340" s="1102">
        <v>1.0294100783167073</v>
      </c>
      <c r="I340" s="1102">
        <v>1.003848487276368</v>
      </c>
      <c r="K340">
        <v>1.5649834806189522</v>
      </c>
      <c r="L340">
        <v>0</v>
      </c>
      <c r="M340">
        <v>1.6229166966779058E-3</v>
      </c>
      <c r="N340">
        <v>0.1476497257516424</v>
      </c>
      <c r="O340">
        <v>0.12170954857935842</v>
      </c>
      <c r="P340">
        <v>1.5633619745317882E-2</v>
      </c>
      <c r="Q340">
        <v>8.9132357692528594E-4</v>
      </c>
      <c r="R340">
        <v>1.6193575266154041E-3</v>
      </c>
      <c r="S340">
        <v>0.1227073477493465</v>
      </c>
      <c r="T340">
        <v>0.82232656894007594</v>
      </c>
      <c r="U340">
        <v>0</v>
      </c>
      <c r="V340">
        <v>0.20477334834631644</v>
      </c>
      <c r="W340">
        <v>9.7214448343998117E-2</v>
      </c>
      <c r="X340">
        <v>2.7673751389650354E-2</v>
      </c>
      <c r="Y340">
        <v>4.4073573663819506E-3</v>
      </c>
    </row>
    <row r="341" spans="1:25" x14ac:dyDescent="0.25">
      <c r="A341" s="1098"/>
      <c r="B341" s="1457">
        <v>91</v>
      </c>
      <c r="C341" s="1102">
        <v>0.9780133570017574</v>
      </c>
      <c r="D341" s="1102">
        <v>1.0022339882652187</v>
      </c>
      <c r="E341" s="1102">
        <v>0.98130956800130231</v>
      </c>
      <c r="F341" s="1102">
        <v>0.99744721113066992</v>
      </c>
      <c r="G341" s="1102">
        <v>1.0129852586585397</v>
      </c>
      <c r="H341" s="1102">
        <v>1.0048535915330297</v>
      </c>
      <c r="I341" s="1102">
        <v>0.99817973337384402</v>
      </c>
      <c r="K341">
        <v>1.5651221569879989</v>
      </c>
      <c r="L341">
        <v>0</v>
      </c>
      <c r="M341">
        <v>1.6612817489129791E-3</v>
      </c>
      <c r="N341">
        <v>0.14446754524172611</v>
      </c>
      <c r="O341">
        <v>0.12229228375254531</v>
      </c>
      <c r="P341">
        <v>1.5518877119126804E-2</v>
      </c>
      <c r="Q341">
        <v>9.004727915813064E-4</v>
      </c>
      <c r="R341">
        <v>1.6575151990422937E-3</v>
      </c>
      <c r="S341">
        <v>0.12203273926353776</v>
      </c>
      <c r="T341">
        <v>0.82437917613157852</v>
      </c>
      <c r="U341">
        <v>0</v>
      </c>
      <c r="V341">
        <v>0.20786102736974546</v>
      </c>
      <c r="W341">
        <v>9.5973410833751188E-2</v>
      </c>
      <c r="X341">
        <v>2.7189181062219736E-2</v>
      </c>
      <c r="Y341">
        <v>4.5112099720546082E-3</v>
      </c>
    </row>
    <row r="342" spans="1:25" x14ac:dyDescent="0.25">
      <c r="A342" s="1098"/>
      <c r="B342" s="1457">
        <v>92</v>
      </c>
      <c r="C342" s="1102">
        <v>0.98916266986146684</v>
      </c>
      <c r="D342" s="1102">
        <v>1.0122008382475034</v>
      </c>
      <c r="E342" s="1102">
        <v>1.0016114744760969</v>
      </c>
      <c r="F342" s="1102">
        <v>1.0266435636050186</v>
      </c>
      <c r="G342" s="1102">
        <v>1.0106833771703028</v>
      </c>
      <c r="H342" s="1102">
        <v>0.97503372087042739</v>
      </c>
      <c r="I342" s="1102">
        <v>0.99189267947977433</v>
      </c>
      <c r="K342">
        <v>1.5782190828233629</v>
      </c>
      <c r="L342">
        <v>0</v>
      </c>
      <c r="M342">
        <v>1.5242380997496727E-3</v>
      </c>
      <c r="N342">
        <v>0.14093077146024241</v>
      </c>
      <c r="O342">
        <v>0.12325215669058473</v>
      </c>
      <c r="P342">
        <v>1.6003404785623173E-2</v>
      </c>
      <c r="Q342">
        <v>9.0575752457072343E-4</v>
      </c>
      <c r="R342">
        <v>1.5206814833632629E-3</v>
      </c>
      <c r="S342">
        <v>0.11711346712781906</v>
      </c>
      <c r="T342">
        <v>0.84712797561997544</v>
      </c>
      <c r="U342">
        <v>0</v>
      </c>
      <c r="V342">
        <v>0.20803772586067759</v>
      </c>
      <c r="W342">
        <v>9.2493362871678669E-2</v>
      </c>
      <c r="X342">
        <v>2.8219223793377667E-2</v>
      </c>
      <c r="Y342">
        <v>4.1387937051985367E-3</v>
      </c>
    </row>
    <row r="343" spans="1:25" x14ac:dyDescent="0.25">
      <c r="A343" s="1098"/>
      <c r="B343" s="1457">
        <v>93</v>
      </c>
      <c r="C343" s="1102">
        <v>1.0176028214593491</v>
      </c>
      <c r="D343" s="1102">
        <v>1.0281393853327749</v>
      </c>
      <c r="E343" s="1102">
        <v>0.96487520773487689</v>
      </c>
      <c r="F343" s="1102">
        <v>0.97885963615052229</v>
      </c>
      <c r="G343" s="1102">
        <v>0.97136883598370527</v>
      </c>
      <c r="H343" s="1102">
        <v>1.0101751114366919</v>
      </c>
      <c r="I343" s="1102">
        <v>0.99235484998485168</v>
      </c>
      <c r="K343">
        <v>1.5167183453198947</v>
      </c>
      <c r="L343">
        <v>0</v>
      </c>
      <c r="M343">
        <v>1.6391253141700072E-3</v>
      </c>
      <c r="N343">
        <v>0.1356236587898676</v>
      </c>
      <c r="O343">
        <v>0.11790485826306595</v>
      </c>
      <c r="P343">
        <v>1.4953682828190755E-2</v>
      </c>
      <c r="Q343">
        <v>8.4196999356711121E-4</v>
      </c>
      <c r="R343">
        <v>1.6354183431927167E-3</v>
      </c>
      <c r="S343">
        <v>0.11532658717309564</v>
      </c>
      <c r="T343">
        <v>0.81009267785009709</v>
      </c>
      <c r="U343">
        <v>0</v>
      </c>
      <c r="V343">
        <v>0.20089460110546672</v>
      </c>
      <c r="W343">
        <v>9.1001700572469146E-2</v>
      </c>
      <c r="X343">
        <v>2.5631246100392004E-2</v>
      </c>
      <c r="Y343">
        <v>4.4510696146586315E-3</v>
      </c>
    </row>
    <row r="344" spans="1:25" x14ac:dyDescent="0.25">
      <c r="A344" s="1098"/>
      <c r="B344" s="1457">
        <v>94</v>
      </c>
      <c r="C344" s="1102">
        <v>1.0066377837809026</v>
      </c>
      <c r="D344" s="1102">
        <v>0.9725677235280652</v>
      </c>
      <c r="E344" s="1102">
        <v>1.0156798728527905</v>
      </c>
      <c r="F344" s="1102">
        <v>1.0203942869051303</v>
      </c>
      <c r="G344" s="1102">
        <v>0.99725909175616301</v>
      </c>
      <c r="H344" s="1102">
        <v>1.0387066489287247</v>
      </c>
      <c r="I344" s="1102">
        <v>0.98913736635153193</v>
      </c>
      <c r="K344">
        <v>1.5972495693697244</v>
      </c>
      <c r="L344">
        <v>0</v>
      </c>
      <c r="M344">
        <v>1.5864784760407206E-3</v>
      </c>
      <c r="N344">
        <v>0.15307490385146483</v>
      </c>
      <c r="O344">
        <v>0.12365578337920829</v>
      </c>
      <c r="P344">
        <v>1.6147588556271266E-2</v>
      </c>
      <c r="Q344">
        <v>9.1759454003343137E-4</v>
      </c>
      <c r="R344">
        <v>1.5830295831592816E-3</v>
      </c>
      <c r="S344">
        <v>0.12267597150656213</v>
      </c>
      <c r="T344">
        <v>0.84102778388831201</v>
      </c>
      <c r="U344">
        <v>0</v>
      </c>
      <c r="V344">
        <v>0.20686685489228604</v>
      </c>
      <c r="W344">
        <v>9.9632733592471767E-2</v>
      </c>
      <c r="X344">
        <v>2.8945319376196425E-2</v>
      </c>
      <c r="Y344">
        <v>4.3084846797977238E-3</v>
      </c>
    </row>
    <row r="345" spans="1:25" x14ac:dyDescent="0.25">
      <c r="A345" s="1098"/>
      <c r="B345" s="1457">
        <v>95</v>
      </c>
      <c r="C345" s="1102">
        <v>1.0040120759997122</v>
      </c>
      <c r="D345" s="1102">
        <v>0.998345027802513</v>
      </c>
      <c r="E345" s="1102">
        <v>1.0032871088747637</v>
      </c>
      <c r="F345" s="1102">
        <v>0.99963343717358555</v>
      </c>
      <c r="G345" s="1102">
        <v>0.99639452693289099</v>
      </c>
      <c r="H345" s="1102">
        <v>0.99425660270404093</v>
      </c>
      <c r="I345" s="1102">
        <v>0.99815376820191581</v>
      </c>
      <c r="K345">
        <v>1.5546176336193414</v>
      </c>
      <c r="L345">
        <v>0</v>
      </c>
      <c r="M345">
        <v>1.5365242151906126E-3</v>
      </c>
      <c r="N345">
        <v>0.14279454786259349</v>
      </c>
      <c r="O345">
        <v>0.12120571231204916</v>
      </c>
      <c r="P345">
        <v>1.5697099323773434E-2</v>
      </c>
      <c r="Q345">
        <v>8.9885298355635366E-4</v>
      </c>
      <c r="R345">
        <v>1.5330130591099296E-3</v>
      </c>
      <c r="S345">
        <v>0.11851820007539789</v>
      </c>
      <c r="T345">
        <v>0.82473031051607815</v>
      </c>
      <c r="U345">
        <v>0</v>
      </c>
      <c r="V345">
        <v>0.20515284735539124</v>
      </c>
      <c r="W345">
        <v>9.3623459609297077E-2</v>
      </c>
      <c r="X345">
        <v>2.7827758548004448E-2</v>
      </c>
      <c r="Y345">
        <v>4.1723561892781109E-3</v>
      </c>
    </row>
    <row r="346" spans="1:25" x14ac:dyDescent="0.25">
      <c r="A346" s="1098"/>
      <c r="B346" s="1457">
        <v>96</v>
      </c>
      <c r="C346" s="1102">
        <v>0.99131294847964202</v>
      </c>
      <c r="D346" s="1102">
        <v>0.99347860518093245</v>
      </c>
      <c r="E346" s="1102">
        <v>0.97544981505961026</v>
      </c>
      <c r="F346" s="1102">
        <v>1.0425418785121747</v>
      </c>
      <c r="G346" s="1102">
        <v>0.99018553474729532</v>
      </c>
      <c r="H346" s="1102">
        <v>0.98596508157657448</v>
      </c>
      <c r="I346" s="1102">
        <v>1.0088147461427153</v>
      </c>
      <c r="K346">
        <v>1.5994652016128954</v>
      </c>
      <c r="L346">
        <v>0</v>
      </c>
      <c r="M346">
        <v>1.643063043544204E-3</v>
      </c>
      <c r="N346">
        <v>0.14036776195104428</v>
      </c>
      <c r="O346">
        <v>0.1251630984511819</v>
      </c>
      <c r="P346">
        <v>1.5947352480522856E-2</v>
      </c>
      <c r="Q346">
        <v>8.8605292633153027E-4</v>
      </c>
      <c r="R346">
        <v>1.639288514003022E-3</v>
      </c>
      <c r="S346">
        <v>0.12112849998915105</v>
      </c>
      <c r="T346">
        <v>0.86205696865366743</v>
      </c>
      <c r="U346">
        <v>0</v>
      </c>
      <c r="V346">
        <v>0.20827318588406965</v>
      </c>
      <c r="W346">
        <v>9.3580774128914163E-2</v>
      </c>
      <c r="X346">
        <v>2.760367873374947E-2</v>
      </c>
      <c r="Y346">
        <v>4.4616029438028174E-3</v>
      </c>
    </row>
    <row r="347" spans="1:25" x14ac:dyDescent="0.25">
      <c r="A347" s="1098"/>
      <c r="B347" s="1457">
        <v>97</v>
      </c>
      <c r="C347" s="1102">
        <v>0.98036061625147519</v>
      </c>
      <c r="D347" s="1102">
        <v>0.97716258169946457</v>
      </c>
      <c r="E347" s="1102">
        <v>0.98312904870878093</v>
      </c>
      <c r="F347" s="1102">
        <v>1.0059258137471785</v>
      </c>
      <c r="G347" s="1102">
        <v>1.0217797779983362</v>
      </c>
      <c r="H347" s="1102">
        <v>0.9717061074703236</v>
      </c>
      <c r="I347" s="1102">
        <v>0.99690922781267022</v>
      </c>
      <c r="K347">
        <v>1.5695204128213902</v>
      </c>
      <c r="L347">
        <v>0</v>
      </c>
      <c r="M347">
        <v>1.6209788938883385E-3</v>
      </c>
      <c r="N347">
        <v>0.14173145729350456</v>
      </c>
      <c r="O347">
        <v>0.12389345965314034</v>
      </c>
      <c r="P347">
        <v>1.5635416224359381E-2</v>
      </c>
      <c r="Q347">
        <v>9.0919603721367694E-4</v>
      </c>
      <c r="R347">
        <v>1.6171973508375111E-3</v>
      </c>
      <c r="S347">
        <v>0.12080287905335989</v>
      </c>
      <c r="T347">
        <v>0.83126477471523952</v>
      </c>
      <c r="U347">
        <v>0</v>
      </c>
      <c r="V347">
        <v>0.20927132563038292</v>
      </c>
      <c r="W347">
        <v>9.405255365204214E-2</v>
      </c>
      <c r="X347">
        <v>2.756165402518004E-2</v>
      </c>
      <c r="Y347">
        <v>4.4014780800162778E-3</v>
      </c>
    </row>
    <row r="348" spans="1:25" x14ac:dyDescent="0.25">
      <c r="A348" s="1098"/>
      <c r="B348" s="1457">
        <v>98</v>
      </c>
      <c r="C348" s="1102">
        <v>0.99495253284940555</v>
      </c>
      <c r="D348" s="1102">
        <v>1.0243558769936685</v>
      </c>
      <c r="E348" s="1102">
        <v>1.0130520370949025</v>
      </c>
      <c r="F348" s="1102">
        <v>0.98909663174564755</v>
      </c>
      <c r="G348" s="1102">
        <v>1.0181002764747669</v>
      </c>
      <c r="H348" s="1102">
        <v>1.0132887226172655</v>
      </c>
      <c r="I348" s="1102">
        <v>0.98737774398936573</v>
      </c>
      <c r="K348">
        <v>1.548269402997031</v>
      </c>
      <c r="L348">
        <v>0</v>
      </c>
      <c r="M348">
        <v>1.5238553408308745E-3</v>
      </c>
      <c r="N348">
        <v>0.1458592171626302</v>
      </c>
      <c r="O348">
        <v>0.11977665940837241</v>
      </c>
      <c r="P348">
        <v>1.5680154294246788E-2</v>
      </c>
      <c r="Q348">
        <v>9.0684910280559709E-4</v>
      </c>
      <c r="R348">
        <v>1.520418885458321E-3</v>
      </c>
      <c r="S348">
        <v>0.11788590541084962</v>
      </c>
      <c r="T348">
        <v>0.81540205582721659</v>
      </c>
      <c r="U348">
        <v>0</v>
      </c>
      <c r="V348">
        <v>0.20559868019226199</v>
      </c>
      <c r="W348">
        <v>9.5082937385268462E-2</v>
      </c>
      <c r="X348">
        <v>2.7942301668485776E-2</v>
      </c>
      <c r="Y348">
        <v>4.1380790002666602E-3</v>
      </c>
    </row>
    <row r="349" spans="1:25" x14ac:dyDescent="0.25">
      <c r="A349" s="1098"/>
      <c r="B349" s="1457">
        <v>99</v>
      </c>
      <c r="C349" s="1102">
        <v>1.0164372806156339</v>
      </c>
      <c r="D349" s="1102">
        <v>1.0122958443939349</v>
      </c>
      <c r="E349" s="1102">
        <v>0.97644701855332861</v>
      </c>
      <c r="F349" s="1102">
        <v>0.9976315403428071</v>
      </c>
      <c r="G349" s="1102">
        <v>0.97779176156289171</v>
      </c>
      <c r="H349" s="1102">
        <v>1.0061519028132038</v>
      </c>
      <c r="I349" s="1102">
        <v>1.0116799562221281</v>
      </c>
      <c r="K349">
        <v>1.5434022242064591</v>
      </c>
      <c r="L349">
        <v>0</v>
      </c>
      <c r="M349">
        <v>1.6121542470300392E-3</v>
      </c>
      <c r="N349">
        <v>0.13814843372629793</v>
      </c>
      <c r="O349">
        <v>0.11990954689875073</v>
      </c>
      <c r="P349">
        <v>1.5353246938524386E-2</v>
      </c>
      <c r="Q349">
        <v>8.5858858982331473E-4</v>
      </c>
      <c r="R349">
        <v>1.6085080636054733E-3</v>
      </c>
      <c r="S349">
        <v>0.11861584650368864</v>
      </c>
      <c r="T349">
        <v>0.82485506518858787</v>
      </c>
      <c r="U349">
        <v>0</v>
      </c>
      <c r="V349">
        <v>0.20272339159661354</v>
      </c>
      <c r="W349">
        <v>9.2045567166614384E-2</v>
      </c>
      <c r="X349">
        <v>2.6518355076388438E-2</v>
      </c>
      <c r="Y349">
        <v>4.3778287045934368E-3</v>
      </c>
    </row>
    <row r="350" spans="1:25" x14ac:dyDescent="0.25">
      <c r="A350" s="1098"/>
      <c r="B350" s="1457">
        <v>100</v>
      </c>
      <c r="C350" s="1102">
        <v>1.0275061630326023</v>
      </c>
      <c r="D350" s="1102">
        <v>0.99439213045439934</v>
      </c>
      <c r="E350" s="1102">
        <v>0.99812719885352397</v>
      </c>
      <c r="F350" s="1102">
        <v>0.99116506218391365</v>
      </c>
      <c r="G350" s="1102">
        <v>1.0052227774185538</v>
      </c>
      <c r="H350" s="1102">
        <v>1.0193446004972342</v>
      </c>
      <c r="I350" s="1102">
        <v>1.0260364195452729</v>
      </c>
      <c r="K350">
        <v>1.5471516484508534</v>
      </c>
      <c r="L350">
        <v>0</v>
      </c>
      <c r="M350">
        <v>1.5609714306719805E-3</v>
      </c>
      <c r="N350">
        <v>0.14283128803110845</v>
      </c>
      <c r="O350">
        <v>0.11962641712917564</v>
      </c>
      <c r="P350">
        <v>1.556013056800274E-2</v>
      </c>
      <c r="Q350">
        <v>8.750035896535138E-4</v>
      </c>
      <c r="R350">
        <v>1.557498127497199E-3</v>
      </c>
      <c r="S350">
        <v>0.12139299673408308</v>
      </c>
      <c r="T350">
        <v>0.81808112442111147</v>
      </c>
      <c r="U350">
        <v>0</v>
      </c>
      <c r="V350">
        <v>0.20329492771331931</v>
      </c>
      <c r="W350">
        <v>9.3935023956863012E-2</v>
      </c>
      <c r="X350">
        <v>2.7319213136781897E-2</v>
      </c>
      <c r="Y350">
        <v>4.2389964739276325E-3</v>
      </c>
    </row>
    <row r="351" spans="1:25" x14ac:dyDescent="0.25">
      <c r="A351" s="1098"/>
      <c r="B351" s="1457">
        <v>101</v>
      </c>
      <c r="C351" s="1102">
        <v>0.96820175786263862</v>
      </c>
      <c r="D351" s="1102">
        <v>0.99202581490185737</v>
      </c>
      <c r="E351" s="1102">
        <v>1.0005515579758808</v>
      </c>
      <c r="F351" s="1102">
        <v>0.99104722714897775</v>
      </c>
      <c r="G351" s="1102">
        <v>1.0227525864138178</v>
      </c>
      <c r="H351" s="1102">
        <v>0.98993567853688669</v>
      </c>
      <c r="I351" s="1102">
        <v>0.98510381976415851</v>
      </c>
      <c r="K351">
        <v>1.5635092587936865</v>
      </c>
      <c r="L351">
        <v>0</v>
      </c>
      <c r="M351">
        <v>1.5957798094978748E-3</v>
      </c>
      <c r="N351">
        <v>0.14707867130864122</v>
      </c>
      <c r="O351">
        <v>0.12275628355543713</v>
      </c>
      <c r="P351">
        <v>1.566155956838932E-2</v>
      </c>
      <c r="Q351">
        <v>9.3182488993895471E-4</v>
      </c>
      <c r="R351">
        <v>1.5921087505324019E-3</v>
      </c>
      <c r="S351">
        <v>0.12112792818897113</v>
      </c>
      <c r="T351">
        <v>0.81782520624976451</v>
      </c>
      <c r="U351">
        <v>0</v>
      </c>
      <c r="V351">
        <v>0.20917918861363499</v>
      </c>
      <c r="W351">
        <v>9.6589027062447125E-2</v>
      </c>
      <c r="X351">
        <v>2.8030045234985833E-2</v>
      </c>
      <c r="Y351">
        <v>4.3331951804406387E-3</v>
      </c>
    </row>
    <row r="352" spans="1:25" x14ac:dyDescent="0.25">
      <c r="A352" s="1098"/>
      <c r="B352" s="1457">
        <v>102</v>
      </c>
      <c r="C352" s="1102">
        <v>1.0131919839648393</v>
      </c>
      <c r="D352" s="1102">
        <v>1.0150140550547342</v>
      </c>
      <c r="E352" s="1102">
        <v>0.9963857458185118</v>
      </c>
      <c r="F352" s="1102">
        <v>1.000893141957528</v>
      </c>
      <c r="G352" s="1102">
        <v>1.0020742352601186</v>
      </c>
      <c r="H352" s="1102">
        <v>0.99295295188816834</v>
      </c>
      <c r="I352" s="1102">
        <v>1.0097931672710507</v>
      </c>
      <c r="K352">
        <v>1.5469507099737796</v>
      </c>
      <c r="L352">
        <v>0</v>
      </c>
      <c r="M352">
        <v>1.5292664686291303E-3</v>
      </c>
      <c r="N352">
        <v>0.13918636800368595</v>
      </c>
      <c r="O352">
        <v>0.12012770399728569</v>
      </c>
      <c r="P352">
        <v>1.561124461150068E-2</v>
      </c>
      <c r="Q352">
        <v>8.7851966578183322E-4</v>
      </c>
      <c r="R352">
        <v>1.5257602598841035E-3</v>
      </c>
      <c r="S352">
        <v>0.11758813766067118</v>
      </c>
      <c r="T352">
        <v>0.82622563872496702</v>
      </c>
      <c r="U352">
        <v>0</v>
      </c>
      <c r="V352">
        <v>0.20420958161211628</v>
      </c>
      <c r="W352">
        <v>9.1632889268298615E-2</v>
      </c>
      <c r="X352">
        <v>2.7341516177546519E-2</v>
      </c>
      <c r="Y352">
        <v>4.1526164606700347E-3</v>
      </c>
    </row>
    <row r="353" spans="1:25" x14ac:dyDescent="0.25">
      <c r="A353" s="1098"/>
      <c r="B353" s="1457">
        <v>103</v>
      </c>
      <c r="C353" s="1102">
        <v>0.99441699755252921</v>
      </c>
      <c r="D353" s="1102">
        <v>0.98847723728832626</v>
      </c>
      <c r="E353" s="1102">
        <v>1.0052235787883159</v>
      </c>
      <c r="F353" s="1102">
        <v>1.0015719730396846</v>
      </c>
      <c r="G353" s="1102">
        <v>1.0147462488797272</v>
      </c>
      <c r="H353" s="1102">
        <v>1.0191021023734224</v>
      </c>
      <c r="I353" s="1102">
        <v>1.0032784231038869</v>
      </c>
      <c r="K353">
        <v>1.5741060612369437</v>
      </c>
      <c r="L353">
        <v>0</v>
      </c>
      <c r="M353">
        <v>1.5917732775619291E-3</v>
      </c>
      <c r="N353">
        <v>0.14880542799138372</v>
      </c>
      <c r="O353">
        <v>0.12226583557107963</v>
      </c>
      <c r="P353">
        <v>1.5828530085636366E-2</v>
      </c>
      <c r="Q353">
        <v>9.1296606218946536E-4</v>
      </c>
      <c r="R353">
        <v>1.5882284061130801E-3</v>
      </c>
      <c r="S353">
        <v>0.12294971745062233</v>
      </c>
      <c r="T353">
        <v>0.82620189740945627</v>
      </c>
      <c r="U353">
        <v>0</v>
      </c>
      <c r="V353">
        <v>0.20719381568272149</v>
      </c>
      <c r="W353">
        <v>9.7452652711035467E-2</v>
      </c>
      <c r="X353">
        <v>2.8176128982181543E-2</v>
      </c>
      <c r="Y353">
        <v>4.3226341620864386E-3</v>
      </c>
    </row>
    <row r="354" spans="1:25" x14ac:dyDescent="0.25">
      <c r="A354" s="1098"/>
      <c r="B354" s="1457">
        <v>104</v>
      </c>
      <c r="C354" s="1102">
        <v>1.016676789282589</v>
      </c>
      <c r="D354" s="1102">
        <v>1.0097170288745017</v>
      </c>
      <c r="E354" s="1102">
        <v>1.0062298076216856</v>
      </c>
      <c r="F354" s="1102">
        <v>0.98119405380728164</v>
      </c>
      <c r="G354" s="1102">
        <v>0.98974032277329238</v>
      </c>
      <c r="H354" s="1102">
        <v>0.96227158002664459</v>
      </c>
      <c r="I354" s="1102">
        <v>1.0247761546709482</v>
      </c>
      <c r="K354">
        <v>1.5199082762504432</v>
      </c>
      <c r="L354">
        <v>0</v>
      </c>
      <c r="M354">
        <v>1.4495657430335621E-3</v>
      </c>
      <c r="N354">
        <v>0.13590466744581084</v>
      </c>
      <c r="O354">
        <v>0.1187792256627606</v>
      </c>
      <c r="P354">
        <v>1.5460601838206077E-2</v>
      </c>
      <c r="Q354">
        <v>8.8633676694074067E-4</v>
      </c>
      <c r="R354">
        <v>1.4461350201139462E-3</v>
      </c>
      <c r="S354">
        <v>0.11677858683073607</v>
      </c>
      <c r="T354">
        <v>0.80932705305342023</v>
      </c>
      <c r="U354">
        <v>0</v>
      </c>
      <c r="V354">
        <v>0.20252051090052337</v>
      </c>
      <c r="W354">
        <v>8.8950973715543238E-2</v>
      </c>
      <c r="X354">
        <v>2.736784795295091E-2</v>
      </c>
      <c r="Y354">
        <v>3.935902806468901E-3</v>
      </c>
    </row>
    <row r="355" spans="1:25" x14ac:dyDescent="0.25">
      <c r="A355" s="1098"/>
      <c r="B355" s="1457">
        <v>105</v>
      </c>
      <c r="C355" s="1102">
        <v>1.0314495385150295</v>
      </c>
      <c r="D355" s="1102">
        <v>0.96047177633722203</v>
      </c>
      <c r="E355" s="1102">
        <v>0.9896251036530519</v>
      </c>
      <c r="F355" s="1102">
        <v>1.0347640196881651</v>
      </c>
      <c r="G355" s="1102">
        <v>1.0351075637867153</v>
      </c>
      <c r="H355" s="1102">
        <v>1.008895713538869</v>
      </c>
      <c r="I355" s="1102">
        <v>0.9899504339319587</v>
      </c>
      <c r="K355">
        <v>1.5914851632296343</v>
      </c>
      <c r="L355">
        <v>0</v>
      </c>
      <c r="M355">
        <v>1.6033573090052313E-3</v>
      </c>
      <c r="N355">
        <v>0.14298723424277607</v>
      </c>
      <c r="O355">
        <v>0.12402532689210201</v>
      </c>
      <c r="P355">
        <v>1.5975903063582268E-2</v>
      </c>
      <c r="Q355">
        <v>8.7606166259851753E-4</v>
      </c>
      <c r="R355">
        <v>1.5997865523438911E-3</v>
      </c>
      <c r="S355">
        <v>0.11857340901390709</v>
      </c>
      <c r="T355">
        <v>0.85464904664281149</v>
      </c>
      <c r="U355">
        <v>0</v>
      </c>
      <c r="V355">
        <v>0.20760577151406306</v>
      </c>
      <c r="W355">
        <v>9.4516292855976083E-2</v>
      </c>
      <c r="X355">
        <v>2.7925596472490814E-2</v>
      </c>
      <c r="Y355">
        <v>4.3540916259848248E-3</v>
      </c>
    </row>
    <row r="356" spans="1:25" x14ac:dyDescent="0.25">
      <c r="A356" s="1098"/>
      <c r="B356" s="1457">
        <v>106</v>
      </c>
      <c r="C356" s="1102">
        <v>1.0277409981546655</v>
      </c>
      <c r="D356" s="1102">
        <v>1.0327335551686605</v>
      </c>
      <c r="E356" s="1102">
        <v>1.0186889396147873</v>
      </c>
      <c r="F356" s="1102">
        <v>0.98463286490840707</v>
      </c>
      <c r="G356" s="1102">
        <v>1.0310551658661069</v>
      </c>
      <c r="H356" s="1102">
        <v>0.99818504008241682</v>
      </c>
      <c r="I356" s="1102">
        <v>1.0170815987063246</v>
      </c>
      <c r="K356">
        <v>1.5259701376063874</v>
      </c>
      <c r="L356">
        <v>0</v>
      </c>
      <c r="M356">
        <v>1.4325146318268916E-3</v>
      </c>
      <c r="N356">
        <v>0.13946412584429102</v>
      </c>
      <c r="O356">
        <v>0.11747361896131421</v>
      </c>
      <c r="P356">
        <v>1.5627697127176963E-2</v>
      </c>
      <c r="Q356">
        <v>8.8014776777659281E-4</v>
      </c>
      <c r="R356">
        <v>1.4292372731005208E-3</v>
      </c>
      <c r="S356">
        <v>0.11598792904939643</v>
      </c>
      <c r="T356">
        <v>0.81135861735342463</v>
      </c>
      <c r="U356">
        <v>0</v>
      </c>
      <c r="V356">
        <v>0.20303256719497784</v>
      </c>
      <c r="W356">
        <v>9.0613791955966513E-2</v>
      </c>
      <c r="X356">
        <v>2.7645007001347935E-2</v>
      </c>
      <c r="Y356">
        <v>3.8899127094391638E-3</v>
      </c>
    </row>
    <row r="357" spans="1:25" x14ac:dyDescent="0.25">
      <c r="A357" s="1098"/>
      <c r="B357" s="1457">
        <v>107</v>
      </c>
      <c r="C357" s="1102">
        <v>1.0028548337888612</v>
      </c>
      <c r="D357" s="1102">
        <v>0.98200762497331529</v>
      </c>
      <c r="E357" s="1102">
        <v>0.99554657157137527</v>
      </c>
      <c r="F357" s="1102">
        <v>1.0262927019207662</v>
      </c>
      <c r="G357" s="1102">
        <v>1.0462753333220931</v>
      </c>
      <c r="H357" s="1102">
        <v>0.96833922811906636</v>
      </c>
      <c r="I357" s="1102">
        <v>1.0181815824727787</v>
      </c>
      <c r="K357">
        <v>1.5817938146817772</v>
      </c>
      <c r="L357">
        <v>0</v>
      </c>
      <c r="M357">
        <v>1.5397329114425196E-3</v>
      </c>
      <c r="N357">
        <v>0.13977805516191968</v>
      </c>
      <c r="O357">
        <v>0.12388947446041949</v>
      </c>
      <c r="P357">
        <v>1.5993614988794789E-2</v>
      </c>
      <c r="Q357">
        <v>8.9860610239322772E-4</v>
      </c>
      <c r="R357">
        <v>1.53613715867071E-3</v>
      </c>
      <c r="S357">
        <v>0.12026394582057973</v>
      </c>
      <c r="T357">
        <v>0.84724964588320262</v>
      </c>
      <c r="U357">
        <v>0</v>
      </c>
      <c r="V357">
        <v>0.20936900330189542</v>
      </c>
      <c r="W357">
        <v>9.2068479582916696E-2</v>
      </c>
      <c r="X357">
        <v>2.8105726174001401E-2</v>
      </c>
      <c r="Y357">
        <v>4.1808589584234118E-3</v>
      </c>
    </row>
    <row r="358" spans="1:25" x14ac:dyDescent="0.25">
      <c r="A358" s="1098"/>
      <c r="B358" s="1457">
        <v>108</v>
      </c>
      <c r="C358" s="1102">
        <v>0.99151865763373748</v>
      </c>
      <c r="D358" s="1102">
        <v>1.0257718361528128</v>
      </c>
      <c r="E358" s="1102">
        <v>0.96718549573375179</v>
      </c>
      <c r="F358" s="1102">
        <v>1.000699895940848</v>
      </c>
      <c r="G358" s="1102">
        <v>0.9883383938737178</v>
      </c>
      <c r="H358" s="1102">
        <v>1.0082075289647432</v>
      </c>
      <c r="I358" s="1102">
        <v>1.0095875616235546</v>
      </c>
      <c r="K358">
        <v>1.5541615292474935</v>
      </c>
      <c r="L358">
        <v>0</v>
      </c>
      <c r="M358">
        <v>1.6728219758061159E-3</v>
      </c>
      <c r="N358">
        <v>0.13938311984211063</v>
      </c>
      <c r="O358">
        <v>0.12083104445810915</v>
      </c>
      <c r="P358">
        <v>1.5341285194893094E-2</v>
      </c>
      <c r="Q358">
        <v>8.6702950254769894E-4</v>
      </c>
      <c r="R358">
        <v>1.6690320818877674E-3</v>
      </c>
      <c r="S358">
        <v>0.12041296697824662</v>
      </c>
      <c r="T358">
        <v>0.82801226788231896</v>
      </c>
      <c r="U358">
        <v>0</v>
      </c>
      <c r="V358">
        <v>0.20502702795741001</v>
      </c>
      <c r="W358">
        <v>9.3392421178113874E-2</v>
      </c>
      <c r="X358">
        <v>2.6355601017041659E-2</v>
      </c>
      <c r="Y358">
        <v>4.5425551306205771E-3</v>
      </c>
    </row>
    <row r="359" spans="1:25" x14ac:dyDescent="0.25">
      <c r="A359" s="1098"/>
      <c r="B359" s="1457">
        <v>109</v>
      </c>
      <c r="C359" s="1102">
        <v>0.99509183984339833</v>
      </c>
      <c r="D359" s="1102">
        <v>0.97660469386884297</v>
      </c>
      <c r="E359" s="1102">
        <v>0.99165034725609069</v>
      </c>
      <c r="F359" s="1102">
        <v>0.99633314652709104</v>
      </c>
      <c r="G359" s="1102">
        <v>0.99924503236888629</v>
      </c>
      <c r="H359" s="1102">
        <v>0.98080038056427921</v>
      </c>
      <c r="I359" s="1102">
        <v>0.99597333961230983</v>
      </c>
      <c r="K359">
        <v>1.5558677929855202</v>
      </c>
      <c r="L359">
        <v>0</v>
      </c>
      <c r="M359">
        <v>1.5848452249602009E-3</v>
      </c>
      <c r="N359">
        <v>0.14219252707869182</v>
      </c>
      <c r="O359">
        <v>0.12243640875767405</v>
      </c>
      <c r="P359">
        <v>1.5569166516767569E-2</v>
      </c>
      <c r="Q359">
        <v>9.0394562322643852E-4</v>
      </c>
      <c r="R359">
        <v>1.5811839731246216E-3</v>
      </c>
      <c r="S359">
        <v>0.11971954376319882</v>
      </c>
      <c r="T359">
        <v>0.82277378360079834</v>
      </c>
      <c r="U359">
        <v>0</v>
      </c>
      <c r="V359">
        <v>0.20650766125648384</v>
      </c>
      <c r="W359">
        <v>9.3877074366976926E-2</v>
      </c>
      <c r="X359">
        <v>2.7587881735848491E-2</v>
      </c>
      <c r="Y359">
        <v>4.3034615376885644E-3</v>
      </c>
    </row>
    <row r="360" spans="1:25" x14ac:dyDescent="0.25">
      <c r="A360" s="1098"/>
      <c r="B360" s="1457">
        <v>110</v>
      </c>
      <c r="C360" s="1102">
        <v>1.0429478703807151</v>
      </c>
      <c r="D360" s="1102">
        <v>0.9937172597070637</v>
      </c>
      <c r="E360" s="1102">
        <v>1.0107746931205983</v>
      </c>
      <c r="F360" s="1102">
        <v>1.0008936198909499</v>
      </c>
      <c r="G360" s="1102">
        <v>0.99911133498135807</v>
      </c>
      <c r="H360" s="1102">
        <v>1.0152447487554437</v>
      </c>
      <c r="I360" s="1102">
        <v>1.0107119654405636</v>
      </c>
      <c r="K360">
        <v>1.548272387872597</v>
      </c>
      <c r="L360">
        <v>0</v>
      </c>
      <c r="M360">
        <v>1.4952643566758638E-3</v>
      </c>
      <c r="N360">
        <v>0.14214567658171415</v>
      </c>
      <c r="O360">
        <v>0.11954440802849378</v>
      </c>
      <c r="P360">
        <v>1.5742188605394117E-2</v>
      </c>
      <c r="Q360">
        <v>8.7363703889446667E-4</v>
      </c>
      <c r="R360">
        <v>1.4919302383182911E-3</v>
      </c>
      <c r="S360">
        <v>0.11770663000316678</v>
      </c>
      <c r="T360">
        <v>0.82527697687954382</v>
      </c>
      <c r="U360">
        <v>0</v>
      </c>
      <c r="V360">
        <v>0.20233953832486742</v>
      </c>
      <c r="W360">
        <v>9.2786480187745699E-2</v>
      </c>
      <c r="X360">
        <v>2.7799644047101512E-2</v>
      </c>
      <c r="Y360">
        <v>4.0605422940315035E-3</v>
      </c>
    </row>
    <row r="361" spans="1:25" x14ac:dyDescent="0.25">
      <c r="A361" s="1098"/>
      <c r="B361" s="1457">
        <v>111</v>
      </c>
      <c r="C361" s="1102">
        <v>0.97156271877784728</v>
      </c>
      <c r="D361" s="1102">
        <v>1.0154176643237625</v>
      </c>
      <c r="E361" s="1102">
        <v>0.96543299365073543</v>
      </c>
      <c r="F361" s="1102">
        <v>0.99643868182272999</v>
      </c>
      <c r="G361" s="1102">
        <v>1.0077593752197902</v>
      </c>
      <c r="H361" s="1102">
        <v>1.0361140316958439</v>
      </c>
      <c r="I361" s="1102">
        <v>0.99578820672324608</v>
      </c>
      <c r="K361">
        <v>1.5707372207032295</v>
      </c>
      <c r="L361">
        <v>0</v>
      </c>
      <c r="M361">
        <v>1.7677217484973887E-3</v>
      </c>
      <c r="N361">
        <v>0.14651957144710495</v>
      </c>
      <c r="O361">
        <v>0.12202625080111378</v>
      </c>
      <c r="P361">
        <v>1.5359215108239E-2</v>
      </c>
      <c r="Q361">
        <v>8.8679426464365746E-4</v>
      </c>
      <c r="R361">
        <v>1.7638242150488999E-3</v>
      </c>
      <c r="S361">
        <v>0.12403270238964353</v>
      </c>
      <c r="T361">
        <v>0.82460357331805079</v>
      </c>
      <c r="U361">
        <v>0</v>
      </c>
      <c r="V361">
        <v>0.20771652808979277</v>
      </c>
      <c r="W361">
        <v>9.8279216461968175E-2</v>
      </c>
      <c r="X361">
        <v>2.6516718287253067E-2</v>
      </c>
      <c r="Y361">
        <v>4.80054806886688E-3</v>
      </c>
    </row>
    <row r="362" spans="1:25" x14ac:dyDescent="0.25">
      <c r="A362" s="1098"/>
      <c r="B362" s="1457">
        <v>112</v>
      </c>
      <c r="C362" s="1102">
        <v>0.99870762322165196</v>
      </c>
      <c r="D362" s="1102">
        <v>0.99683866569707824</v>
      </c>
      <c r="E362" s="1102">
        <v>0.9582604798056612</v>
      </c>
      <c r="F362" s="1102">
        <v>0.99233755462429774</v>
      </c>
      <c r="G362" s="1102">
        <v>1.0194448499538216</v>
      </c>
      <c r="H362" s="1102">
        <v>0.95774769569478491</v>
      </c>
      <c r="I362" s="1102">
        <v>0.98776324761770318</v>
      </c>
      <c r="K362">
        <v>1.5321031445201785</v>
      </c>
      <c r="L362">
        <v>0</v>
      </c>
      <c r="M362">
        <v>1.6330141459970585E-3</v>
      </c>
      <c r="N362">
        <v>0.13242214109218667</v>
      </c>
      <c r="O362">
        <v>0.12115748243416845</v>
      </c>
      <c r="P362">
        <v>1.5096545320789679E-2</v>
      </c>
      <c r="Q362">
        <v>8.6251566306363883E-4</v>
      </c>
      <c r="R362">
        <v>1.6291375326112382E-3</v>
      </c>
      <c r="S362">
        <v>0.11499025168102157</v>
      </c>
      <c r="T362">
        <v>0.82168829734997506</v>
      </c>
      <c r="U362">
        <v>0</v>
      </c>
      <c r="V362">
        <v>0.20622634460188027</v>
      </c>
      <c r="W362">
        <v>8.9214380201467602E-2</v>
      </c>
      <c r="X362">
        <v>2.6015087470284436E-2</v>
      </c>
      <c r="Y362">
        <v>4.4339753187244979E-3</v>
      </c>
    </row>
    <row r="363" spans="1:25" x14ac:dyDescent="0.25">
      <c r="A363" s="1098"/>
      <c r="B363" s="1457">
        <v>113</v>
      </c>
      <c r="C363" s="1102">
        <v>1.0445046649834313</v>
      </c>
      <c r="D363" s="1102">
        <v>0.98438050060438731</v>
      </c>
      <c r="E363" s="1102">
        <v>0.99001389348501756</v>
      </c>
      <c r="F363" s="1102">
        <v>1.0132856807272554</v>
      </c>
      <c r="G363" s="1102">
        <v>0.98985399177496913</v>
      </c>
      <c r="H363" s="1102">
        <v>1.019207998295067</v>
      </c>
      <c r="I363" s="1102">
        <v>1.0082335082947975</v>
      </c>
      <c r="K363">
        <v>1.5602102815346846</v>
      </c>
      <c r="L363">
        <v>0</v>
      </c>
      <c r="M363">
        <v>1.5748784329751985E-3</v>
      </c>
      <c r="N363">
        <v>0.14061434161763153</v>
      </c>
      <c r="O363">
        <v>0.12079453328338914</v>
      </c>
      <c r="P363">
        <v>1.566920233298447E-2</v>
      </c>
      <c r="Q363">
        <v>8.5699233333421992E-4</v>
      </c>
      <c r="R363">
        <v>1.5713896270525762E-3</v>
      </c>
      <c r="S363">
        <v>0.11825589857588821</v>
      </c>
      <c r="T363">
        <v>0.83688317323164052</v>
      </c>
      <c r="U363">
        <v>0</v>
      </c>
      <c r="V363">
        <v>0.20267901135979036</v>
      </c>
      <c r="W363">
        <v>9.2926133181565174E-2</v>
      </c>
      <c r="X363">
        <v>2.7257679867997629E-2</v>
      </c>
      <c r="Y363">
        <v>4.276804556385772E-3</v>
      </c>
    </row>
    <row r="364" spans="1:25" x14ac:dyDescent="0.25">
      <c r="A364" s="1098"/>
      <c r="B364" s="1457">
        <v>114</v>
      </c>
      <c r="C364" s="1102">
        <v>1.0067314749456344</v>
      </c>
      <c r="D364" s="1102">
        <v>0.99891937718585289</v>
      </c>
      <c r="E364" s="1102">
        <v>0.98580120051874476</v>
      </c>
      <c r="F364" s="1102">
        <v>1.0360661799886886</v>
      </c>
      <c r="G364" s="1102">
        <v>0.99634899618497108</v>
      </c>
      <c r="H364" s="1102">
        <v>0.99050895048953214</v>
      </c>
      <c r="I364" s="1102">
        <v>0.97017377704806906</v>
      </c>
      <c r="K364">
        <v>1.582441781793221</v>
      </c>
      <c r="L364">
        <v>0</v>
      </c>
      <c r="M364">
        <v>1.587000255314337E-3</v>
      </c>
      <c r="N364">
        <v>0.13989294843961156</v>
      </c>
      <c r="O364">
        <v>0.12362760633907149</v>
      </c>
      <c r="P364">
        <v>1.5884750928736077E-2</v>
      </c>
      <c r="Q364">
        <v>8.8007064140513619E-4</v>
      </c>
      <c r="R364">
        <v>1.5833701899772754E-3</v>
      </c>
      <c r="S364">
        <v>0.11474559943911479</v>
      </c>
      <c r="T364">
        <v>0.85598765509047137</v>
      </c>
      <c r="U364">
        <v>0</v>
      </c>
      <c r="V364">
        <v>0.20675585838181246</v>
      </c>
      <c r="W364">
        <v>9.2683387756706162E-2</v>
      </c>
      <c r="X364">
        <v>2.7678123142354349E-2</v>
      </c>
      <c r="Y364">
        <v>4.3094116992752982E-3</v>
      </c>
    </row>
    <row r="365" spans="1:25" x14ac:dyDescent="0.25">
      <c r="A365" s="1098"/>
      <c r="B365" s="1457">
        <v>115</v>
      </c>
      <c r="C365" s="1102">
        <v>0.98485848927323816</v>
      </c>
      <c r="D365" s="1102">
        <v>0.9589322007208585</v>
      </c>
      <c r="E365" s="1102">
        <v>1.0358188160476254</v>
      </c>
      <c r="F365" s="1102">
        <v>1.0388263166630061</v>
      </c>
      <c r="G365" s="1102">
        <v>0.99982378642037362</v>
      </c>
      <c r="H365" s="1102">
        <v>0.97378727075897464</v>
      </c>
      <c r="I365" s="1102">
        <v>1.0341380897620882</v>
      </c>
      <c r="K365">
        <v>1.6180148420653222</v>
      </c>
      <c r="L365">
        <v>0</v>
      </c>
      <c r="M365">
        <v>1.4691487824258038E-3</v>
      </c>
      <c r="N365">
        <v>0.15060833991592634</v>
      </c>
      <c r="O365">
        <v>0.12668536037367698</v>
      </c>
      <c r="P365">
        <v>1.668420909717535E-2</v>
      </c>
      <c r="Q365">
        <v>9.6282660019678503E-4</v>
      </c>
      <c r="R365">
        <v>1.4657492572449956E-3</v>
      </c>
      <c r="S365">
        <v>0.12667748558940392</v>
      </c>
      <c r="T365">
        <v>0.85485613907270419</v>
      </c>
      <c r="U365">
        <v>0</v>
      </c>
      <c r="V365">
        <v>0.21029162479677679</v>
      </c>
      <c r="W365">
        <v>9.6884223201374797E-2</v>
      </c>
      <c r="X365">
        <v>3.0378746649160869E-2</v>
      </c>
      <c r="Y365">
        <v>3.9892862941080858E-3</v>
      </c>
    </row>
    <row r="366" spans="1:25" x14ac:dyDescent="0.25">
      <c r="A366" s="1098"/>
      <c r="B366" s="1457">
        <v>116</v>
      </c>
      <c r="C366" s="1102">
        <v>1.0015845013245752</v>
      </c>
      <c r="D366" s="1102">
        <v>1.0306347321583647</v>
      </c>
      <c r="E366" s="1102">
        <v>1.0049305619694908</v>
      </c>
      <c r="F366" s="1102">
        <v>0.99987417569895243</v>
      </c>
      <c r="G366" s="1102">
        <v>0.97312043007364746</v>
      </c>
      <c r="H366" s="1102">
        <v>1.0095049541988228</v>
      </c>
      <c r="I366" s="1102">
        <v>1.003204255276738</v>
      </c>
      <c r="K366">
        <v>1.5514507597571079</v>
      </c>
      <c r="L366">
        <v>0</v>
      </c>
      <c r="M366">
        <v>1.5304371893563968E-3</v>
      </c>
      <c r="N366">
        <v>0.14293977727954368</v>
      </c>
      <c r="O366">
        <v>0.11994893056502159</v>
      </c>
      <c r="P366">
        <v>1.5690770617311365E-2</v>
      </c>
      <c r="Q366">
        <v>8.9114577773543419E-4</v>
      </c>
      <c r="R366">
        <v>1.526973887322095E-3</v>
      </c>
      <c r="S366">
        <v>0.11834039106252188</v>
      </c>
      <c r="T366">
        <v>0.82482066836406254</v>
      </c>
      <c r="U366">
        <v>0</v>
      </c>
      <c r="V366">
        <v>0.2033761272302976</v>
      </c>
      <c r="W366">
        <v>9.3627477848719137E-2</v>
      </c>
      <c r="X366">
        <v>2.7663014759443879E-2</v>
      </c>
      <c r="Y366">
        <v>4.1559195544840681E-3</v>
      </c>
    </row>
    <row r="367" spans="1:25" x14ac:dyDescent="0.25">
      <c r="A367" s="1098"/>
      <c r="B367" s="1457">
        <v>117</v>
      </c>
      <c r="C367" s="1102">
        <v>1.0163762704783552</v>
      </c>
      <c r="D367" s="1102">
        <v>1.0254318180448376</v>
      </c>
      <c r="E367" s="1102">
        <v>1.0167361910010735</v>
      </c>
      <c r="F367" s="1102">
        <v>1.0120057899587682</v>
      </c>
      <c r="G367" s="1102">
        <v>1.0101792219620784</v>
      </c>
      <c r="H367" s="1102">
        <v>0.99444753693205323</v>
      </c>
      <c r="I367" s="1102">
        <v>1.0118337103084289</v>
      </c>
      <c r="K367">
        <v>1.5575340471550299</v>
      </c>
      <c r="L367">
        <v>0</v>
      </c>
      <c r="M367">
        <v>1.4566230145590423E-3</v>
      </c>
      <c r="N367">
        <v>0.14097769894064091</v>
      </c>
      <c r="O367">
        <v>0.1202295544972634</v>
      </c>
      <c r="P367">
        <v>1.5953907330772621E-2</v>
      </c>
      <c r="Q367">
        <v>8.9073047983867124E-4</v>
      </c>
      <c r="R367">
        <v>1.4532860647206386E-3</v>
      </c>
      <c r="S367">
        <v>0.11697591344974197</v>
      </c>
      <c r="T367">
        <v>0.83404382079118677</v>
      </c>
      <c r="U367">
        <v>0</v>
      </c>
      <c r="V367">
        <v>0.20461653362956728</v>
      </c>
      <c r="W367">
        <v>9.1702097998048168E-2</v>
      </c>
      <c r="X367">
        <v>2.8191761395259942E-2</v>
      </c>
      <c r="Y367">
        <v>3.9553655925470971E-3</v>
      </c>
    </row>
    <row r="368" spans="1:25" x14ac:dyDescent="0.25">
      <c r="A368" s="1098"/>
      <c r="B368" s="1457">
        <v>118</v>
      </c>
      <c r="C368" s="1102">
        <v>1.0291890294905459</v>
      </c>
      <c r="D368" s="1102">
        <v>0.99030283202050406</v>
      </c>
      <c r="E368" s="1102">
        <v>1.0166170375552686</v>
      </c>
      <c r="F368" s="1102">
        <v>1.0173105596904382</v>
      </c>
      <c r="G368" s="1102">
        <v>0.97542451291246546</v>
      </c>
      <c r="H368" s="1102">
        <v>0.95760957069379471</v>
      </c>
      <c r="I368" s="1102">
        <v>0.95844520300094382</v>
      </c>
      <c r="K368">
        <v>1.5472285513965103</v>
      </c>
      <c r="L368">
        <v>0</v>
      </c>
      <c r="M368">
        <v>1.4151232101528371E-3</v>
      </c>
      <c r="N368">
        <v>0.13690219162245737</v>
      </c>
      <c r="O368">
        <v>0.12148485561462684</v>
      </c>
      <c r="P368">
        <v>1.5885952092841171E-2</v>
      </c>
      <c r="Q368">
        <v>8.91883256261499E-4</v>
      </c>
      <c r="R368">
        <v>1.41178070435225E-3</v>
      </c>
      <c r="S368">
        <v>0.10908155150226657</v>
      </c>
      <c r="T368">
        <v>0.83842367948303997</v>
      </c>
      <c r="U368">
        <v>0</v>
      </c>
      <c r="V368">
        <v>0.20331800462827065</v>
      </c>
      <c r="W368">
        <v>8.9057317407123915E-2</v>
      </c>
      <c r="X368">
        <v>2.8344056611559722E-2</v>
      </c>
      <c r="Y368">
        <v>3.8424016838627104E-3</v>
      </c>
    </row>
    <row r="369" spans="1:25" x14ac:dyDescent="0.25">
      <c r="A369" s="1098"/>
      <c r="B369" s="1457">
        <v>119</v>
      </c>
      <c r="C369" s="1102">
        <v>0.96145327315685036</v>
      </c>
      <c r="D369" s="1102">
        <v>1.0215790372031679</v>
      </c>
      <c r="E369" s="1102">
        <v>0.96805578800202396</v>
      </c>
      <c r="F369" s="1102">
        <v>0.9551586031641307</v>
      </c>
      <c r="G369" s="1102">
        <v>1.0170321709647485</v>
      </c>
      <c r="H369" s="1102">
        <v>0.97937473632427863</v>
      </c>
      <c r="I369" s="1102">
        <v>0.992493534060092</v>
      </c>
      <c r="K369">
        <v>1.5146429111874897</v>
      </c>
      <c r="L369">
        <v>0</v>
      </c>
      <c r="M369">
        <v>1.6668573965540822E-3</v>
      </c>
      <c r="N369">
        <v>0.13924166741343783</v>
      </c>
      <c r="O369">
        <v>0.1193458411455726</v>
      </c>
      <c r="P369">
        <v>1.4860606053334507E-2</v>
      </c>
      <c r="Q369">
        <v>8.9643091636874568E-4</v>
      </c>
      <c r="R369">
        <v>1.6629496058791896E-3</v>
      </c>
      <c r="S369">
        <v>0.11958430938169037</v>
      </c>
      <c r="T369">
        <v>0.79027414903381599</v>
      </c>
      <c r="U369">
        <v>0</v>
      </c>
      <c r="V369">
        <v>0.20669302257391994</v>
      </c>
      <c r="W369">
        <v>9.324814315760406E-2</v>
      </c>
      <c r="X369">
        <v>2.5976648666406629E-2</v>
      </c>
      <c r="Y369">
        <v>4.526000636012906E-3</v>
      </c>
    </row>
    <row r="370" spans="1:25" x14ac:dyDescent="0.25">
      <c r="A370" s="1098"/>
      <c r="B370" s="1457">
        <v>120</v>
      </c>
      <c r="C370" s="1102">
        <v>0.98971836877922681</v>
      </c>
      <c r="D370" s="1102">
        <v>1.0006996117067817</v>
      </c>
      <c r="E370" s="1102">
        <v>1.0238407233277682</v>
      </c>
      <c r="F370" s="1102">
        <v>1.0194809460553136</v>
      </c>
      <c r="G370" s="1102">
        <v>0.98144469011338997</v>
      </c>
      <c r="H370" s="1102">
        <v>1.0077778449143238</v>
      </c>
      <c r="I370" s="1102">
        <v>0.98789835020680039</v>
      </c>
      <c r="K370">
        <v>1.5863673778492204</v>
      </c>
      <c r="L370">
        <v>0</v>
      </c>
      <c r="M370">
        <v>1.5124965099285413E-3</v>
      </c>
      <c r="N370">
        <v>0.14956208254128533</v>
      </c>
      <c r="O370">
        <v>0.123170972990684</v>
      </c>
      <c r="P370">
        <v>1.6186561367267083E-2</v>
      </c>
      <c r="Q370">
        <v>9.3045451581900518E-4</v>
      </c>
      <c r="R370">
        <v>1.509086829234345E-3</v>
      </c>
      <c r="S370">
        <v>0.11997291385197885</v>
      </c>
      <c r="T370">
        <v>0.83973107757100696</v>
      </c>
      <c r="U370">
        <v>0</v>
      </c>
      <c r="V370">
        <v>0.20668989923772083</v>
      </c>
      <c r="W370">
        <v>9.6882560203338783E-2</v>
      </c>
      <c r="X370">
        <v>2.9137028371977191E-2</v>
      </c>
      <c r="Y370">
        <v>4.1072368788363286E-3</v>
      </c>
    </row>
    <row r="371" spans="1:25" x14ac:dyDescent="0.25">
      <c r="A371" s="1098"/>
      <c r="B371" s="1457">
        <v>121</v>
      </c>
      <c r="C371" s="1102">
        <v>1.0139459629807313</v>
      </c>
      <c r="D371" s="1102">
        <v>1.0142818860923157</v>
      </c>
      <c r="E371" s="1102">
        <v>1.0112217555817513</v>
      </c>
      <c r="F371" s="1102">
        <v>1.0034445937162397</v>
      </c>
      <c r="G371" s="1102">
        <v>0.97381802918800231</v>
      </c>
      <c r="H371" s="1102">
        <v>1.0167108731903187</v>
      </c>
      <c r="I371" s="1102">
        <v>0.98205293661400372</v>
      </c>
      <c r="K371">
        <v>1.5544193089743059</v>
      </c>
      <c r="L371">
        <v>0</v>
      </c>
      <c r="M371">
        <v>1.5182298662573465E-3</v>
      </c>
      <c r="N371">
        <v>0.14452254111486715</v>
      </c>
      <c r="O371">
        <v>0.12025328444156569</v>
      </c>
      <c r="P371">
        <v>1.5764675388080612E-2</v>
      </c>
      <c r="Q371">
        <v>8.917038118201354E-4</v>
      </c>
      <c r="R371">
        <v>1.5148315245453198E-3</v>
      </c>
      <c r="S371">
        <v>0.11617969258171255</v>
      </c>
      <c r="T371">
        <v>0.82735090253644838</v>
      </c>
      <c r="U371">
        <v>0</v>
      </c>
      <c r="V371">
        <v>0.2030505024343226</v>
      </c>
      <c r="W371">
        <v>9.4313146637256207E-2</v>
      </c>
      <c r="X371">
        <v>2.7973386324210064E-2</v>
      </c>
      <c r="Y371">
        <v>4.1228720457345009E-3</v>
      </c>
    </row>
    <row r="372" spans="1:25" x14ac:dyDescent="0.25">
      <c r="A372" s="1098"/>
      <c r="B372" s="1457">
        <v>122</v>
      </c>
      <c r="C372" s="1102">
        <v>0.99282869852058298</v>
      </c>
      <c r="D372" s="1102">
        <v>0.99336735574262702</v>
      </c>
      <c r="E372" s="1102">
        <v>0.975481055376058</v>
      </c>
      <c r="F372" s="1102">
        <v>0.99919029783614699</v>
      </c>
      <c r="G372" s="1102">
        <v>0.97731844982894334</v>
      </c>
      <c r="H372" s="1102">
        <v>0.98670998088519213</v>
      </c>
      <c r="I372" s="1102">
        <v>1.0020650600948331</v>
      </c>
      <c r="K372">
        <v>1.5542031256104092</v>
      </c>
      <c r="L372">
        <v>0</v>
      </c>
      <c r="M372">
        <v>1.6366541627377514E-3</v>
      </c>
      <c r="N372">
        <v>0.13983270807522263</v>
      </c>
      <c r="O372">
        <v>0.12204707436993843</v>
      </c>
      <c r="P372">
        <v>1.541270314772929E-2</v>
      </c>
      <c r="Q372">
        <v>8.8476885678546069E-4</v>
      </c>
      <c r="R372">
        <v>1.6328854702236716E-3</v>
      </c>
      <c r="S372">
        <v>0.11995388746352775</v>
      </c>
      <c r="T372">
        <v>0.82620833077132549</v>
      </c>
      <c r="U372">
        <v>0</v>
      </c>
      <c r="V372">
        <v>0.20531611513601086</v>
      </c>
      <c r="W372">
        <v>9.3222298044201735E-2</v>
      </c>
      <c r="X372">
        <v>2.6884832468783284E-2</v>
      </c>
      <c r="Y372">
        <v>4.4441759693982404E-3</v>
      </c>
    </row>
    <row r="373" spans="1:25" x14ac:dyDescent="0.25">
      <c r="A373" s="1098"/>
      <c r="B373" s="1457">
        <v>123</v>
      </c>
      <c r="C373" s="1102">
        <v>0.96702755612014135</v>
      </c>
      <c r="D373" s="1102">
        <v>1.0220231831965247</v>
      </c>
      <c r="E373" s="1102">
        <v>1.0082414677398608</v>
      </c>
      <c r="F373" s="1102">
        <v>1.0163519485824184</v>
      </c>
      <c r="G373" s="1102">
        <v>0.97841200532918715</v>
      </c>
      <c r="H373" s="1102">
        <v>0.99751386542001785</v>
      </c>
      <c r="I373" s="1102">
        <v>0.99855176551568836</v>
      </c>
      <c r="K373">
        <v>1.5839300887618561</v>
      </c>
      <c r="L373">
        <v>0</v>
      </c>
      <c r="M373">
        <v>1.5609615423280742E-3</v>
      </c>
      <c r="N373">
        <v>0.14725165588714914</v>
      </c>
      <c r="O373">
        <v>0.12326396835936522</v>
      </c>
      <c r="P373">
        <v>1.601637533432268E-2</v>
      </c>
      <c r="Q373">
        <v>9.2926744584485464E-4</v>
      </c>
      <c r="R373">
        <v>1.5573870775098591E-3</v>
      </c>
      <c r="S373">
        <v>0.12154549924809616</v>
      </c>
      <c r="T373">
        <v>0.83819216181442613</v>
      </c>
      <c r="U373">
        <v>0</v>
      </c>
      <c r="V373">
        <v>0.20771714307799169</v>
      </c>
      <c r="W373">
        <v>9.6263184748390337E-2</v>
      </c>
      <c r="X373">
        <v>2.8515713078615553E-2</v>
      </c>
      <c r="Y373">
        <v>4.2386942324697131E-3</v>
      </c>
    </row>
    <row r="374" spans="1:25" x14ac:dyDescent="0.25">
      <c r="A374" s="1098"/>
      <c r="B374" s="1457">
        <v>124</v>
      </c>
      <c r="C374" s="1102">
        <v>0.95876208510371375</v>
      </c>
      <c r="D374" s="1102">
        <v>1.0037318520117693</v>
      </c>
      <c r="E374" s="1102">
        <v>1.0063403209731003</v>
      </c>
      <c r="F374" s="1102">
        <v>1.0003376663654457</v>
      </c>
      <c r="G374" s="1102">
        <v>0.96181453398920114</v>
      </c>
      <c r="H374" s="1102">
        <v>1.0106067262828697</v>
      </c>
      <c r="I374" s="1102">
        <v>1.0151196245423595</v>
      </c>
      <c r="K374">
        <v>1.5831033767050209</v>
      </c>
      <c r="L374">
        <v>0</v>
      </c>
      <c r="M374">
        <v>1.614791938781966E-3</v>
      </c>
      <c r="N374">
        <v>0.15146259930106104</v>
      </c>
      <c r="O374">
        <v>0.12339498524215423</v>
      </c>
      <c r="P374">
        <v>1.5884229298589223E-2</v>
      </c>
      <c r="Q374">
        <v>9.4222192967073843E-4</v>
      </c>
      <c r="R374">
        <v>1.6111461555973986E-3</v>
      </c>
      <c r="S374">
        <v>0.12690891291192341</v>
      </c>
      <c r="T374">
        <v>0.82511017448693336</v>
      </c>
      <c r="U374">
        <v>0</v>
      </c>
      <c r="V374">
        <v>0.20742864010838583</v>
      </c>
      <c r="W374">
        <v>9.9127317826394279E-2</v>
      </c>
      <c r="X374">
        <v>2.8462932661743042E-2</v>
      </c>
      <c r="Y374">
        <v>4.3850087213486676E-3</v>
      </c>
    </row>
    <row r="375" spans="1:25" x14ac:dyDescent="0.25">
      <c r="A375" s="1098"/>
      <c r="B375" s="1457">
        <v>125</v>
      </c>
      <c r="C375" s="1102">
        <v>0.96279949724357994</v>
      </c>
      <c r="D375" s="1102">
        <v>0.99770281856586274</v>
      </c>
      <c r="E375" s="1102">
        <v>1.023063259403487</v>
      </c>
      <c r="F375" s="1102">
        <v>1.0018131965006576</v>
      </c>
      <c r="G375" s="1102">
        <v>1.0250667597688796</v>
      </c>
      <c r="H375" s="1102">
        <v>1.0167358917549236</v>
      </c>
      <c r="I375" s="1102">
        <v>1.0115757568850263</v>
      </c>
      <c r="K375">
        <v>1.5914654770129786</v>
      </c>
      <c r="L375">
        <v>0</v>
      </c>
      <c r="M375">
        <v>1.5684815867440052E-3</v>
      </c>
      <c r="N375">
        <v>0.15473694461872939</v>
      </c>
      <c r="O375">
        <v>0.12350103318696344</v>
      </c>
      <c r="P375">
        <v>1.6122175597728741E-2</v>
      </c>
      <c r="Q375">
        <v>9.5685514010515355E-4</v>
      </c>
      <c r="R375">
        <v>1.5649666833227158E-3</v>
      </c>
      <c r="S375">
        <v>0.12696777155542971</v>
      </c>
      <c r="T375">
        <v>0.82522924514386098</v>
      </c>
      <c r="U375">
        <v>0</v>
      </c>
      <c r="V375">
        <v>0.2102054517283958</v>
      </c>
      <c r="W375">
        <v>0.1002801851703904</v>
      </c>
      <c r="X375">
        <v>2.921000635391828E-2</v>
      </c>
      <c r="Y375">
        <v>4.259323420875925E-3</v>
      </c>
    </row>
    <row r="376" spans="1:25" x14ac:dyDescent="0.25">
      <c r="A376" s="1098"/>
      <c r="B376" s="1457">
        <v>126</v>
      </c>
      <c r="C376" s="1102">
        <v>1.0004610094823876</v>
      </c>
      <c r="D376" s="1102">
        <v>1.0099208596765354</v>
      </c>
      <c r="E376" s="1102">
        <v>0.99220565674631922</v>
      </c>
      <c r="F376" s="1102">
        <v>0.98211144271762674</v>
      </c>
      <c r="G376" s="1102">
        <v>0.99187651441700908</v>
      </c>
      <c r="H376" s="1102">
        <v>0.99357644358425878</v>
      </c>
      <c r="I376" s="1102">
        <v>1.0010433395937173</v>
      </c>
      <c r="K376">
        <v>1.5337836018540738</v>
      </c>
      <c r="L376">
        <v>0</v>
      </c>
      <c r="M376">
        <v>1.563970232280719E-3</v>
      </c>
      <c r="N376">
        <v>0.14055754320022601</v>
      </c>
      <c r="O376">
        <v>0.11968589799505076</v>
      </c>
      <c r="P376">
        <v>1.5361942323889353E-2</v>
      </c>
      <c r="Q376">
        <v>8.8762395041479323E-4</v>
      </c>
      <c r="R376">
        <v>1.5603812975569947E-3</v>
      </c>
      <c r="S376">
        <v>0.11826498778053425</v>
      </c>
      <c r="T376">
        <v>0.81099332926423928</v>
      </c>
      <c r="U376">
        <v>0</v>
      </c>
      <c r="V376">
        <v>0.20397572830571084</v>
      </c>
      <c r="W376">
        <v>9.2766821688149328E-2</v>
      </c>
      <c r="X376">
        <v>2.7046472768186908E-2</v>
      </c>
      <c r="Y376">
        <v>4.2468435123936433E-3</v>
      </c>
    </row>
    <row r="377" spans="1:25" x14ac:dyDescent="0.25">
      <c r="A377" s="1098"/>
      <c r="B377" s="1457">
        <v>127</v>
      </c>
      <c r="C377" s="1102">
        <v>0.98660433101556422</v>
      </c>
      <c r="D377" s="1102">
        <v>0.9856750845220259</v>
      </c>
      <c r="E377" s="1102">
        <v>0.98827682527257177</v>
      </c>
      <c r="F377" s="1102">
        <v>0.9858947808688503</v>
      </c>
      <c r="G377" s="1102">
        <v>1.0385176907943847</v>
      </c>
      <c r="H377" s="1102">
        <v>0.98659440181785807</v>
      </c>
      <c r="I377" s="1102">
        <v>1.0058322496327394</v>
      </c>
      <c r="K377">
        <v>1.5512840532856527</v>
      </c>
      <c r="L377">
        <v>0</v>
      </c>
      <c r="M377">
        <v>1.6083794107981492E-3</v>
      </c>
      <c r="N377">
        <v>0.14284059988576508</v>
      </c>
      <c r="O377">
        <v>0.12173222530528237</v>
      </c>
      <c r="P377">
        <v>1.5464377914735239E-2</v>
      </c>
      <c r="Q377">
        <v>9.0516819311772768E-4</v>
      </c>
      <c r="R377">
        <v>1.6046744973462034E-3</v>
      </c>
      <c r="S377">
        <v>0.12162062899276535</v>
      </c>
      <c r="T377">
        <v>0.81437439805024647</v>
      </c>
      <c r="U377">
        <v>0</v>
      </c>
      <c r="V377">
        <v>0.20817163998654167</v>
      </c>
      <c r="W377">
        <v>9.4495722548022132E-2</v>
      </c>
      <c r="X377">
        <v>2.7315602321655925E-2</v>
      </c>
      <c r="Y377">
        <v>4.367395000970482E-3</v>
      </c>
    </row>
    <row r="378" spans="1:25" x14ac:dyDescent="0.25">
      <c r="A378" s="1098"/>
      <c r="B378" s="1457">
        <v>128</v>
      </c>
      <c r="C378" s="1102">
        <v>1.0322970422792785</v>
      </c>
      <c r="D378" s="1102">
        <v>1.0207579492857251</v>
      </c>
      <c r="E378" s="1102">
        <v>0.97228043864899683</v>
      </c>
      <c r="F378" s="1102">
        <v>0.97791702387529933</v>
      </c>
      <c r="G378" s="1102">
        <v>0.97213136060248939</v>
      </c>
      <c r="H378" s="1102">
        <v>0.9786036271680788</v>
      </c>
      <c r="I378" s="1102">
        <v>1.0000760758784637</v>
      </c>
      <c r="K378">
        <v>1.5034021763375145</v>
      </c>
      <c r="L378">
        <v>0</v>
      </c>
      <c r="M378">
        <v>1.5493399928225831E-3</v>
      </c>
      <c r="N378">
        <v>0.13109294512765571</v>
      </c>
      <c r="O378">
        <v>0.1174190680023668</v>
      </c>
      <c r="P378">
        <v>1.4974818647895934E-2</v>
      </c>
      <c r="Q378">
        <v>8.3890517952868774E-4</v>
      </c>
      <c r="R378">
        <v>1.5457308288573705E-3</v>
      </c>
      <c r="S378">
        <v>0.11275298577664737</v>
      </c>
      <c r="T378">
        <v>0.80882718916509844</v>
      </c>
      <c r="U378">
        <v>0</v>
      </c>
      <c r="V378">
        <v>0.19993011652898135</v>
      </c>
      <c r="W378">
        <v>8.7565646972052533E-2</v>
      </c>
      <c r="X378">
        <v>2.5797140335132977E-2</v>
      </c>
      <c r="Y378">
        <v>4.2069697661189735E-3</v>
      </c>
    </row>
    <row r="379" spans="1:25" x14ac:dyDescent="0.25">
      <c r="A379" s="1098"/>
      <c r="B379" s="1457">
        <v>129</v>
      </c>
      <c r="C379" s="1102">
        <v>0.99003954605018685</v>
      </c>
      <c r="D379" s="1102">
        <v>0.98610158984016139</v>
      </c>
      <c r="E379" s="1102">
        <v>0.99649677338316456</v>
      </c>
      <c r="F379" s="1102">
        <v>0.98589427648069461</v>
      </c>
      <c r="G379" s="1102">
        <v>0.98424934458999358</v>
      </c>
      <c r="H379" s="1102">
        <v>1.021500445022306</v>
      </c>
      <c r="I379" s="1102">
        <v>1.0234223068995125</v>
      </c>
      <c r="K379">
        <v>1.5618928173711979</v>
      </c>
      <c r="L379">
        <v>0</v>
      </c>
      <c r="M379">
        <v>1.6315232560645176E-3</v>
      </c>
      <c r="N379">
        <v>0.14855329473037401</v>
      </c>
      <c r="O379">
        <v>0.12151594132761527</v>
      </c>
      <c r="P379">
        <v>1.5578028368295291E-2</v>
      </c>
      <c r="Q379">
        <v>9.0962196215299172E-4</v>
      </c>
      <c r="R379">
        <v>1.6278941708557839E-3</v>
      </c>
      <c r="S379">
        <v>0.12620221882291915</v>
      </c>
      <c r="T379">
        <v>0.81383701127819208</v>
      </c>
      <c r="U379">
        <v>0</v>
      </c>
      <c r="V379">
        <v>0.20543351405051397</v>
      </c>
      <c r="W379">
        <v>9.7793103166756948E-2</v>
      </c>
      <c r="X379">
        <v>2.7643121451686656E-2</v>
      </c>
      <c r="Y379">
        <v>4.4305912979002438E-3</v>
      </c>
    </row>
    <row r="380" spans="1:25" x14ac:dyDescent="0.25">
      <c r="A380" s="1098"/>
      <c r="B380" s="1457">
        <v>130</v>
      </c>
      <c r="C380" s="1102">
        <v>0.98947810177534079</v>
      </c>
      <c r="D380" s="1102">
        <v>0.99809226047733735</v>
      </c>
      <c r="E380" s="1102">
        <v>1.0101305748837497</v>
      </c>
      <c r="F380" s="1102">
        <v>1.0108826032549401</v>
      </c>
      <c r="G380" s="1102">
        <v>0.99892128951397274</v>
      </c>
      <c r="H380" s="1102">
        <v>1.0228693332263843</v>
      </c>
      <c r="I380" s="1102">
        <v>1.0207088235655284</v>
      </c>
      <c r="K380">
        <v>1.5864692038167036</v>
      </c>
      <c r="L380">
        <v>0</v>
      </c>
      <c r="M380">
        <v>1.5812197794545758E-3</v>
      </c>
      <c r="N380">
        <v>0.15002615658547702</v>
      </c>
      <c r="O380">
        <v>0.12273794840674686</v>
      </c>
      <c r="P380">
        <v>1.6018821507050144E-2</v>
      </c>
      <c r="Q380">
        <v>9.1861997845170526E-4</v>
      </c>
      <c r="R380">
        <v>1.5777069628214321E-3</v>
      </c>
      <c r="S380">
        <v>0.1253342316132629</v>
      </c>
      <c r="T380">
        <v>0.83355605847944914</v>
      </c>
      <c r="U380">
        <v>0</v>
      </c>
      <c r="V380">
        <v>0.20710677350171247</v>
      </c>
      <c r="W380">
        <v>9.7967702717265084E-2</v>
      </c>
      <c r="X380">
        <v>2.8512405582081794E-2</v>
      </c>
      <c r="Y380">
        <v>4.2939982618394211E-3</v>
      </c>
    </row>
    <row r="381" spans="1:25" x14ac:dyDescent="0.25">
      <c r="A381" s="1098"/>
      <c r="B381" s="1457">
        <v>131</v>
      </c>
      <c r="C381" s="1102">
        <v>0.98878657861645158</v>
      </c>
      <c r="D381" s="1102">
        <v>0.99230003461950111</v>
      </c>
      <c r="E381" s="1102">
        <v>1.0142190995666118</v>
      </c>
      <c r="F381" s="1102">
        <v>1.0040657503611903</v>
      </c>
      <c r="G381" s="1102">
        <v>0.96390143392464112</v>
      </c>
      <c r="H381" s="1102">
        <v>0.98968829277922943</v>
      </c>
      <c r="I381" s="1102">
        <v>0.97050379907045725</v>
      </c>
      <c r="K381">
        <v>1.5635481214679361</v>
      </c>
      <c r="L381">
        <v>0</v>
      </c>
      <c r="M381">
        <v>1.5221777418212778E-3</v>
      </c>
      <c r="N381">
        <v>0.14620688767967471</v>
      </c>
      <c r="O381">
        <v>0.12254104853252566</v>
      </c>
      <c r="P381">
        <v>1.5848390524404399E-2</v>
      </c>
      <c r="Q381">
        <v>9.2529385104330971E-4</v>
      </c>
      <c r="R381">
        <v>1.5186840862664746E-3</v>
      </c>
      <c r="S381">
        <v>0.11703694716364861</v>
      </c>
      <c r="T381">
        <v>0.82766561828959218</v>
      </c>
      <c r="U381">
        <v>0</v>
      </c>
      <c r="V381">
        <v>0.20541692760355462</v>
      </c>
      <c r="W381">
        <v>9.52441963779731E-2</v>
      </c>
      <c r="X381">
        <v>2.8532947652330394E-2</v>
      </c>
      <c r="Y381">
        <v>4.1333574487428543E-3</v>
      </c>
    </row>
    <row r="382" spans="1:25" x14ac:dyDescent="0.25">
      <c r="A382" s="1098"/>
      <c r="B382" s="1457">
        <v>132</v>
      </c>
      <c r="C382" s="1102">
        <v>0.96674126304713714</v>
      </c>
      <c r="D382" s="1102">
        <v>0.99542281091918106</v>
      </c>
      <c r="E382" s="1102">
        <v>0.99330867106727494</v>
      </c>
      <c r="F382" s="1102">
        <v>0.99530696071660441</v>
      </c>
      <c r="G382" s="1102">
        <v>0.9928803813877769</v>
      </c>
      <c r="H382" s="1102">
        <v>0.98450003349010162</v>
      </c>
      <c r="I382" s="1102">
        <v>1.012736679450829</v>
      </c>
      <c r="K382">
        <v>1.5666873174401184</v>
      </c>
      <c r="L382">
        <v>0</v>
      </c>
      <c r="M382">
        <v>1.6107187282188655E-3</v>
      </c>
      <c r="N382">
        <v>0.14523960497029814</v>
      </c>
      <c r="O382">
        <v>0.12300620557586768</v>
      </c>
      <c r="P382">
        <v>1.5655110319492436E-2</v>
      </c>
      <c r="Q382">
        <v>9.2497375721020507E-4</v>
      </c>
      <c r="R382">
        <v>1.6069915957069583E-3</v>
      </c>
      <c r="S382">
        <v>0.12401295536346793</v>
      </c>
      <c r="T382">
        <v>0.82181699767951399</v>
      </c>
      <c r="U382">
        <v>0</v>
      </c>
      <c r="V382">
        <v>0.20806895179833801</v>
      </c>
      <c r="W382">
        <v>9.5793763063313969E-2</v>
      </c>
      <c r="X382">
        <v>2.7798780666248277E-2</v>
      </c>
      <c r="Y382">
        <v>4.3737013788771881E-3</v>
      </c>
    </row>
    <row r="383" spans="1:25" x14ac:dyDescent="0.25">
      <c r="A383" s="1098"/>
      <c r="B383" s="1457">
        <v>133</v>
      </c>
      <c r="C383" s="1102">
        <v>1.0156468349187149</v>
      </c>
      <c r="D383" s="1102">
        <v>1.022367377807712</v>
      </c>
      <c r="E383" s="1102">
        <v>0.96477833825667125</v>
      </c>
      <c r="F383" s="1102">
        <v>0.98253243678154134</v>
      </c>
      <c r="G383" s="1102">
        <v>0.98635625894504597</v>
      </c>
      <c r="H383" s="1102">
        <v>1.0075225282131752</v>
      </c>
      <c r="I383" s="1102">
        <v>0.98525130193139743</v>
      </c>
      <c r="K383">
        <v>1.5219095895875623</v>
      </c>
      <c r="L383">
        <v>0</v>
      </c>
      <c r="M383">
        <v>1.6437744398484283E-3</v>
      </c>
      <c r="N383">
        <v>0.13596795636505471</v>
      </c>
      <c r="O383">
        <v>0.11850392111763239</v>
      </c>
      <c r="P383">
        <v>1.5003384216019856E-2</v>
      </c>
      <c r="Q383">
        <v>8.4540683566914916E-4</v>
      </c>
      <c r="R383">
        <v>1.6400512125286826E-3</v>
      </c>
      <c r="S383">
        <v>0.11491728593624172</v>
      </c>
      <c r="T383">
        <v>0.81313863529816921</v>
      </c>
      <c r="U383">
        <v>0</v>
      </c>
      <c r="V383">
        <v>0.20208640285496077</v>
      </c>
      <c r="W383">
        <v>9.1238120953839111E-2</v>
      </c>
      <c r="X383">
        <v>2.5748520479527831E-2</v>
      </c>
      <c r="Y383">
        <v>4.4636787577661645E-3</v>
      </c>
    </row>
    <row r="384" spans="1:25" x14ac:dyDescent="0.25">
      <c r="A384" s="1098"/>
      <c r="B384" s="1457">
        <v>134</v>
      </c>
      <c r="C384" s="1102">
        <v>0.98946498038791453</v>
      </c>
      <c r="D384" s="1102">
        <v>1.0022920497041516</v>
      </c>
      <c r="E384" s="1102">
        <v>0.97246837533032326</v>
      </c>
      <c r="F384" s="1102">
        <v>0.99199112070609596</v>
      </c>
      <c r="G384" s="1102">
        <v>0.96365795291460554</v>
      </c>
      <c r="H384" s="1102">
        <v>0.97933755570289449</v>
      </c>
      <c r="I384" s="1102">
        <v>0.99709945213542417</v>
      </c>
      <c r="K384">
        <v>1.5420063372446955</v>
      </c>
      <c r="L384">
        <v>0</v>
      </c>
      <c r="M384">
        <v>1.6305310625108458E-3</v>
      </c>
      <c r="N384">
        <v>0.13804178514703058</v>
      </c>
      <c r="O384">
        <v>0.12132754189879195</v>
      </c>
      <c r="P384">
        <v>1.5267573256857844E-2</v>
      </c>
      <c r="Q384">
        <v>8.8180875858108758E-4</v>
      </c>
      <c r="R384">
        <v>1.6267395395023661E-3</v>
      </c>
      <c r="S384">
        <v>0.11847165705010893</v>
      </c>
      <c r="T384">
        <v>0.82045528652788269</v>
      </c>
      <c r="U384">
        <v>0</v>
      </c>
      <c r="V384">
        <v>0.2043387196862668</v>
      </c>
      <c r="W384">
        <v>9.2196710120969499E-2</v>
      </c>
      <c r="X384">
        <v>2.6601597549232889E-2</v>
      </c>
      <c r="Y384">
        <v>4.4274487719803638E-3</v>
      </c>
    </row>
    <row r="385" spans="1:25" x14ac:dyDescent="0.25">
      <c r="A385" s="1098"/>
      <c r="B385" s="1457">
        <v>135</v>
      </c>
      <c r="C385" s="1102">
        <v>1.0127916130975563</v>
      </c>
      <c r="D385" s="1102">
        <v>0.96014851183554439</v>
      </c>
      <c r="E385" s="1102">
        <v>1.033537376080216</v>
      </c>
      <c r="F385" s="1102">
        <v>0.99006321219252413</v>
      </c>
      <c r="G385" s="1102">
        <v>1.0166568853704105</v>
      </c>
      <c r="H385" s="1102">
        <v>0.98622116139296556</v>
      </c>
      <c r="I385" s="1102">
        <v>0.99479627951814298</v>
      </c>
      <c r="K385">
        <v>1.5546134432739993</v>
      </c>
      <c r="L385">
        <v>0</v>
      </c>
      <c r="M385">
        <v>1.4502936322683361E-3</v>
      </c>
      <c r="N385">
        <v>0.147660432643232</v>
      </c>
      <c r="O385">
        <v>0.12171533378605065</v>
      </c>
      <c r="P385">
        <v>1.5935270676912253E-2</v>
      </c>
      <c r="Q385">
        <v>9.3362622941658361E-4</v>
      </c>
      <c r="R385">
        <v>1.4469737867917447E-3</v>
      </c>
      <c r="S385">
        <v>0.11926442545010213</v>
      </c>
      <c r="T385">
        <v>0.81487527961067041</v>
      </c>
      <c r="U385">
        <v>0</v>
      </c>
      <c r="V385">
        <v>0.20606502243667643</v>
      </c>
      <c r="W385">
        <v>9.5113292423738005E-2</v>
      </c>
      <c r="X385">
        <v>2.9115894209810068E-2</v>
      </c>
      <c r="Y385">
        <v>3.9381856528665077E-3</v>
      </c>
    </row>
    <row r="386" spans="1:25" x14ac:dyDescent="0.25">
      <c r="A386" s="1098"/>
      <c r="B386" s="1457">
        <v>136</v>
      </c>
      <c r="C386" s="1102">
        <v>0.99635075375169357</v>
      </c>
      <c r="D386" s="1102">
        <v>1.0062348291646439</v>
      </c>
      <c r="E386" s="1102">
        <v>1.0025851070638907</v>
      </c>
      <c r="F386" s="1102">
        <v>0.98621750672662134</v>
      </c>
      <c r="G386" s="1102">
        <v>1.0251873644041896</v>
      </c>
      <c r="H386" s="1102">
        <v>0.99600834751343881</v>
      </c>
      <c r="I386" s="1102">
        <v>1.0337280524838031</v>
      </c>
      <c r="K386">
        <v>1.5487208792740295</v>
      </c>
      <c r="L386">
        <v>0</v>
      </c>
      <c r="M386">
        <v>1.5439515831798633E-3</v>
      </c>
      <c r="N386">
        <v>0.14318049430373508</v>
      </c>
      <c r="O386">
        <v>0.12030880765790615</v>
      </c>
      <c r="P386">
        <v>1.5615024228574361E-2</v>
      </c>
      <c r="Q386">
        <v>9.0226117559204678E-4</v>
      </c>
      <c r="R386">
        <v>1.5404194096096731E-3</v>
      </c>
      <c r="S386">
        <v>0.12311826867740909</v>
      </c>
      <c r="T386">
        <v>0.81370736634483409</v>
      </c>
      <c r="U386">
        <v>0</v>
      </c>
      <c r="V386">
        <v>0.20616060820192214</v>
      </c>
      <c r="W386">
        <v>9.3915591675179488E-2</v>
      </c>
      <c r="X386">
        <v>2.7623475348612002E-2</v>
      </c>
      <c r="Y386">
        <v>4.1925138338356266E-3</v>
      </c>
    </row>
    <row r="387" spans="1:25" x14ac:dyDescent="0.25">
      <c r="A387" s="1098"/>
      <c r="B387" s="1457">
        <v>137</v>
      </c>
      <c r="C387" s="1102">
        <v>1.0074369333855429</v>
      </c>
      <c r="D387" s="1102">
        <v>1.0231273975405704</v>
      </c>
      <c r="E387" s="1102">
        <v>0.9743621658986521</v>
      </c>
      <c r="F387" s="1102">
        <v>0.96347256301446194</v>
      </c>
      <c r="G387" s="1102">
        <v>0.97658521675970711</v>
      </c>
      <c r="H387" s="1102">
        <v>0.99974495048492773</v>
      </c>
      <c r="I387" s="1102">
        <v>1.0130409680620822</v>
      </c>
      <c r="K387">
        <v>1.5082191685558561</v>
      </c>
      <c r="L387">
        <v>0</v>
      </c>
      <c r="M387">
        <v>1.6081524701381767E-3</v>
      </c>
      <c r="N387">
        <v>0.13693510479993307</v>
      </c>
      <c r="O387">
        <v>0.11750995034387354</v>
      </c>
      <c r="P387">
        <v>1.4930205192807791E-2</v>
      </c>
      <c r="Q387">
        <v>8.6069194272982846E-4</v>
      </c>
      <c r="R387">
        <v>1.604473525918218E-3</v>
      </c>
      <c r="S387">
        <v>0.11831277169934028</v>
      </c>
      <c r="T387">
        <v>0.79674616353748762</v>
      </c>
      <c r="U387">
        <v>0</v>
      </c>
      <c r="V387">
        <v>0.2013209623742393</v>
      </c>
      <c r="W387">
        <v>9.1352499180259422E-2</v>
      </c>
      <c r="X387">
        <v>2.5887650406410622E-2</v>
      </c>
      <c r="Y387">
        <v>4.3668480229937176E-3</v>
      </c>
    </row>
    <row r="388" spans="1:25" x14ac:dyDescent="0.25">
      <c r="A388" s="1098"/>
      <c r="B388" s="1457">
        <v>138</v>
      </c>
      <c r="C388" s="1102">
        <v>1.011232323835304</v>
      </c>
      <c r="D388" s="1102">
        <v>1.0176767006390148</v>
      </c>
      <c r="E388" s="1102">
        <v>0.99095554191538049</v>
      </c>
      <c r="F388" s="1102">
        <v>0.99700432255899485</v>
      </c>
      <c r="G388" s="1102">
        <v>1.0180984525753365</v>
      </c>
      <c r="H388" s="1102">
        <v>0.98495292784977506</v>
      </c>
      <c r="I388" s="1102">
        <v>1.0240390415957192</v>
      </c>
      <c r="K388">
        <v>1.5423476641307361</v>
      </c>
      <c r="L388">
        <v>0</v>
      </c>
      <c r="M388">
        <v>1.5341351214996474E-3</v>
      </c>
      <c r="N388">
        <v>0.13735355197376301</v>
      </c>
      <c r="O388">
        <v>0.11985141083088006</v>
      </c>
      <c r="P388">
        <v>1.5530995397646831E-2</v>
      </c>
      <c r="Q388">
        <v>8.7434696626864118E-4</v>
      </c>
      <c r="R388">
        <v>1.5305860848272776E-3</v>
      </c>
      <c r="S388">
        <v>0.11861040518005152</v>
      </c>
      <c r="T388">
        <v>0.82337396607897173</v>
      </c>
      <c r="U388">
        <v>0</v>
      </c>
      <c r="V388">
        <v>0.2048019266510708</v>
      </c>
      <c r="W388">
        <v>9.0720043370123848E-2</v>
      </c>
      <c r="X388">
        <v>2.7068815953297434E-2</v>
      </c>
      <c r="Y388">
        <v>4.1657507653325892E-3</v>
      </c>
    </row>
    <row r="389" spans="1:25" x14ac:dyDescent="0.25">
      <c r="A389" s="1098"/>
      <c r="B389" s="1457">
        <v>139</v>
      </c>
      <c r="C389" s="1102">
        <v>1.0188639204554566</v>
      </c>
      <c r="D389" s="1102">
        <v>0.9966764038342838</v>
      </c>
      <c r="E389" s="1102">
        <v>0.99890099256886178</v>
      </c>
      <c r="F389" s="1102">
        <v>1.0087899577247381</v>
      </c>
      <c r="G389" s="1102">
        <v>0.97780573204052035</v>
      </c>
      <c r="H389" s="1102">
        <v>0.96861461771294033</v>
      </c>
      <c r="I389" s="1102">
        <v>0.98145089921466511</v>
      </c>
      <c r="K389">
        <v>1.5455325039847134</v>
      </c>
      <c r="L389">
        <v>0</v>
      </c>
      <c r="M389">
        <v>1.492598789021016E-3</v>
      </c>
      <c r="N389">
        <v>0.13687889818093157</v>
      </c>
      <c r="O389">
        <v>0.12118196500157061</v>
      </c>
      <c r="P389">
        <v>1.5657841372635862E-2</v>
      </c>
      <c r="Q389">
        <v>8.8232419031597368E-4</v>
      </c>
      <c r="R389">
        <v>1.4891048491446378E-3</v>
      </c>
      <c r="S389">
        <v>0.11311120973742382</v>
      </c>
      <c r="T389">
        <v>0.83257667391616452</v>
      </c>
      <c r="U389">
        <v>0</v>
      </c>
      <c r="V389">
        <v>0.20360326126080677</v>
      </c>
      <c r="W389">
        <v>8.9978910806360113E-2</v>
      </c>
      <c r="X389">
        <v>2.7612060942289445E-2</v>
      </c>
      <c r="Y389">
        <v>4.0528525160901108E-3</v>
      </c>
    </row>
    <row r="390" spans="1:25" x14ac:dyDescent="0.25">
      <c r="A390" s="1098"/>
      <c r="B390" s="1457">
        <v>140</v>
      </c>
      <c r="C390" s="1102">
        <v>1.0262087890793741</v>
      </c>
      <c r="D390" s="1102">
        <v>0.97070872302640809</v>
      </c>
      <c r="E390" s="1102">
        <v>1.0032467262259239</v>
      </c>
      <c r="F390" s="1102">
        <v>0.98833784893506782</v>
      </c>
      <c r="G390" s="1102">
        <v>1.0021997879482931</v>
      </c>
      <c r="H390" s="1102">
        <v>1.0030798826108709</v>
      </c>
      <c r="I390" s="1102">
        <v>1.0210171378098951</v>
      </c>
      <c r="K390">
        <v>1.5467797479247465</v>
      </c>
      <c r="L390">
        <v>0</v>
      </c>
      <c r="M390">
        <v>1.5422281041105287E-3</v>
      </c>
      <c r="N390">
        <v>0.14331179629791055</v>
      </c>
      <c r="O390">
        <v>0.12052713136859167</v>
      </c>
      <c r="P390">
        <v>1.5590590622586902E-2</v>
      </c>
      <c r="Q390">
        <v>8.8930433594916589E-4</v>
      </c>
      <c r="R390">
        <v>1.5387538111984744E-3</v>
      </c>
      <c r="S390">
        <v>0.1213837939076025</v>
      </c>
      <c r="T390">
        <v>0.81541371096025561</v>
      </c>
      <c r="U390">
        <v>0</v>
      </c>
      <c r="V390">
        <v>0.20384177868917253</v>
      </c>
      <c r="W390">
        <v>9.3964843760139985E-2</v>
      </c>
      <c r="X390">
        <v>2.7672291651422314E-2</v>
      </c>
      <c r="Y390">
        <v>4.1879806240247112E-3</v>
      </c>
    </row>
    <row r="391" spans="1:25" x14ac:dyDescent="0.25">
      <c r="A391" s="1098"/>
      <c r="B391" s="1457">
        <v>141</v>
      </c>
      <c r="C391" s="1102">
        <v>1.0253497382182537</v>
      </c>
      <c r="D391" s="1102">
        <v>0.99968337688289199</v>
      </c>
      <c r="E391" s="1102">
        <v>0.97643909857047717</v>
      </c>
      <c r="F391" s="1102">
        <v>0.97838803984842948</v>
      </c>
      <c r="G391" s="1102">
        <v>0.99287710246222138</v>
      </c>
      <c r="H391" s="1102">
        <v>1.0206608020214851</v>
      </c>
      <c r="I391" s="1102">
        <v>0.98563802171975934</v>
      </c>
      <c r="K391">
        <v>1.5256773652925431</v>
      </c>
      <c r="L391">
        <v>0</v>
      </c>
      <c r="M391">
        <v>1.6314103697974533E-3</v>
      </c>
      <c r="N391">
        <v>0.13980007157566157</v>
      </c>
      <c r="O391">
        <v>0.11866615603030263</v>
      </c>
      <c r="P391">
        <v>1.510222480880603E-2</v>
      </c>
      <c r="Q391">
        <v>8.5539765507295978E-4</v>
      </c>
      <c r="R391">
        <v>1.6277776477067695E-3</v>
      </c>
      <c r="S391">
        <v>0.11645985609615706</v>
      </c>
      <c r="T391">
        <v>0.80894479970745459</v>
      </c>
      <c r="U391">
        <v>0</v>
      </c>
      <c r="V391">
        <v>0.20205396774598916</v>
      </c>
      <c r="W391">
        <v>9.3146467485184375E-2</v>
      </c>
      <c r="X391">
        <v>2.6221782749702861E-2</v>
      </c>
      <c r="Y391">
        <v>4.430274160300474E-3</v>
      </c>
    </row>
    <row r="392" spans="1:25" x14ac:dyDescent="0.25">
      <c r="A392" s="1098"/>
      <c r="B392" s="1457">
        <v>142</v>
      </c>
      <c r="C392" s="1102">
        <v>1.0085066313098483</v>
      </c>
      <c r="D392" s="1102">
        <v>1.0311074194575096</v>
      </c>
      <c r="E392" s="1102">
        <v>0.96119137888871564</v>
      </c>
      <c r="F392" s="1102">
        <v>1.012061424160537</v>
      </c>
      <c r="G392" s="1102">
        <v>0.99835706300847793</v>
      </c>
      <c r="H392" s="1102">
        <v>0.99220446957953556</v>
      </c>
      <c r="I392" s="1102">
        <v>0.96160064334439532</v>
      </c>
      <c r="K392">
        <v>1.5448597366134098</v>
      </c>
      <c r="L392">
        <v>0</v>
      </c>
      <c r="M392">
        <v>1.6371763807847492E-3</v>
      </c>
      <c r="N392">
        <v>0.1339539665269607</v>
      </c>
      <c r="O392">
        <v>0.12054271217082356</v>
      </c>
      <c r="P392">
        <v>1.5273021737402193E-2</v>
      </c>
      <c r="Q392">
        <v>8.4528562590547695E-4</v>
      </c>
      <c r="R392">
        <v>1.6334117959803977E-3</v>
      </c>
      <c r="S392">
        <v>0.11136040208571003</v>
      </c>
      <c r="T392">
        <v>0.83782064753047492</v>
      </c>
      <c r="U392">
        <v>0</v>
      </c>
      <c r="V392">
        <v>0.20447247651090195</v>
      </c>
      <c r="W392">
        <v>9.0084229516717199E-2</v>
      </c>
      <c r="X392">
        <v>2.6065151038711511E-2</v>
      </c>
      <c r="Y392">
        <v>4.4456084546048097E-3</v>
      </c>
    </row>
    <row r="393" spans="1:25" x14ac:dyDescent="0.25">
      <c r="A393" s="1098"/>
      <c r="B393" s="1457">
        <v>143</v>
      </c>
      <c r="C393" s="1102">
        <v>0.9720653768322588</v>
      </c>
      <c r="D393" s="1102">
        <v>1.0352834692994355</v>
      </c>
      <c r="E393" s="1102">
        <v>0.97592280942863552</v>
      </c>
      <c r="F393" s="1102">
        <v>1.0194854601461021</v>
      </c>
      <c r="G393" s="1102">
        <v>1.0050891560228046</v>
      </c>
      <c r="H393" s="1102">
        <v>0.99720504779435304</v>
      </c>
      <c r="I393" s="1102">
        <v>0.9687551706488372</v>
      </c>
      <c r="K393">
        <v>1.5734179400028914</v>
      </c>
      <c r="L393">
        <v>0</v>
      </c>
      <c r="M393">
        <v>1.6488231447347793E-3</v>
      </c>
      <c r="N393">
        <v>0.14106208671125459</v>
      </c>
      <c r="O393">
        <v>0.12273017002539512</v>
      </c>
      <c r="P393">
        <v>1.5632545137168725E-2</v>
      </c>
      <c r="Q393">
        <v>8.89263423309904E-4</v>
      </c>
      <c r="R393">
        <v>1.645040519111929E-3</v>
      </c>
      <c r="S393">
        <v>0.11637157925303898</v>
      </c>
      <c r="T393">
        <v>0.84295986775066778</v>
      </c>
      <c r="U393">
        <v>0</v>
      </c>
      <c r="V393">
        <v>0.20818414386050155</v>
      </c>
      <c r="W393">
        <v>9.4016720993027672E-2</v>
      </c>
      <c r="X393">
        <v>2.7098087468585497E-2</v>
      </c>
      <c r="Y393">
        <v>4.4772580055612889E-3</v>
      </c>
    </row>
    <row r="394" spans="1:25" x14ac:dyDescent="0.25">
      <c r="A394" s="1098"/>
      <c r="B394" s="1457">
        <v>144</v>
      </c>
      <c r="C394" s="1102">
        <v>0.97990059797688389</v>
      </c>
      <c r="D394" s="1102">
        <v>0.98551360680033284</v>
      </c>
      <c r="E394" s="1102">
        <v>1.017510728455761</v>
      </c>
      <c r="F394" s="1102">
        <v>1.0133606508096062</v>
      </c>
      <c r="G394" s="1102">
        <v>0.98995717762407542</v>
      </c>
      <c r="H394" s="1102">
        <v>1.0072124133514515</v>
      </c>
      <c r="I394" s="1102">
        <v>1.0282651245693026</v>
      </c>
      <c r="K394">
        <v>1.5941706170485217</v>
      </c>
      <c r="L394">
        <v>0</v>
      </c>
      <c r="M394">
        <v>1.5586150331865539E-3</v>
      </c>
      <c r="N394">
        <v>0.15120765280683782</v>
      </c>
      <c r="O394">
        <v>0.12396187517161054</v>
      </c>
      <c r="P394">
        <v>1.616562553381036E-2</v>
      </c>
      <c r="Q394">
        <v>9.3942490906360023E-4</v>
      </c>
      <c r="R394">
        <v>1.5551041186775416E-3</v>
      </c>
      <c r="S394">
        <v>0.12711991655469154</v>
      </c>
      <c r="T394">
        <v>0.83510904908353278</v>
      </c>
      <c r="U394">
        <v>0</v>
      </c>
      <c r="V394">
        <v>0.2080652945796784</v>
      </c>
      <c r="W394">
        <v>9.8311739767911188E-2</v>
      </c>
      <c r="X394">
        <v>2.906106878478993E-2</v>
      </c>
      <c r="Y394">
        <v>4.2324807711053205E-3</v>
      </c>
    </row>
    <row r="395" spans="1:25" x14ac:dyDescent="0.25">
      <c r="A395" s="1098"/>
      <c r="B395" s="1457">
        <v>145</v>
      </c>
      <c r="C395" s="1102">
        <v>0.97642582001500744</v>
      </c>
      <c r="D395" s="1102">
        <v>1.0015221274441044</v>
      </c>
      <c r="E395" s="1102">
        <v>1.0021150266670988</v>
      </c>
      <c r="F395" s="1102">
        <v>1.0142474521100076</v>
      </c>
      <c r="G395" s="1102">
        <v>0.99371772043744822</v>
      </c>
      <c r="H395" s="1102">
        <v>0.99831841613327943</v>
      </c>
      <c r="I395" s="1102">
        <v>1.0186095356908951</v>
      </c>
      <c r="K395">
        <v>1.5855910143566043</v>
      </c>
      <c r="L395">
        <v>0</v>
      </c>
      <c r="M395">
        <v>1.5859110501158864E-3</v>
      </c>
      <c r="N395">
        <v>0.14686423860301634</v>
      </c>
      <c r="O395">
        <v>0.12353443363921633</v>
      </c>
      <c r="P395">
        <v>1.596909846928999E-2</v>
      </c>
      <c r="Q395">
        <v>9.2195428026295586E-4</v>
      </c>
      <c r="R395">
        <v>1.5822965005498422E-3</v>
      </c>
      <c r="S395">
        <v>0.12438482290665487</v>
      </c>
      <c r="T395">
        <v>0.836865723859749</v>
      </c>
      <c r="U395">
        <v>0</v>
      </c>
      <c r="V395">
        <v>0.20806694272991749</v>
      </c>
      <c r="W395">
        <v>9.6358717778119427E-2</v>
      </c>
      <c r="X395">
        <v>2.8322207169347975E-2</v>
      </c>
      <c r="Y395">
        <v>4.3064894705954482E-3</v>
      </c>
    </row>
    <row r="396" spans="1:25" x14ac:dyDescent="0.25">
      <c r="A396" s="1098"/>
      <c r="B396" s="1457">
        <v>146</v>
      </c>
      <c r="C396" s="1102">
        <v>1.0355619309495607</v>
      </c>
      <c r="D396" s="1102">
        <v>0.98453178281772602</v>
      </c>
      <c r="E396" s="1102">
        <v>1.013574589171659</v>
      </c>
      <c r="F396" s="1102">
        <v>1.0072092193430078</v>
      </c>
      <c r="G396" s="1102">
        <v>1.0185837823299799</v>
      </c>
      <c r="H396" s="1102">
        <v>0.97160408301682955</v>
      </c>
      <c r="I396" s="1102">
        <v>0.98708303432620637</v>
      </c>
      <c r="K396">
        <v>1.5452746529008881</v>
      </c>
      <c r="L396">
        <v>0</v>
      </c>
      <c r="M396">
        <v>1.4403734920963318E-3</v>
      </c>
      <c r="N396">
        <v>0.13807632077622722</v>
      </c>
      <c r="O396">
        <v>0.12073528421644984</v>
      </c>
      <c r="P396">
        <v>1.580864063166636E-2</v>
      </c>
      <c r="Q396">
        <v>8.8569337485196349E-4</v>
      </c>
      <c r="R396">
        <v>1.4370226517795145E-3</v>
      </c>
      <c r="S396">
        <v>0.11308417338409794</v>
      </c>
      <c r="T396">
        <v>0.83029938632866318</v>
      </c>
      <c r="U396">
        <v>0</v>
      </c>
      <c r="V396">
        <v>0.20440242730901789</v>
      </c>
      <c r="W396">
        <v>8.9981751920436476E-2</v>
      </c>
      <c r="X396">
        <v>2.8093223856040628E-2</v>
      </c>
      <c r="Y396">
        <v>3.9111019437539935E-3</v>
      </c>
    </row>
    <row r="397" spans="1:25" x14ac:dyDescent="0.25">
      <c r="A397" s="1098"/>
      <c r="B397" s="1457">
        <v>147</v>
      </c>
      <c r="C397" s="1102">
        <v>1.0105866234363781</v>
      </c>
      <c r="D397" s="1102">
        <v>0.97608306403420475</v>
      </c>
      <c r="E397" s="1102">
        <v>0.98853478283550722</v>
      </c>
      <c r="F397" s="1102">
        <v>1.0186330734440419</v>
      </c>
      <c r="G397" s="1102">
        <v>1.0271915153742743</v>
      </c>
      <c r="H397" s="1102">
        <v>1.0357010818286658</v>
      </c>
      <c r="I397" s="1102">
        <v>0.97135274844588282</v>
      </c>
      <c r="K397">
        <v>1.5863951876424092</v>
      </c>
      <c r="L397">
        <v>0</v>
      </c>
      <c r="M397">
        <v>1.6638531701169241E-3</v>
      </c>
      <c r="N397">
        <v>0.14790066987378478</v>
      </c>
      <c r="O397">
        <v>0.1232458328595858</v>
      </c>
      <c r="P397">
        <v>1.5796236125934459E-2</v>
      </c>
      <c r="Q397">
        <v>8.8738979723988537E-4</v>
      </c>
      <c r="R397">
        <v>1.6602239410751347E-3</v>
      </c>
      <c r="S397">
        <v>0.11946872450925854</v>
      </c>
      <c r="T397">
        <v>0.84139962366363952</v>
      </c>
      <c r="U397">
        <v>0</v>
      </c>
      <c r="V397">
        <v>0.2076352515601855</v>
      </c>
      <c r="W397">
        <v>9.7828057132378771E-2</v>
      </c>
      <c r="X397">
        <v>2.7718449074512215E-2</v>
      </c>
      <c r="Y397">
        <v>4.5185822749314293E-3</v>
      </c>
    </row>
    <row r="398" spans="1:25" x14ac:dyDescent="0.25">
      <c r="A398" s="1098"/>
      <c r="B398" s="1457">
        <v>148</v>
      </c>
      <c r="C398" s="1102">
        <v>0.9686933034475449</v>
      </c>
      <c r="D398" s="1102">
        <v>0.98957609228343113</v>
      </c>
      <c r="E398" s="1102">
        <v>0.99316701648732331</v>
      </c>
      <c r="F398" s="1102">
        <v>1.0181855928725196</v>
      </c>
      <c r="G398" s="1102">
        <v>0.99530698070940404</v>
      </c>
      <c r="H398" s="1102">
        <v>1.0194528914486722</v>
      </c>
      <c r="I398" s="1102">
        <v>1.0300374218638997</v>
      </c>
      <c r="K398">
        <v>1.6044657005428307</v>
      </c>
      <c r="L398">
        <v>0</v>
      </c>
      <c r="M398">
        <v>1.6738187408240983E-3</v>
      </c>
      <c r="N398">
        <v>0.15087774238409782</v>
      </c>
      <c r="O398">
        <v>0.12479764942508141</v>
      </c>
      <c r="P398">
        <v>1.6001365994990413E-2</v>
      </c>
      <c r="Q398">
        <v>9.2515119260747904E-4</v>
      </c>
      <c r="R398">
        <v>1.6700892492858689E-3</v>
      </c>
      <c r="S398">
        <v>0.12944181324559539</v>
      </c>
      <c r="T398">
        <v>0.84071725402885189</v>
      </c>
      <c r="U398">
        <v>0</v>
      </c>
      <c r="V398">
        <v>0.20938742762618412</v>
      </c>
      <c r="W398">
        <v>9.9520858057904324E-2</v>
      </c>
      <c r="X398">
        <v>2.8254735687273342E-2</v>
      </c>
      <c r="Y398">
        <v>4.5454323917830707E-3</v>
      </c>
    </row>
    <row r="399" spans="1:25" x14ac:dyDescent="0.25">
      <c r="A399" s="1098"/>
      <c r="B399" s="1457">
        <v>149</v>
      </c>
      <c r="C399" s="1102">
        <v>0.97945854557690026</v>
      </c>
      <c r="D399" s="1102">
        <v>0.96738896586406564</v>
      </c>
      <c r="E399" s="1102">
        <v>0.97903123660865232</v>
      </c>
      <c r="F399" s="1102">
        <v>1.0237930470704846</v>
      </c>
      <c r="G399" s="1102">
        <v>0.9894126357409011</v>
      </c>
      <c r="H399" s="1102">
        <v>0.99035061894541099</v>
      </c>
      <c r="I399" s="1102">
        <v>1.0009085300183187</v>
      </c>
      <c r="K399">
        <v>1.595502384688765</v>
      </c>
      <c r="L399">
        <v>0</v>
      </c>
      <c r="M399">
        <v>1.6793978134534899E-3</v>
      </c>
      <c r="N399">
        <v>0.1450375155104574</v>
      </c>
      <c r="O399">
        <v>0.12567934669042799</v>
      </c>
      <c r="P399">
        <v>1.5826632059062182E-2</v>
      </c>
      <c r="Q399">
        <v>9.0978696721845419E-4</v>
      </c>
      <c r="R399">
        <v>1.6755651939285004E-3</v>
      </c>
      <c r="S399">
        <v>0.12376659927421714</v>
      </c>
      <c r="T399">
        <v>0.84630919366074586</v>
      </c>
      <c r="U399">
        <v>0</v>
      </c>
      <c r="V399">
        <v>0.20913218459135266</v>
      </c>
      <c r="W399">
        <v>9.648468214244478E-2</v>
      </c>
      <c r="X399">
        <v>2.7799940304407401E-2</v>
      </c>
      <c r="Y399">
        <v>4.5603361079556461E-3</v>
      </c>
    </row>
    <row r="400" spans="1:25" x14ac:dyDescent="0.25">
      <c r="A400" s="1098"/>
      <c r="B400" s="1457">
        <v>150</v>
      </c>
      <c r="C400" s="1102">
        <v>0.97383911616645358</v>
      </c>
      <c r="D400" s="1102">
        <v>0.99993210613550332</v>
      </c>
      <c r="E400" s="1102">
        <v>1.0345904351552668</v>
      </c>
      <c r="F400" s="1102">
        <v>0.97899856024701082</v>
      </c>
      <c r="G400" s="1102">
        <v>1.0289125335572817</v>
      </c>
      <c r="H400" s="1102">
        <v>0.97260535867934284</v>
      </c>
      <c r="I400" s="1102">
        <v>1.0263179342778501</v>
      </c>
      <c r="K400">
        <v>1.5508721771390204</v>
      </c>
      <c r="L400">
        <v>0</v>
      </c>
      <c r="M400">
        <v>1.4449980105500117E-3</v>
      </c>
      <c r="N400">
        <v>0.14758052722409115</v>
      </c>
      <c r="O400">
        <v>0.12115160095509012</v>
      </c>
      <c r="P400">
        <v>1.5906938235498467E-2</v>
      </c>
      <c r="Q400">
        <v>9.563541965857933E-4</v>
      </c>
      <c r="R400">
        <v>1.4416084425889744E-3</v>
      </c>
      <c r="S400">
        <v>0.12345630085693055</v>
      </c>
      <c r="T400">
        <v>0.80570155405918642</v>
      </c>
      <c r="U400">
        <v>0</v>
      </c>
      <c r="V400">
        <v>0.20814408142606652</v>
      </c>
      <c r="W400">
        <v>9.5003916159679236E-2</v>
      </c>
      <c r="X400">
        <v>2.9050710639218959E-2</v>
      </c>
      <c r="Y400">
        <v>3.9235829546318077E-3</v>
      </c>
    </row>
    <row r="401" spans="1:25" x14ac:dyDescent="0.25">
      <c r="A401" s="1098"/>
      <c r="B401" s="1457">
        <v>151</v>
      </c>
      <c r="C401" s="1102">
        <v>1.0037515652878424</v>
      </c>
      <c r="D401" s="1102">
        <v>0.9972282409436426</v>
      </c>
      <c r="E401" s="1102">
        <v>0.9882450852313811</v>
      </c>
      <c r="F401" s="1102">
        <v>1.0408669556883599</v>
      </c>
      <c r="G401" s="1102">
        <v>0.98950468833905969</v>
      </c>
      <c r="H401" s="1102">
        <v>1.00877579108382</v>
      </c>
      <c r="I401" s="1102">
        <v>0.99850050777408828</v>
      </c>
      <c r="K401">
        <v>1.5984842399788135</v>
      </c>
      <c r="L401">
        <v>0</v>
      </c>
      <c r="M401">
        <v>1.6146521885503922E-3</v>
      </c>
      <c r="N401">
        <v>0.14339233039155652</v>
      </c>
      <c r="O401">
        <v>0.12417983004596984</v>
      </c>
      <c r="P401">
        <v>1.6040154985105658E-2</v>
      </c>
      <c r="Q401">
        <v>8.8553834018521328E-4</v>
      </c>
      <c r="R401">
        <v>1.6110272631449066E-3</v>
      </c>
      <c r="S401">
        <v>0.12002886329232391</v>
      </c>
      <c r="T401">
        <v>0.85978501908805638</v>
      </c>
      <c r="U401">
        <v>0</v>
      </c>
      <c r="V401">
        <v>0.20699802058206249</v>
      </c>
      <c r="W401">
        <v>9.4862524227198278E-2</v>
      </c>
      <c r="X401">
        <v>2.7930898816473468E-2</v>
      </c>
      <c r="Y401">
        <v>4.3846851352858686E-3</v>
      </c>
    </row>
    <row r="402" spans="1:25" x14ac:dyDescent="0.25">
      <c r="A402" s="1098"/>
      <c r="B402" s="1457">
        <v>152</v>
      </c>
      <c r="C402" s="1102">
        <v>0.99197463204336689</v>
      </c>
      <c r="D402" s="1102">
        <v>1.0032537655412674</v>
      </c>
      <c r="E402" s="1102">
        <v>0.99076553370394715</v>
      </c>
      <c r="F402" s="1102">
        <v>1.0326575203347115</v>
      </c>
      <c r="G402" s="1102">
        <v>0.99280700668376221</v>
      </c>
      <c r="H402" s="1102">
        <v>1.0325782537238408</v>
      </c>
      <c r="I402" s="1102">
        <v>0.96918193005787723</v>
      </c>
      <c r="K402">
        <v>1.5989152720389288</v>
      </c>
      <c r="L402">
        <v>0</v>
      </c>
      <c r="M402">
        <v>1.6556077750422558E-3</v>
      </c>
      <c r="N402">
        <v>0.148161104404823</v>
      </c>
      <c r="O402">
        <v>0.1239536179499947</v>
      </c>
      <c r="P402">
        <v>1.5972793602270191E-2</v>
      </c>
      <c r="Q402">
        <v>8.9624722356535988E-4</v>
      </c>
      <c r="R402">
        <v>1.6519676910560607E-3</v>
      </c>
      <c r="S402">
        <v>0.11920005082853725</v>
      </c>
      <c r="T402">
        <v>0.85283109676720292</v>
      </c>
      <c r="U402">
        <v>0</v>
      </c>
      <c r="V402">
        <v>0.2075518025038697</v>
      </c>
      <c r="W402">
        <v>9.7869408052898871E-2</v>
      </c>
      <c r="X402">
        <v>2.7986679305700552E-2</v>
      </c>
      <c r="Y402">
        <v>4.496111484051598E-3</v>
      </c>
    </row>
    <row r="403" spans="1:25" x14ac:dyDescent="0.25">
      <c r="A403" s="1098"/>
      <c r="B403" s="1457">
        <v>153</v>
      </c>
      <c r="C403" s="1102">
        <v>1.0181457870314075</v>
      </c>
      <c r="D403" s="1102">
        <v>1.0300491566681116</v>
      </c>
      <c r="E403" s="1102">
        <v>1.0026829005896079</v>
      </c>
      <c r="F403" s="1102">
        <v>1.0246228877426788</v>
      </c>
      <c r="G403" s="1102">
        <v>0.96891620482930874</v>
      </c>
      <c r="H403" s="1102">
        <v>0.98025670451123925</v>
      </c>
      <c r="I403" s="1102">
        <v>1.0045068709282514</v>
      </c>
      <c r="K403">
        <v>1.5587454953113642</v>
      </c>
      <c r="L403">
        <v>0</v>
      </c>
      <c r="M403">
        <v>1.4735046479552353E-3</v>
      </c>
      <c r="N403">
        <v>0.13668297442359506</v>
      </c>
      <c r="O403">
        <v>0.12084121226878509</v>
      </c>
      <c r="P403">
        <v>1.5890063822323264E-2</v>
      </c>
      <c r="Q403">
        <v>8.7481271296975527E-4</v>
      </c>
      <c r="R403">
        <v>1.4700809712697074E-3</v>
      </c>
      <c r="S403">
        <v>0.11457134395411679</v>
      </c>
      <c r="T403">
        <v>0.84538823399523466</v>
      </c>
      <c r="U403">
        <v>0</v>
      </c>
      <c r="V403">
        <v>0.20309344538639892</v>
      </c>
      <c r="W403">
        <v>8.964850932829109E-2</v>
      </c>
      <c r="X403">
        <v>2.7757247304598255E-2</v>
      </c>
      <c r="Y403">
        <v>4.0010757917342066E-3</v>
      </c>
    </row>
    <row r="404" spans="1:25" x14ac:dyDescent="0.25">
      <c r="A404" s="1098"/>
      <c r="B404" s="1457">
        <v>154</v>
      </c>
      <c r="C404" s="1102">
        <v>1.0293367134462261</v>
      </c>
      <c r="D404" s="1102">
        <v>1.0150414743915575</v>
      </c>
      <c r="E404" s="1102">
        <v>1.0331838095602497</v>
      </c>
      <c r="F404" s="1102">
        <v>1.0008057378809039</v>
      </c>
      <c r="G404" s="1102">
        <v>0.99441830963347444</v>
      </c>
      <c r="H404" s="1102">
        <v>1.0096577681526608</v>
      </c>
      <c r="I404" s="1102">
        <v>1.0058689703622419</v>
      </c>
      <c r="K404">
        <v>1.549023622514986</v>
      </c>
      <c r="L404">
        <v>0</v>
      </c>
      <c r="M404">
        <v>1.4194241393488823E-3</v>
      </c>
      <c r="N404">
        <v>0.14436888630659339</v>
      </c>
      <c r="O404">
        <v>0.11921420223500052</v>
      </c>
      <c r="P404">
        <v>1.5971334700659257E-2</v>
      </c>
      <c r="Q404">
        <v>8.9809259600956307E-4</v>
      </c>
      <c r="R404">
        <v>1.4162271404906755E-3</v>
      </c>
      <c r="S404">
        <v>0.11673191421208791</v>
      </c>
      <c r="T404">
        <v>0.82373993376968035</v>
      </c>
      <c r="U404">
        <v>0</v>
      </c>
      <c r="V404">
        <v>0.20261344260267353</v>
      </c>
      <c r="W404">
        <v>9.3012128646122461E-2</v>
      </c>
      <c r="X404">
        <v>2.8622381027751661E-2</v>
      </c>
      <c r="Y404">
        <v>3.8545034172642258E-3</v>
      </c>
    </row>
    <row r="405" spans="1:25" x14ac:dyDescent="0.25">
      <c r="A405" s="1098"/>
      <c r="B405" s="1457">
        <v>155</v>
      </c>
      <c r="C405" s="1102">
        <v>0.97417491081158725</v>
      </c>
      <c r="D405" s="1102">
        <v>1.01192097942302</v>
      </c>
      <c r="E405" s="1102">
        <v>0.9856146441706094</v>
      </c>
      <c r="F405" s="1102">
        <v>1.0120667960787588</v>
      </c>
      <c r="G405" s="1102">
        <v>1.0347639832741475</v>
      </c>
      <c r="H405" s="1102">
        <v>1.0031061380393869</v>
      </c>
      <c r="I405" s="1102">
        <v>0.98072989462027294</v>
      </c>
      <c r="K405">
        <v>1.5777807053198414</v>
      </c>
      <c r="L405">
        <v>0</v>
      </c>
      <c r="M405">
        <v>1.6425907281198203E-3</v>
      </c>
      <c r="N405">
        <v>0.1447136347071514</v>
      </c>
      <c r="O405">
        <v>0.12309110652571938</v>
      </c>
      <c r="P405">
        <v>1.5720347218623382E-2</v>
      </c>
      <c r="Q405">
        <v>9.0461363468557555E-4</v>
      </c>
      <c r="R405">
        <v>1.6388572606780023E-3</v>
      </c>
      <c r="S405">
        <v>0.11962043746124945</v>
      </c>
      <c r="T405">
        <v>0.83617215196341321</v>
      </c>
      <c r="U405">
        <v>0</v>
      </c>
      <c r="V405">
        <v>0.20966165593450059</v>
      </c>
      <c r="W405">
        <v>9.5887993078648509E-2</v>
      </c>
      <c r="X405">
        <v>2.7552069048875985E-2</v>
      </c>
      <c r="Y405">
        <v>4.4604292144147361E-3</v>
      </c>
    </row>
    <row r="406" spans="1:25" x14ac:dyDescent="0.25">
      <c r="A406" s="1098"/>
      <c r="B406" s="1457">
        <v>156</v>
      </c>
      <c r="C406" s="1102">
        <v>1.0285099732580274</v>
      </c>
      <c r="D406" s="1102">
        <v>0.98330184444036384</v>
      </c>
      <c r="E406" s="1102">
        <v>0.98231380692949499</v>
      </c>
      <c r="F406" s="1102">
        <v>0.97874170905360913</v>
      </c>
      <c r="G406" s="1102">
        <v>0.9776630613731353</v>
      </c>
      <c r="H406" s="1102">
        <v>0.98366376819597856</v>
      </c>
      <c r="I406" s="1102">
        <v>1.0110085936210904</v>
      </c>
      <c r="K406">
        <v>1.520840738259176</v>
      </c>
      <c r="L406">
        <v>0</v>
      </c>
      <c r="M406">
        <v>1.5634854508701345E-3</v>
      </c>
      <c r="N406">
        <v>0.13637176718190128</v>
      </c>
      <c r="O406">
        <v>0.11923462871847987</v>
      </c>
      <c r="P406">
        <v>1.5175476205696562E-2</v>
      </c>
      <c r="Q406">
        <v>8.6372677775305162E-4</v>
      </c>
      <c r="R406">
        <v>1.5598838895377603E-3</v>
      </c>
      <c r="S406">
        <v>0.11739101237535732</v>
      </c>
      <c r="T406">
        <v>0.80885382230332004</v>
      </c>
      <c r="U406">
        <v>0</v>
      </c>
      <c r="V406">
        <v>0.20163026799008155</v>
      </c>
      <c r="W406">
        <v>9.0540342627140794E-2</v>
      </c>
      <c r="X406">
        <v>2.6537805909041822E-2</v>
      </c>
      <c r="Y406">
        <v>4.2454897317357959E-3</v>
      </c>
    </row>
    <row r="407" spans="1:25" x14ac:dyDescent="0.25">
      <c r="A407" s="1098"/>
      <c r="B407" s="1457">
        <v>157</v>
      </c>
      <c r="C407" s="1102">
        <v>0.99332324643855618</v>
      </c>
      <c r="D407" s="1102">
        <v>1.0148733388670597</v>
      </c>
      <c r="E407" s="1102">
        <v>0.99996944596518067</v>
      </c>
      <c r="F407" s="1102">
        <v>0.98006420352017098</v>
      </c>
      <c r="G407" s="1102">
        <v>0.99719109611121037</v>
      </c>
      <c r="H407" s="1102">
        <v>0.98322794006368341</v>
      </c>
      <c r="I407" s="1102">
        <v>0.96671469064657678</v>
      </c>
      <c r="K407">
        <v>1.5276801181032531</v>
      </c>
      <c r="L407">
        <v>0</v>
      </c>
      <c r="M407">
        <v>1.5286299411440061E-3</v>
      </c>
      <c r="N407">
        <v>0.14063900590398559</v>
      </c>
      <c r="O407">
        <v>0.11966864204558401</v>
      </c>
      <c r="P407">
        <v>1.5369875217860162E-2</v>
      </c>
      <c r="Q407">
        <v>8.9948090901453435E-4</v>
      </c>
      <c r="R407">
        <v>1.5250798827031618E-3</v>
      </c>
      <c r="S407">
        <v>0.11386728108748821</v>
      </c>
      <c r="T407">
        <v>0.8087995274072175</v>
      </c>
      <c r="U407">
        <v>0</v>
      </c>
      <c r="V407">
        <v>0.2045788823326822</v>
      </c>
      <c r="W407">
        <v>9.2391944173773194E-2</v>
      </c>
      <c r="X407">
        <v>2.7318264385818167E-2</v>
      </c>
      <c r="Y407">
        <v>4.1507646982697878E-3</v>
      </c>
    </row>
    <row r="408" spans="1:25" x14ac:dyDescent="0.25">
      <c r="A408" s="1098"/>
      <c r="B408" s="1457">
        <v>158</v>
      </c>
      <c r="C408" s="1102">
        <v>1.0004616909129636</v>
      </c>
      <c r="D408" s="1102">
        <v>0.97937690720844561</v>
      </c>
      <c r="E408" s="1102">
        <v>1.0167626967877876</v>
      </c>
      <c r="F408" s="1102">
        <v>1.0254545229791199</v>
      </c>
      <c r="G408" s="1102">
        <v>0.99457706243966848</v>
      </c>
      <c r="H408" s="1102">
        <v>0.97751702633622672</v>
      </c>
      <c r="I408" s="1102">
        <v>1.001071859503855</v>
      </c>
      <c r="K408">
        <v>1.5845293806889718</v>
      </c>
      <c r="L408">
        <v>0</v>
      </c>
      <c r="M408">
        <v>1.4928146607881979E-3</v>
      </c>
      <c r="N408">
        <v>0.14448883612120997</v>
      </c>
      <c r="O408">
        <v>0.1240111757207686</v>
      </c>
      <c r="P408">
        <v>1.6179018441304299E-2</v>
      </c>
      <c r="Q408">
        <v>9.2171141918590623E-4</v>
      </c>
      <c r="R408">
        <v>1.4893619312190457E-3</v>
      </c>
      <c r="S408">
        <v>0.11947648496406484</v>
      </c>
      <c r="T408">
        <v>0.84512580454448027</v>
      </c>
      <c r="U408">
        <v>0</v>
      </c>
      <c r="V408">
        <v>0.20731606334332867</v>
      </c>
      <c r="W408">
        <v>9.3984534534575864E-2</v>
      </c>
      <c r="X408">
        <v>2.897565212087224E-2</v>
      </c>
      <c r="Y408">
        <v>4.0535522087495656E-3</v>
      </c>
    </row>
    <row r="409" spans="1:25" x14ac:dyDescent="0.25">
      <c r="A409" s="1098"/>
      <c r="B409" s="1457">
        <v>159</v>
      </c>
      <c r="C409" s="1102">
        <v>1.0087449543744891</v>
      </c>
      <c r="D409" s="1102">
        <v>0.99511686667577526</v>
      </c>
      <c r="E409" s="1102">
        <v>1.0210864734009388</v>
      </c>
      <c r="F409" s="1102">
        <v>0.9862846002219201</v>
      </c>
      <c r="G409" s="1102">
        <v>1.0120458334708438</v>
      </c>
      <c r="H409" s="1102">
        <v>1.0434279931364965</v>
      </c>
      <c r="I409" s="1102">
        <v>0.99458037047553671</v>
      </c>
      <c r="K409">
        <v>1.5588403457850835</v>
      </c>
      <c r="L409">
        <v>0</v>
      </c>
      <c r="M409">
        <v>1.5484372940393889E-3</v>
      </c>
      <c r="N409">
        <v>0.15186097444947552</v>
      </c>
      <c r="O409">
        <v>0.12011723182623088</v>
      </c>
      <c r="P409">
        <v>1.5775546033240627E-2</v>
      </c>
      <c r="Q409">
        <v>9.1237166538300156E-4</v>
      </c>
      <c r="R409">
        <v>1.5450651544585499E-3</v>
      </c>
      <c r="S409">
        <v>0.12160104181575732</v>
      </c>
      <c r="T409">
        <v>0.81256510199555654</v>
      </c>
      <c r="U409">
        <v>0</v>
      </c>
      <c r="V409">
        <v>0.20489616710367303</v>
      </c>
      <c r="W409">
        <v>9.8530059744428494E-2</v>
      </c>
      <c r="X409">
        <v>2.8380065271074079E-2</v>
      </c>
      <c r="Y409">
        <v>4.205158019844891E-3</v>
      </c>
    </row>
    <row r="410" spans="1:25" x14ac:dyDescent="0.25">
      <c r="A410" s="1098"/>
      <c r="B410" s="1457">
        <v>160</v>
      </c>
      <c r="C410" s="1102">
        <v>1.0185171462736482</v>
      </c>
      <c r="D410" s="1102">
        <v>1.0191101387497408</v>
      </c>
      <c r="E410" s="1102">
        <v>1.011129018514018</v>
      </c>
      <c r="F410" s="1102">
        <v>0.99880592166012294</v>
      </c>
      <c r="G410" s="1102">
        <v>0.98539328682635274</v>
      </c>
      <c r="H410" s="1102">
        <v>0.98261426589968381</v>
      </c>
      <c r="I410" s="1102">
        <v>0.9959545885802098</v>
      </c>
      <c r="K410">
        <v>1.537601639959403</v>
      </c>
      <c r="L410">
        <v>0</v>
      </c>
      <c r="M410">
        <v>1.4570370047718036E-3</v>
      </c>
      <c r="N410">
        <v>0.13864762046326939</v>
      </c>
      <c r="O410">
        <v>0.1194974042738111</v>
      </c>
      <c r="P410">
        <v>1.5682648471139548E-2</v>
      </c>
      <c r="Q410">
        <v>8.8593242671409827E-4</v>
      </c>
      <c r="R410">
        <v>1.4536596847246445E-3</v>
      </c>
      <c r="S410">
        <v>0.11434251324344601</v>
      </c>
      <c r="T410">
        <v>0.82353234854039037</v>
      </c>
      <c r="U410">
        <v>0</v>
      </c>
      <c r="V410">
        <v>0.20281926620568244</v>
      </c>
      <c r="W410">
        <v>9.048420883964893E-2</v>
      </c>
      <c r="X410">
        <v>2.7756692352313588E-2</v>
      </c>
      <c r="Y410">
        <v>3.9563824630342017E-3</v>
      </c>
    </row>
    <row r="411" spans="1:25" x14ac:dyDescent="0.25">
      <c r="A411" s="1098"/>
      <c r="B411" s="1457">
        <v>161</v>
      </c>
      <c r="C411" s="1102">
        <v>1.014612045453628</v>
      </c>
      <c r="D411" s="1102">
        <v>0.99632927553494066</v>
      </c>
      <c r="E411" s="1102">
        <v>1.017076934334961</v>
      </c>
      <c r="F411" s="1102">
        <v>0.98411828519290245</v>
      </c>
      <c r="G411" s="1102">
        <v>1.0006471113902811</v>
      </c>
      <c r="H411" s="1102">
        <v>1.0230643343011785</v>
      </c>
      <c r="I411" s="1102">
        <v>0.95701639780136027</v>
      </c>
      <c r="K411">
        <v>1.5411066031313174</v>
      </c>
      <c r="L411">
        <v>0</v>
      </c>
      <c r="M411">
        <v>1.5214363018330537E-3</v>
      </c>
      <c r="N411">
        <v>0.14741238937943607</v>
      </c>
      <c r="O411">
        <v>0.11963470352356628</v>
      </c>
      <c r="P411">
        <v>1.5597323853348638E-2</v>
      </c>
      <c r="Q411">
        <v>9.0293072704550499E-4</v>
      </c>
      <c r="R411">
        <v>1.5180572256633495E-3</v>
      </c>
      <c r="S411">
        <v>0.11473452798376901</v>
      </c>
      <c r="T411">
        <v>0.81103840098928159</v>
      </c>
      <c r="U411">
        <v>0</v>
      </c>
      <c r="V411">
        <v>0.20374624988433268</v>
      </c>
      <c r="W411">
        <v>9.586852619713343E-2</v>
      </c>
      <c r="X411">
        <v>2.8043278328748197E-2</v>
      </c>
      <c r="Y411">
        <v>4.1316513408256907E-3</v>
      </c>
    </row>
    <row r="412" spans="1:25" x14ac:dyDescent="0.25">
      <c r="A412" s="1098"/>
      <c r="B412" s="1457">
        <v>162</v>
      </c>
      <c r="C412" s="1102">
        <v>1.0003023061907614</v>
      </c>
      <c r="D412" s="1102">
        <v>0.97827443641149125</v>
      </c>
      <c r="E412" s="1102">
        <v>0.96628045841080035</v>
      </c>
      <c r="F412" s="1102">
        <v>0.97467730406659447</v>
      </c>
      <c r="G412" s="1102">
        <v>1.0058181160214468</v>
      </c>
      <c r="H412" s="1102">
        <v>0.98098508237232862</v>
      </c>
      <c r="I412" s="1102">
        <v>1.0124675843546731</v>
      </c>
      <c r="K412">
        <v>1.5298203470516121</v>
      </c>
      <c r="L412">
        <v>0</v>
      </c>
      <c r="M412">
        <v>1.6579731263207012E-3</v>
      </c>
      <c r="N412">
        <v>0.13776112510479144</v>
      </c>
      <c r="O412">
        <v>0.12061815365676801</v>
      </c>
      <c r="P412">
        <v>1.5051834650349155E-2</v>
      </c>
      <c r="Q412">
        <v>8.7503350715941353E-4</v>
      </c>
      <c r="R412">
        <v>1.654137434438617E-3</v>
      </c>
      <c r="S412">
        <v>0.12080389650327372</v>
      </c>
      <c r="T412">
        <v>0.80653949145343917</v>
      </c>
      <c r="U412">
        <v>0</v>
      </c>
      <c r="V412">
        <v>0.20512725055271447</v>
      </c>
      <c r="W412">
        <v>9.2356609472200632E-2</v>
      </c>
      <c r="X412">
        <v>2.6188771032514602E-2</v>
      </c>
      <c r="Y412">
        <v>4.5020168102831992E-3</v>
      </c>
    </row>
    <row r="413" spans="1:25" x14ac:dyDescent="0.25">
      <c r="A413" s="1098"/>
      <c r="B413" s="1457">
        <v>163</v>
      </c>
      <c r="C413" s="1102">
        <v>1.0045112906706604</v>
      </c>
      <c r="D413" s="1102">
        <v>0.99599528875661081</v>
      </c>
      <c r="E413" s="1102">
        <v>0.98436618228899964</v>
      </c>
      <c r="F413" s="1102">
        <v>0.99227621997252535</v>
      </c>
      <c r="G413" s="1102">
        <v>1.0162154750131378</v>
      </c>
      <c r="H413" s="1102">
        <v>0.9947342138808688</v>
      </c>
      <c r="I413" s="1102">
        <v>1.0207010404701562</v>
      </c>
      <c r="K413">
        <v>1.5487614481778478</v>
      </c>
      <c r="L413">
        <v>0</v>
      </c>
      <c r="M413">
        <v>1.5992308632960077E-3</v>
      </c>
      <c r="N413">
        <v>0.14036097022021235</v>
      </c>
      <c r="O413">
        <v>0.12082227906224194</v>
      </c>
      <c r="P413">
        <v>1.5454564169710711E-2</v>
      </c>
      <c r="Q413">
        <v>8.8172731547424223E-4</v>
      </c>
      <c r="R413">
        <v>1.5955776733259602E-3</v>
      </c>
      <c r="S413">
        <v>0.12126487464886354</v>
      </c>
      <c r="T413">
        <v>0.81990350752768515</v>
      </c>
      <c r="U413">
        <v>0</v>
      </c>
      <c r="V413">
        <v>0.20566110413948524</v>
      </c>
      <c r="W413">
        <v>9.3073755980429204E-2</v>
      </c>
      <c r="X413">
        <v>2.6999681858959457E-2</v>
      </c>
      <c r="Y413">
        <v>4.3426364447546129E-3</v>
      </c>
    </row>
    <row r="414" spans="1:25" x14ac:dyDescent="0.25">
      <c r="A414" s="1098"/>
      <c r="B414" s="1457">
        <v>164</v>
      </c>
      <c r="C414" s="1102">
        <v>1.0010585422129341</v>
      </c>
      <c r="D414" s="1102">
        <v>0.9999686912065614</v>
      </c>
      <c r="E414" s="1102">
        <v>0.99577847089247062</v>
      </c>
      <c r="F414" s="1102">
        <v>1.0173887566516764</v>
      </c>
      <c r="G414" s="1102">
        <v>0.98818650855917656</v>
      </c>
      <c r="H414" s="1102">
        <v>1.0290281971102984</v>
      </c>
      <c r="I414" s="1102">
        <v>0.9873107415942568</v>
      </c>
      <c r="K414">
        <v>1.581765073518218</v>
      </c>
      <c r="L414">
        <v>0</v>
      </c>
      <c r="M414">
        <v>1.620314256828611E-3</v>
      </c>
      <c r="N414">
        <v>0.14721548622619648</v>
      </c>
      <c r="O414">
        <v>0.12254931813011487</v>
      </c>
      <c r="P414">
        <v>1.5848900651563424E-2</v>
      </c>
      <c r="Q414">
        <v>8.9393101161800435E-4</v>
      </c>
      <c r="R414">
        <v>1.6167397919404957E-3</v>
      </c>
      <c r="S414">
        <v>0.12025800976921196</v>
      </c>
      <c r="T414">
        <v>0.83988344060928011</v>
      </c>
      <c r="U414">
        <v>0</v>
      </c>
      <c r="V414">
        <v>0.20588950543881776</v>
      </c>
      <c r="W414">
        <v>9.6953928710149712E-2</v>
      </c>
      <c r="X414">
        <v>2.7875894680619122E-2</v>
      </c>
      <c r="Y414">
        <v>4.400232755532852E-3</v>
      </c>
    </row>
    <row r="415" spans="1:25" x14ac:dyDescent="0.25">
      <c r="A415" s="1098"/>
      <c r="B415" s="1457">
        <v>165</v>
      </c>
      <c r="C415" s="1102">
        <v>0.96976082464459668</v>
      </c>
      <c r="D415" s="1102">
        <v>0.98907010302148524</v>
      </c>
      <c r="E415" s="1102">
        <v>0.99910536532505811</v>
      </c>
      <c r="F415" s="1102">
        <v>0.99859711370966764</v>
      </c>
      <c r="G415" s="1102">
        <v>1.0063097262214249</v>
      </c>
      <c r="H415" s="1102">
        <v>1.0376282710028286</v>
      </c>
      <c r="I415" s="1102">
        <v>1.016629294530021</v>
      </c>
      <c r="K415">
        <v>1.5902344883607591</v>
      </c>
      <c r="L415">
        <v>0</v>
      </c>
      <c r="M415">
        <v>1.6790250764060963E-3</v>
      </c>
      <c r="N415">
        <v>0.15409321919605554</v>
      </c>
      <c r="O415">
        <v>0.12335273945060883</v>
      </c>
      <c r="P415">
        <v>1.5833663987741615E-2</v>
      </c>
      <c r="Q415">
        <v>9.3004218573144754E-4</v>
      </c>
      <c r="R415">
        <v>1.675344517837843E-3</v>
      </c>
      <c r="S415">
        <v>0.12906072797103799</v>
      </c>
      <c r="T415">
        <v>0.82415081508720467</v>
      </c>
      <c r="U415">
        <v>0</v>
      </c>
      <c r="V415">
        <v>0.20878711942001935</v>
      </c>
      <c r="W415">
        <v>0.10128262877687026</v>
      </c>
      <c r="X415">
        <v>2.8187477343674362E-2</v>
      </c>
      <c r="Y415">
        <v>4.5597355003827306E-3</v>
      </c>
    </row>
    <row r="416" spans="1:25" x14ac:dyDescent="0.25">
      <c r="A416" s="1098"/>
      <c r="B416" s="1457">
        <v>166</v>
      </c>
      <c r="C416" s="1102">
        <v>0.99456056255231273</v>
      </c>
      <c r="D416" s="1102">
        <v>1.0003412016026991</v>
      </c>
      <c r="E416" s="1102">
        <v>0.97856389153593704</v>
      </c>
      <c r="F416" s="1102">
        <v>1.0003966549851855</v>
      </c>
      <c r="G416" s="1102">
        <v>1.0099161610672176</v>
      </c>
      <c r="H416" s="1102">
        <v>0.98874088934095994</v>
      </c>
      <c r="I416" s="1102">
        <v>1.0228056037267466</v>
      </c>
      <c r="K416">
        <v>1.5576535784219152</v>
      </c>
      <c r="L416">
        <v>0</v>
      </c>
      <c r="M416">
        <v>1.6207075880945248E-3</v>
      </c>
      <c r="N416">
        <v>0.13976854916311648</v>
      </c>
      <c r="O416">
        <v>0.1217273174527969</v>
      </c>
      <c r="P416">
        <v>1.5501630043611403E-2</v>
      </c>
      <c r="Q416">
        <v>8.8361462012947903E-4</v>
      </c>
      <c r="R416">
        <v>1.6169797990240702E-3</v>
      </c>
      <c r="S416">
        <v>0.12190392385456258</v>
      </c>
      <c r="T416">
        <v>0.82699996281439669</v>
      </c>
      <c r="U416">
        <v>0</v>
      </c>
      <c r="V416">
        <v>0.2064977095641384</v>
      </c>
      <c r="W416">
        <v>9.3005824676079721E-2</v>
      </c>
      <c r="X416">
        <v>2.6967888046458312E-2</v>
      </c>
      <c r="Y416">
        <v>4.4008859756960277E-3</v>
      </c>
    </row>
    <row r="417" spans="1:25" x14ac:dyDescent="0.25">
      <c r="A417" s="1098"/>
      <c r="B417" s="1457">
        <v>167</v>
      </c>
      <c r="C417" s="1102">
        <v>0.97026435188315441</v>
      </c>
      <c r="D417" s="1102">
        <v>1.037245315731284</v>
      </c>
      <c r="E417" s="1102">
        <v>0.9841426256764354</v>
      </c>
      <c r="F417" s="1102">
        <v>0.99467338766574509</v>
      </c>
      <c r="G417" s="1102">
        <v>1.0215268864075024</v>
      </c>
      <c r="H417" s="1102">
        <v>0.99567345944948082</v>
      </c>
      <c r="I417" s="1102">
        <v>1.0366608194377283</v>
      </c>
      <c r="K417">
        <v>1.5587020535761658</v>
      </c>
      <c r="L417">
        <v>0</v>
      </c>
      <c r="M417">
        <v>1.6166121627477264E-3</v>
      </c>
      <c r="N417">
        <v>0.14178793522754576</v>
      </c>
      <c r="O417">
        <v>0.12098329247959823</v>
      </c>
      <c r="P417">
        <v>1.5548637217718521E-2</v>
      </c>
      <c r="Q417">
        <v>8.9794110064324285E-4</v>
      </c>
      <c r="R417">
        <v>1.6128892040295506E-3</v>
      </c>
      <c r="S417">
        <v>0.12434556951076957</v>
      </c>
      <c r="T417">
        <v>0.82189904485594933</v>
      </c>
      <c r="U417">
        <v>0</v>
      </c>
      <c r="V417">
        <v>0.20775727041670752</v>
      </c>
      <c r="W417">
        <v>9.4032630286600929E-2</v>
      </c>
      <c r="X417">
        <v>2.7063702714764243E-2</v>
      </c>
      <c r="Y417">
        <v>4.3897527245852237E-3</v>
      </c>
    </row>
    <row r="418" spans="1:25" x14ac:dyDescent="0.25">
      <c r="A418" s="1098"/>
      <c r="B418" s="1457">
        <v>168</v>
      </c>
      <c r="C418" s="1102">
        <v>1.0234846349353715</v>
      </c>
      <c r="D418" s="1102">
        <v>0.97290898965896966</v>
      </c>
      <c r="E418" s="1102">
        <v>1.0206772369918027</v>
      </c>
      <c r="F418" s="1102">
        <v>1.015306173835397</v>
      </c>
      <c r="G418" s="1102">
        <v>0.99549883210698176</v>
      </c>
      <c r="H418" s="1102">
        <v>0.96957061584880655</v>
      </c>
      <c r="I418" s="1102">
        <v>0.96597655547467132</v>
      </c>
      <c r="K418">
        <v>1.5591067344574632</v>
      </c>
      <c r="L418">
        <v>0</v>
      </c>
      <c r="M418">
        <v>1.4423633812554123E-3</v>
      </c>
      <c r="N418">
        <v>0.14126224275564139</v>
      </c>
      <c r="O418">
        <v>0.1224058295668429</v>
      </c>
      <c r="P418">
        <v>1.5980729462179297E-2</v>
      </c>
      <c r="Q418">
        <v>9.0700639366398381E-4</v>
      </c>
      <c r="R418">
        <v>1.4390068075893908E-3</v>
      </c>
      <c r="S418">
        <v>0.11261166873178342</v>
      </c>
      <c r="T418">
        <v>0.83650210159978933</v>
      </c>
      <c r="U418">
        <v>0</v>
      </c>
      <c r="V418">
        <v>0.20512418347996025</v>
      </c>
      <c r="W418">
        <v>9.1675348542644558E-2</v>
      </c>
      <c r="X418">
        <v>2.8724478336830468E-2</v>
      </c>
      <c r="Y418">
        <v>3.9165021617916891E-3</v>
      </c>
    </row>
    <row r="419" spans="1:25" x14ac:dyDescent="0.25">
      <c r="A419" s="1098"/>
      <c r="B419" s="1457">
        <v>169</v>
      </c>
      <c r="C419" s="1102">
        <v>0.97694300873795925</v>
      </c>
      <c r="D419" s="1102">
        <v>1.0115596643353946</v>
      </c>
      <c r="E419" s="1102">
        <v>0.99029065661741666</v>
      </c>
      <c r="F419" s="1102">
        <v>0.95919423783925084</v>
      </c>
      <c r="G419" s="1102">
        <v>1.0005761466700678</v>
      </c>
      <c r="H419" s="1102">
        <v>0.99118452305862337</v>
      </c>
      <c r="I419" s="1102">
        <v>0.98517646479671095</v>
      </c>
      <c r="K419">
        <v>1.5192327198058435</v>
      </c>
      <c r="L419">
        <v>0</v>
      </c>
      <c r="M419">
        <v>1.5968639558542721E-3</v>
      </c>
      <c r="N419">
        <v>0.1426832541092139</v>
      </c>
      <c r="O419">
        <v>0.11918920793626694</v>
      </c>
      <c r="P419">
        <v>1.5105475340666282E-2</v>
      </c>
      <c r="Q419">
        <v>9.0659217819120128E-4</v>
      </c>
      <c r="R419">
        <v>1.5931764083505025E-3</v>
      </c>
      <c r="S419">
        <v>0.11860026837139645</v>
      </c>
      <c r="T419">
        <v>0.7921908793265755</v>
      </c>
      <c r="U419">
        <v>0</v>
      </c>
      <c r="V419">
        <v>0.20512327783111214</v>
      </c>
      <c r="W419">
        <v>9.4277760383719225E-2</v>
      </c>
      <c r="X419">
        <v>2.6823590883138064E-2</v>
      </c>
      <c r="Y419">
        <v>4.3361009930682013E-3</v>
      </c>
    </row>
    <row r="420" spans="1:25" x14ac:dyDescent="0.25">
      <c r="A420" s="1098"/>
      <c r="B420" s="1457">
        <v>170</v>
      </c>
      <c r="C420" s="1102">
        <v>0.95596089338308499</v>
      </c>
      <c r="D420" s="1102">
        <v>1.0166211043210647</v>
      </c>
      <c r="E420" s="1102">
        <v>1.0264285513100626</v>
      </c>
      <c r="F420" s="1102">
        <v>1.0087163193737856</v>
      </c>
      <c r="G420" s="1102">
        <v>1.0156988653489358</v>
      </c>
      <c r="H420" s="1102">
        <v>1.0073201460985957</v>
      </c>
      <c r="I420" s="1102">
        <v>0.99893744874797041</v>
      </c>
      <c r="K420">
        <v>1.591562061231836</v>
      </c>
      <c r="L420">
        <v>0</v>
      </c>
      <c r="M420">
        <v>1.5377784441477668E-3</v>
      </c>
      <c r="N420">
        <v>0.15325116785346318</v>
      </c>
      <c r="O420">
        <v>0.12351058420463999</v>
      </c>
      <c r="P420">
        <v>1.6197945933078092E-2</v>
      </c>
      <c r="Q420">
        <v>9.5978574118807435E-4</v>
      </c>
      <c r="R420">
        <v>1.5342894291178024E-3</v>
      </c>
      <c r="S420">
        <v>0.12411183692506372</v>
      </c>
      <c r="T420">
        <v>0.83069421500488583</v>
      </c>
      <c r="U420">
        <v>0</v>
      </c>
      <c r="V420">
        <v>0.21019647171748729</v>
      </c>
      <c r="W420">
        <v>9.9122675179849767E-2</v>
      </c>
      <c r="X420">
        <v>2.934503763952577E-2</v>
      </c>
      <c r="Y420">
        <v>4.1758300476842803E-3</v>
      </c>
    </row>
    <row r="421" spans="1:25" x14ac:dyDescent="0.25">
      <c r="A421" s="1098"/>
      <c r="B421" s="1457">
        <v>171</v>
      </c>
      <c r="C421" s="1102">
        <v>1.0004265789781344</v>
      </c>
      <c r="D421" s="1102">
        <v>1.0258602827274375</v>
      </c>
      <c r="E421" s="1102">
        <v>1.0160255555987301</v>
      </c>
      <c r="F421" s="1102">
        <v>1.0367558754078221</v>
      </c>
      <c r="G421" s="1102">
        <v>1.0283222406438222</v>
      </c>
      <c r="H421" s="1102">
        <v>1.0154274786274688</v>
      </c>
      <c r="I421" s="1102">
        <v>1.0008010617787986</v>
      </c>
      <c r="K421">
        <v>1.5958931025374476</v>
      </c>
      <c r="L421">
        <v>0</v>
      </c>
      <c r="M421">
        <v>1.5139293157282272E-3</v>
      </c>
      <c r="N421">
        <v>0.14621728584083407</v>
      </c>
      <c r="O421">
        <v>0.12272006927093672</v>
      </c>
      <c r="P421">
        <v>1.6305308404168741E-2</v>
      </c>
      <c r="Q421">
        <v>9.0411948444690739E-4</v>
      </c>
      <c r="R421">
        <v>1.5105347189360329E-3</v>
      </c>
      <c r="S421">
        <v>0.11920990905086339</v>
      </c>
      <c r="T421">
        <v>0.85448983164980075</v>
      </c>
      <c r="U421">
        <v>0</v>
      </c>
      <c r="V421">
        <v>0.2080101042532268</v>
      </c>
      <c r="W421">
        <v>9.5149968510531521E-2</v>
      </c>
      <c r="X421">
        <v>2.8778723112124142E-2</v>
      </c>
      <c r="Y421">
        <v>4.1111775573076112E-3</v>
      </c>
    </row>
    <row r="422" spans="1:25" x14ac:dyDescent="0.25">
      <c r="A422" s="1098"/>
      <c r="B422" s="1457">
        <v>172</v>
      </c>
      <c r="C422" s="1102">
        <v>1.0163072847496732</v>
      </c>
      <c r="D422" s="1102">
        <v>1.0044140174956113</v>
      </c>
      <c r="E422" s="1102">
        <v>1.0011717875589794</v>
      </c>
      <c r="F422" s="1102">
        <v>1.0008454673424425</v>
      </c>
      <c r="G422" s="1102">
        <v>1.0090704428340336</v>
      </c>
      <c r="H422" s="1102">
        <v>0.97770775392622045</v>
      </c>
      <c r="I422" s="1102">
        <v>1.0128769407086402</v>
      </c>
      <c r="K422">
        <v>1.5449340900811586</v>
      </c>
      <c r="L422">
        <v>0</v>
      </c>
      <c r="M422">
        <v>1.4955501231961189E-3</v>
      </c>
      <c r="N422">
        <v>0.13809605180802792</v>
      </c>
      <c r="O422">
        <v>0.12041022437226963</v>
      </c>
      <c r="P422">
        <v>1.5661449741273887E-2</v>
      </c>
      <c r="Q422">
        <v>8.8389029680902432E-4</v>
      </c>
      <c r="R422">
        <v>1.4920746218790902E-3</v>
      </c>
      <c r="S422">
        <v>0.11714868479882512</v>
      </c>
      <c r="T422">
        <v>0.82586988169633591</v>
      </c>
      <c r="U422">
        <v>0</v>
      </c>
      <c r="V422">
        <v>0.2045842465289954</v>
      </c>
      <c r="W422">
        <v>9.0656588164065022E-2</v>
      </c>
      <c r="X422">
        <v>2.7565612917384224E-2</v>
      </c>
      <c r="Y422">
        <v>4.0609352584879722E-3</v>
      </c>
    </row>
    <row r="423" spans="1:25" x14ac:dyDescent="0.25">
      <c r="A423" s="1098"/>
      <c r="B423" s="1457">
        <v>173</v>
      </c>
      <c r="C423" s="1102">
        <v>0.96289942300355269</v>
      </c>
      <c r="D423" s="1102">
        <v>1.0084285461569125</v>
      </c>
      <c r="E423" s="1102">
        <v>0.98609363165529695</v>
      </c>
      <c r="F423" s="1102">
        <v>1.0172686880154744</v>
      </c>
      <c r="G423" s="1102">
        <v>0.97411161516282274</v>
      </c>
      <c r="H423" s="1102">
        <v>1.0098653523764651</v>
      </c>
      <c r="I423" s="1102">
        <v>0.98514618807170196</v>
      </c>
      <c r="K423">
        <v>1.5898659133392086</v>
      </c>
      <c r="L423">
        <v>0</v>
      </c>
      <c r="M423">
        <v>1.6738510027208128E-3</v>
      </c>
      <c r="N423">
        <v>0.14768375850161239</v>
      </c>
      <c r="O423">
        <v>0.12421431595943658</v>
      </c>
      <c r="P423">
        <v>1.5801850028521334E-2</v>
      </c>
      <c r="Q423">
        <v>9.1693181832556362E-4</v>
      </c>
      <c r="R423">
        <v>1.6700723374229245E-3</v>
      </c>
      <c r="S423">
        <v>0.1223246010025785</v>
      </c>
      <c r="T423">
        <v>0.84043757981512257</v>
      </c>
      <c r="U423">
        <v>0</v>
      </c>
      <c r="V423">
        <v>0.20830942697477139</v>
      </c>
      <c r="W423">
        <v>9.7827844979017781E-2</v>
      </c>
      <c r="X423">
        <v>2.7807996561851085E-2</v>
      </c>
      <c r="Y423">
        <v>4.5453863632671301E-3</v>
      </c>
    </row>
    <row r="424" spans="1:25" x14ac:dyDescent="0.25">
      <c r="A424" s="1098"/>
      <c r="B424" s="1457">
        <v>174</v>
      </c>
      <c r="C424" s="1102">
        <v>1.0211757130036847</v>
      </c>
      <c r="D424" s="1102">
        <v>1.0112939207771965</v>
      </c>
      <c r="E424" s="1102">
        <v>1.0072384868769659</v>
      </c>
      <c r="F424" s="1102">
        <v>1.0131161771381316</v>
      </c>
      <c r="G424" s="1102">
        <v>1.024021909721484</v>
      </c>
      <c r="H424" s="1102">
        <v>0.99388718724295222</v>
      </c>
      <c r="I424" s="1102">
        <v>0.99610182779812328</v>
      </c>
      <c r="K424">
        <v>1.5576443066240946</v>
      </c>
      <c r="L424">
        <v>0</v>
      </c>
      <c r="M424">
        <v>1.4901828059285653E-3</v>
      </c>
      <c r="N424">
        <v>0.14015030245223739</v>
      </c>
      <c r="O424">
        <v>0.12070115748848961</v>
      </c>
      <c r="P424">
        <v>1.5853292115708843E-2</v>
      </c>
      <c r="Q424">
        <v>8.82800705814023E-4</v>
      </c>
      <c r="R424">
        <v>1.4867764708665777E-3</v>
      </c>
      <c r="S424">
        <v>0.11554296634557251</v>
      </c>
      <c r="T424">
        <v>0.83559042498010794</v>
      </c>
      <c r="U424">
        <v>0</v>
      </c>
      <c r="V424">
        <v>0.20530070428404884</v>
      </c>
      <c r="W424">
        <v>9.1675099945201288E-2</v>
      </c>
      <c r="X424">
        <v>2.7904449204008582E-2</v>
      </c>
      <c r="Y424">
        <v>4.0465154379669254E-3</v>
      </c>
    </row>
    <row r="425" spans="1:25" x14ac:dyDescent="0.25">
      <c r="A425" s="1098"/>
      <c r="B425" s="1457">
        <v>175</v>
      </c>
      <c r="C425" s="1102">
        <v>1.025194520800381</v>
      </c>
      <c r="D425" s="1102">
        <v>0.99716704337375028</v>
      </c>
      <c r="E425" s="1102">
        <v>1.000513863893699</v>
      </c>
      <c r="F425" s="1102">
        <v>0.99479323572899803</v>
      </c>
      <c r="G425" s="1102">
        <v>1.011900904338946</v>
      </c>
      <c r="H425" s="1102">
        <v>1.0363213525663895</v>
      </c>
      <c r="I425" s="1102">
        <v>1.0057925178210487</v>
      </c>
      <c r="K425">
        <v>1.554670546214872</v>
      </c>
      <c r="L425">
        <v>0</v>
      </c>
      <c r="M425">
        <v>1.5803691691688544E-3</v>
      </c>
      <c r="N425">
        <v>0.14565794110227842</v>
      </c>
      <c r="O425">
        <v>0.11986538866404201</v>
      </c>
      <c r="P425">
        <v>1.5621256171862132E-2</v>
      </c>
      <c r="Q425">
        <v>8.7817071835334171E-4</v>
      </c>
      <c r="R425">
        <v>1.5769090828485722E-3</v>
      </c>
      <c r="S425">
        <v>0.12040577103115205</v>
      </c>
      <c r="T425">
        <v>0.82091893653702752</v>
      </c>
      <c r="U425">
        <v>0</v>
      </c>
      <c r="V425">
        <v>0.20389116402939669</v>
      </c>
      <c r="W425">
        <v>9.5658151871262129E-2</v>
      </c>
      <c r="X425">
        <v>2.7485399480243367E-2</v>
      </c>
      <c r="Y425">
        <v>4.2918266955743597E-3</v>
      </c>
    </row>
    <row r="426" spans="1:25" x14ac:dyDescent="0.25">
      <c r="A426" s="1098"/>
      <c r="B426" s="1457">
        <v>176</v>
      </c>
      <c r="C426" s="1102">
        <v>1.0435727317597863</v>
      </c>
      <c r="D426" s="1102">
        <v>1.0003034390132011</v>
      </c>
      <c r="E426" s="1102">
        <v>1.0398195750219732</v>
      </c>
      <c r="F426" s="1102">
        <v>0.9713514310816177</v>
      </c>
      <c r="G426" s="1102">
        <v>0.98033538185058922</v>
      </c>
      <c r="H426" s="1102">
        <v>0.98343272491203793</v>
      </c>
      <c r="I426" s="1102">
        <v>1.0083326826809154</v>
      </c>
      <c r="K426">
        <v>1.5095432233200601</v>
      </c>
      <c r="L426">
        <v>0</v>
      </c>
      <c r="M426">
        <v>1.3544967221655467E-3</v>
      </c>
      <c r="N426">
        <v>0.14053935357425124</v>
      </c>
      <c r="O426">
        <v>0.11710068258718165</v>
      </c>
      <c r="P426">
        <v>1.5628593670013423E-2</v>
      </c>
      <c r="Q426">
        <v>8.9707211202873758E-4</v>
      </c>
      <c r="R426">
        <v>1.3513684317803471E-3</v>
      </c>
      <c r="S426">
        <v>0.11433987726668983</v>
      </c>
      <c r="T426">
        <v>0.79907887824928181</v>
      </c>
      <c r="U426">
        <v>0</v>
      </c>
      <c r="V426">
        <v>0.199780396127308</v>
      </c>
      <c r="W426">
        <v>9.0198553805066611E-2</v>
      </c>
      <c r="X426">
        <v>2.8304964825800503E-2</v>
      </c>
      <c r="Y426">
        <v>3.6779793928222938E-3</v>
      </c>
    </row>
    <row r="427" spans="1:25" x14ac:dyDescent="0.25">
      <c r="A427" s="1098"/>
      <c r="B427" s="1457">
        <v>177</v>
      </c>
      <c r="C427" s="1102">
        <v>1.0200039899920266</v>
      </c>
      <c r="D427" s="1102">
        <v>1.0292633230096546</v>
      </c>
      <c r="E427" s="1102">
        <v>1.0058040843464289</v>
      </c>
      <c r="F427" s="1102">
        <v>1.0222748255038656</v>
      </c>
      <c r="G427" s="1102">
        <v>0.98796666105250386</v>
      </c>
      <c r="H427" s="1102">
        <v>1.0336267973661739</v>
      </c>
      <c r="I427" s="1102">
        <v>1.0197458643361281</v>
      </c>
      <c r="K427">
        <v>1.575726258857969</v>
      </c>
      <c r="L427">
        <v>0</v>
      </c>
      <c r="M427">
        <v>1.541497577100122E-3</v>
      </c>
      <c r="N427">
        <v>0.14436173325178805</v>
      </c>
      <c r="O427">
        <v>0.12061451459300104</v>
      </c>
      <c r="P427">
        <v>1.5984950090571215E-2</v>
      </c>
      <c r="Q427">
        <v>8.7631045965590464E-4</v>
      </c>
      <c r="R427">
        <v>1.5381011693034806E-3</v>
      </c>
      <c r="S427">
        <v>0.12032768772062351</v>
      </c>
      <c r="T427">
        <v>0.84324071795868671</v>
      </c>
      <c r="U427">
        <v>0</v>
      </c>
      <c r="V427">
        <v>0.20371086590398954</v>
      </c>
      <c r="W427">
        <v>9.4510005757571111E-2</v>
      </c>
      <c r="X427">
        <v>2.7916665181949001E-2</v>
      </c>
      <c r="Y427">
        <v>4.1862043479298843E-3</v>
      </c>
    </row>
    <row r="428" spans="1:25" x14ac:dyDescent="0.25">
      <c r="A428" s="1098"/>
      <c r="B428" s="1457">
        <v>178</v>
      </c>
      <c r="C428" s="1102">
        <v>1.0135769419566587</v>
      </c>
      <c r="D428" s="1102">
        <v>0.99131635844764798</v>
      </c>
      <c r="E428" s="1102">
        <v>0.98352967119570123</v>
      </c>
      <c r="F428" s="1102">
        <v>0.9799810734666774</v>
      </c>
      <c r="G428" s="1102">
        <v>0.95930675687285238</v>
      </c>
      <c r="H428" s="1102">
        <v>0.98163746103983207</v>
      </c>
      <c r="I428" s="1102">
        <v>0.98058873415887604</v>
      </c>
      <c r="K428">
        <v>1.5217574249645021</v>
      </c>
      <c r="L428">
        <v>0</v>
      </c>
      <c r="M428">
        <v>1.570476171407128E-3</v>
      </c>
      <c r="N428">
        <v>0.13748486372693661</v>
      </c>
      <c r="O428">
        <v>0.11970284258856922</v>
      </c>
      <c r="P428">
        <v>1.5169397663777904E-2</v>
      </c>
      <c r="Q428">
        <v>8.7472289722217295E-4</v>
      </c>
      <c r="R428">
        <v>1.5668425469155898E-3</v>
      </c>
      <c r="S428">
        <v>0.11474887938727069</v>
      </c>
      <c r="T428">
        <v>0.80979874634381055</v>
      </c>
      <c r="U428">
        <v>0</v>
      </c>
      <c r="V428">
        <v>0.20183899393087143</v>
      </c>
      <c r="W428">
        <v>9.1212518080487373E-2</v>
      </c>
      <c r="X428">
        <v>2.6665665066848331E-2</v>
      </c>
      <c r="Y428">
        <v>4.2644289031974593E-3</v>
      </c>
    </row>
    <row r="429" spans="1:25" x14ac:dyDescent="0.25">
      <c r="A429" s="1098"/>
      <c r="B429" s="1457">
        <v>179</v>
      </c>
      <c r="C429" s="1102">
        <v>1.0007419482633564</v>
      </c>
      <c r="D429" s="1102">
        <v>1.0254744001625868</v>
      </c>
      <c r="E429" s="1102">
        <v>1.0057285433322791</v>
      </c>
      <c r="F429" s="1102">
        <v>0.97650289892005204</v>
      </c>
      <c r="G429" s="1102">
        <v>0.99535143632214873</v>
      </c>
      <c r="H429" s="1102">
        <v>0.9657708565621993</v>
      </c>
      <c r="I429" s="1102">
        <v>1.020826361207237</v>
      </c>
      <c r="K429">
        <v>1.5191619936328531</v>
      </c>
      <c r="L429">
        <v>0</v>
      </c>
      <c r="M429">
        <v>1.4644272884930523E-3</v>
      </c>
      <c r="N429">
        <v>0.13709019429663821</v>
      </c>
      <c r="O429">
        <v>0.11857931731812106</v>
      </c>
      <c r="P429">
        <v>1.5420782569811664E-2</v>
      </c>
      <c r="Q429">
        <v>8.9442621777433245E-4</v>
      </c>
      <c r="R429">
        <v>1.4609598531033574E-3</v>
      </c>
      <c r="S429">
        <v>0.11725548099437909</v>
      </c>
      <c r="T429">
        <v>0.80548982431233485</v>
      </c>
      <c r="U429">
        <v>0</v>
      </c>
      <c r="V429">
        <v>0.20339089071824701</v>
      </c>
      <c r="W429">
        <v>8.9753522915698339E-2</v>
      </c>
      <c r="X429">
        <v>2.7314770610375249E-2</v>
      </c>
      <c r="Y429">
        <v>3.9762511148611979E-3</v>
      </c>
    </row>
    <row r="430" spans="1:25" x14ac:dyDescent="0.25">
      <c r="A430" s="1098"/>
      <c r="B430" s="1457">
        <v>180</v>
      </c>
      <c r="C430" s="1102">
        <v>1.0048121937655738</v>
      </c>
      <c r="D430" s="1102">
        <v>1.044603893710113</v>
      </c>
      <c r="E430" s="1102">
        <v>1.0186641591893386</v>
      </c>
      <c r="F430" s="1102">
        <v>1.0133002557669639</v>
      </c>
      <c r="G430" s="1102">
        <v>0.99341620597990032</v>
      </c>
      <c r="H430" s="1102">
        <v>1.0429969237797683</v>
      </c>
      <c r="I430" s="1102">
        <v>0.98064337715610417</v>
      </c>
      <c r="K430">
        <v>1.5702089528612087</v>
      </c>
      <c r="L430">
        <v>0</v>
      </c>
      <c r="M430">
        <v>1.521927862718439E-3</v>
      </c>
      <c r="N430">
        <v>0.14817211502693189</v>
      </c>
      <c r="O430">
        <v>0.12008281307333708</v>
      </c>
      <c r="P430">
        <v>1.5986412292888559E-2</v>
      </c>
      <c r="Q430">
        <v>8.9610311683331156E-4</v>
      </c>
      <c r="R430">
        <v>1.5185908350184736E-3</v>
      </c>
      <c r="S430">
        <v>0.11703205851501434</v>
      </c>
      <c r="T430">
        <v>0.83498280527243729</v>
      </c>
      <c r="U430">
        <v>0</v>
      </c>
      <c r="V430">
        <v>0.20433655889888566</v>
      </c>
      <c r="W430">
        <v>9.6273016320202881E-2</v>
      </c>
      <c r="X430">
        <v>2.8317303722791523E-2</v>
      </c>
      <c r="Y430">
        <v>4.1331036495860628E-3</v>
      </c>
    </row>
    <row r="431" spans="1:25" x14ac:dyDescent="0.25">
      <c r="A431" s="1098"/>
      <c r="B431" s="1457">
        <v>181</v>
      </c>
      <c r="C431" s="1102">
        <v>1.0311773995800895</v>
      </c>
      <c r="D431" s="1102">
        <v>0.99811032023807778</v>
      </c>
      <c r="E431" s="1102">
        <v>0.99311516921203991</v>
      </c>
      <c r="F431" s="1102">
        <v>0.98794049451372579</v>
      </c>
      <c r="G431" s="1102">
        <v>1.0275626719574156</v>
      </c>
      <c r="H431" s="1102">
        <v>0.97143346787171392</v>
      </c>
      <c r="I431" s="1102">
        <v>1.0152115639520811</v>
      </c>
      <c r="K431">
        <v>1.5250022761180904</v>
      </c>
      <c r="L431">
        <v>0</v>
      </c>
      <c r="M431">
        <v>1.4946319059882982E-3</v>
      </c>
      <c r="N431">
        <v>0.13469015910574211</v>
      </c>
      <c r="O431">
        <v>0.11907243948358204</v>
      </c>
      <c r="P431">
        <v>1.5398113355861165E-2</v>
      </c>
      <c r="Q431">
        <v>8.6606492941635491E-4</v>
      </c>
      <c r="R431">
        <v>1.491140040914664E-3</v>
      </c>
      <c r="S431">
        <v>0.11566151065457482</v>
      </c>
      <c r="T431">
        <v>0.81574722714902215</v>
      </c>
      <c r="U431">
        <v>0</v>
      </c>
      <c r="V431">
        <v>0.20372198287457027</v>
      </c>
      <c r="W431">
        <v>8.884607700651613E-2</v>
      </c>
      <c r="X431">
        <v>2.6943801786690279E-2</v>
      </c>
      <c r="Y431">
        <v>4.0583916371873374E-3</v>
      </c>
    </row>
    <row r="432" spans="1:25" x14ac:dyDescent="0.25">
      <c r="A432" s="1098"/>
      <c r="B432" s="1457">
        <v>182</v>
      </c>
      <c r="C432" s="1102">
        <v>1.029765613354098</v>
      </c>
      <c r="D432" s="1102">
        <v>1.008751683314103</v>
      </c>
      <c r="E432" s="1102">
        <v>0.97301165430301351</v>
      </c>
      <c r="F432" s="1102">
        <v>0.98175710089732715</v>
      </c>
      <c r="G432" s="1102">
        <v>1.0018202894903134</v>
      </c>
      <c r="H432" s="1102">
        <v>1.0215478376791249</v>
      </c>
      <c r="I432" s="1102">
        <v>0.99452142005853539</v>
      </c>
      <c r="K432">
        <v>1.5256938751794251</v>
      </c>
      <c r="L432">
        <v>0</v>
      </c>
      <c r="M432">
        <v>1.6299535875421072E-3</v>
      </c>
      <c r="N432">
        <v>0.13823367252876445</v>
      </c>
      <c r="O432">
        <v>0.1183105407132006</v>
      </c>
      <c r="P432">
        <v>1.5102667310686218E-2</v>
      </c>
      <c r="Q432">
        <v>8.4560720526510988E-4</v>
      </c>
      <c r="R432">
        <v>1.6263238733276043E-3</v>
      </c>
      <c r="S432">
        <v>0.11648268216195246</v>
      </c>
      <c r="T432">
        <v>0.8119552620794197</v>
      </c>
      <c r="U432">
        <v>0</v>
      </c>
      <c r="V432">
        <v>0.20201077415094135</v>
      </c>
      <c r="W432">
        <v>9.2294413201757033E-2</v>
      </c>
      <c r="X432">
        <v>2.6035568075974163E-2</v>
      </c>
      <c r="Y432">
        <v>4.4263174656769821E-3</v>
      </c>
    </row>
    <row r="433" spans="1:25" x14ac:dyDescent="0.25">
      <c r="A433" s="1098"/>
      <c r="B433" s="1457">
        <v>183</v>
      </c>
      <c r="C433" s="1102">
        <v>1.0068147992571397</v>
      </c>
      <c r="D433" s="1102">
        <v>0.99030797280102134</v>
      </c>
      <c r="E433" s="1102">
        <v>0.97639253309290852</v>
      </c>
      <c r="F433" s="1102">
        <v>0.96664340701668572</v>
      </c>
      <c r="G433" s="1102">
        <v>1.0058130930885232</v>
      </c>
      <c r="H433" s="1102">
        <v>1.0065600121521754</v>
      </c>
      <c r="I433" s="1102">
        <v>0.99099563208904329</v>
      </c>
      <c r="K433">
        <v>1.5221487136837608</v>
      </c>
      <c r="L433">
        <v>0</v>
      </c>
      <c r="M433">
        <v>1.64363526107114E-3</v>
      </c>
      <c r="N433">
        <v>0.14082317272446593</v>
      </c>
      <c r="O433">
        <v>0.11916145040449026</v>
      </c>
      <c r="P433">
        <v>1.5024472231998799E-2</v>
      </c>
      <c r="Q433">
        <v>8.7439191686760416E-4</v>
      </c>
      <c r="R433">
        <v>1.6399213347798895E-3</v>
      </c>
      <c r="S433">
        <v>0.11863305588273512</v>
      </c>
      <c r="T433">
        <v>0.79923718010070188</v>
      </c>
      <c r="U433">
        <v>0</v>
      </c>
      <c r="V433">
        <v>0.20381708856926131</v>
      </c>
      <c r="W433">
        <v>9.3830788542469901E-2</v>
      </c>
      <c r="X433">
        <v>2.6287501963712285E-2</v>
      </c>
      <c r="Y433">
        <v>4.4633252733481382E-3</v>
      </c>
    </row>
    <row r="434" spans="1:25" x14ac:dyDescent="0.25">
      <c r="A434" s="1098"/>
      <c r="B434" s="1457">
        <v>184</v>
      </c>
      <c r="C434" s="1102">
        <v>1.0339979266512331</v>
      </c>
      <c r="D434" s="1102">
        <v>0.98781127577639416</v>
      </c>
      <c r="E434" s="1102">
        <v>1.0211810030224275</v>
      </c>
      <c r="F434" s="1102">
        <v>0.97634246960064275</v>
      </c>
      <c r="G434" s="1102">
        <v>0.96945228141524709</v>
      </c>
      <c r="H434" s="1102">
        <v>1.0445506797338382</v>
      </c>
      <c r="I434" s="1102">
        <v>1.020385847169764</v>
      </c>
      <c r="K434">
        <v>1.5403879933191624</v>
      </c>
      <c r="L434">
        <v>0</v>
      </c>
      <c r="M434">
        <v>1.5198637258550321E-3</v>
      </c>
      <c r="N434">
        <v>0.14910225748254116</v>
      </c>
      <c r="O434">
        <v>0.11849227050571734</v>
      </c>
      <c r="P434">
        <v>1.5615366107983669E-2</v>
      </c>
      <c r="Q434">
        <v>8.9280297672392011E-4</v>
      </c>
      <c r="R434">
        <v>1.5165648812358969E-3</v>
      </c>
      <c r="S434">
        <v>0.12241979212701287</v>
      </c>
      <c r="T434">
        <v>0.80436810154250304</v>
      </c>
      <c r="U434">
        <v>0</v>
      </c>
      <c r="V434">
        <v>0.20063030347580038</v>
      </c>
      <c r="W434">
        <v>9.6734810578278665E-2</v>
      </c>
      <c r="X434">
        <v>2.8007997695973782E-2</v>
      </c>
      <c r="Y434">
        <v>4.1275896712453727E-3</v>
      </c>
    </row>
    <row r="435" spans="1:25" x14ac:dyDescent="0.25">
      <c r="A435" s="1098"/>
      <c r="B435" s="1457">
        <v>185</v>
      </c>
      <c r="C435" s="1102">
        <v>0.98180471850625317</v>
      </c>
      <c r="D435" s="1102">
        <v>1.0018991102973724</v>
      </c>
      <c r="E435" s="1102">
        <v>0.98401184739058867</v>
      </c>
      <c r="F435" s="1102">
        <v>0.9913408781748434</v>
      </c>
      <c r="G435" s="1102">
        <v>0.99110066186722534</v>
      </c>
      <c r="H435" s="1102">
        <v>1.025472025728517</v>
      </c>
      <c r="I435" s="1102">
        <v>0.9990287772319576</v>
      </c>
      <c r="K435">
        <v>1.5634193604039326</v>
      </c>
      <c r="L435">
        <v>0</v>
      </c>
      <c r="M435">
        <v>1.6794118550063964E-3</v>
      </c>
      <c r="N435">
        <v>0.14724959327547527</v>
      </c>
      <c r="O435">
        <v>0.12166923511288071</v>
      </c>
      <c r="P435">
        <v>1.5476072682349479E-2</v>
      </c>
      <c r="Q435">
        <v>8.9965587035912068E-4</v>
      </c>
      <c r="R435">
        <v>1.6756802669329462E-3</v>
      </c>
      <c r="S435">
        <v>0.12333693880427891</v>
      </c>
      <c r="T435">
        <v>0.81915401592515114</v>
      </c>
      <c r="U435">
        <v>0</v>
      </c>
      <c r="V435">
        <v>0.20623986775895903</v>
      </c>
      <c r="W435">
        <v>9.7662445372475523E-2</v>
      </c>
      <c r="X435">
        <v>2.7174617891334713E-2</v>
      </c>
      <c r="Y435">
        <v>4.5606492987399416E-3</v>
      </c>
    </row>
    <row r="436" spans="1:25" x14ac:dyDescent="0.25">
      <c r="A436" s="1098"/>
      <c r="B436" s="1457">
        <v>186</v>
      </c>
      <c r="C436" s="1102">
        <v>0.99787408550490464</v>
      </c>
      <c r="D436" s="1102">
        <v>1.0006475852991612</v>
      </c>
      <c r="E436" s="1102">
        <v>0.99865064581081353</v>
      </c>
      <c r="F436" s="1102">
        <v>1.0141258993063456</v>
      </c>
      <c r="G436" s="1102">
        <v>1.0074443377067632</v>
      </c>
      <c r="H436" s="1102">
        <v>1.002592987722267</v>
      </c>
      <c r="I436" s="1102">
        <v>1.0309324298780447</v>
      </c>
      <c r="K436">
        <v>1.5779675244881828</v>
      </c>
      <c r="L436">
        <v>0</v>
      </c>
      <c r="M436">
        <v>1.5729725973377673E-3</v>
      </c>
      <c r="N436">
        <v>0.1441513946099503</v>
      </c>
      <c r="O436">
        <v>0.122448118482439</v>
      </c>
      <c r="P436">
        <v>1.5903916326951161E-2</v>
      </c>
      <c r="Q436">
        <v>8.9921809174021018E-4</v>
      </c>
      <c r="R436">
        <v>1.5694089841210522E-3</v>
      </c>
      <c r="S436">
        <v>0.12372070702710329</v>
      </c>
      <c r="T436">
        <v>0.83699731447279679</v>
      </c>
      <c r="U436">
        <v>0</v>
      </c>
      <c r="V436">
        <v>0.20684341914517204</v>
      </c>
      <c r="W436">
        <v>9.4773683784697249E-2</v>
      </c>
      <c r="X436">
        <v>2.7961902261302893E-2</v>
      </c>
      <c r="Y436">
        <v>4.2714138992449319E-3</v>
      </c>
    </row>
    <row r="437" spans="1:25" x14ac:dyDescent="0.25">
      <c r="A437" s="1098"/>
      <c r="B437" s="1457">
        <v>187</v>
      </c>
      <c r="C437" s="1102">
        <v>0.99205874865785637</v>
      </c>
      <c r="D437" s="1102">
        <v>0.99390120959078221</v>
      </c>
      <c r="E437" s="1102">
        <v>1.0129215600858259</v>
      </c>
      <c r="F437" s="1102">
        <v>1.0010746727683302</v>
      </c>
      <c r="G437" s="1102">
        <v>1.0042078978529021</v>
      </c>
      <c r="H437" s="1102">
        <v>1.0006737523236826</v>
      </c>
      <c r="I437" s="1102">
        <v>0.97814959760504505</v>
      </c>
      <c r="K437">
        <v>1.5646664333146256</v>
      </c>
      <c r="L437">
        <v>0</v>
      </c>
      <c r="M437">
        <v>1.5367606807342258E-3</v>
      </c>
      <c r="N437">
        <v>0.14703428739034341</v>
      </c>
      <c r="O437">
        <v>0.12209177164318137</v>
      </c>
      <c r="P437">
        <v>1.5836395226848904E-2</v>
      </c>
      <c r="Q437">
        <v>9.2041716506109682E-4</v>
      </c>
      <c r="R437">
        <v>1.5332713951751833E-3</v>
      </c>
      <c r="S437">
        <v>0.11831693854607774</v>
      </c>
      <c r="T437">
        <v>0.82528520911852188</v>
      </c>
      <c r="U437">
        <v>0</v>
      </c>
      <c r="V437">
        <v>0.20674497228346259</v>
      </c>
      <c r="W437">
        <v>9.5856301517980955E-2</v>
      </c>
      <c r="X437">
        <v>2.8410570413817417E-2</v>
      </c>
      <c r="Y437">
        <v>4.1730592948872698E-3</v>
      </c>
    </row>
    <row r="438" spans="1:25" x14ac:dyDescent="0.25">
      <c r="A438" s="1098"/>
      <c r="B438" s="1457">
        <v>188</v>
      </c>
      <c r="C438" s="1102">
        <v>1.0240168489811341</v>
      </c>
      <c r="D438" s="1102">
        <v>0.99120810183352936</v>
      </c>
      <c r="E438" s="1102">
        <v>0.97518784765281119</v>
      </c>
      <c r="F438" s="1102">
        <v>0.97175941740613847</v>
      </c>
      <c r="G438" s="1102">
        <v>0.98913970874128465</v>
      </c>
      <c r="H438" s="1102">
        <v>1.0204421129522638</v>
      </c>
      <c r="I438" s="1102">
        <v>0.96311511092023794</v>
      </c>
      <c r="K438">
        <v>1.5189573359110169</v>
      </c>
      <c r="L438">
        <v>0</v>
      </c>
      <c r="M438">
        <v>1.644313597178856E-3</v>
      </c>
      <c r="N438">
        <v>0.14037336364956748</v>
      </c>
      <c r="O438">
        <v>0.11863763856446485</v>
      </c>
      <c r="P438">
        <v>1.4986716377862743E-2</v>
      </c>
      <c r="Q438">
        <v>8.5830429565899094E-4</v>
      </c>
      <c r="R438">
        <v>1.6406542884377655E-3</v>
      </c>
      <c r="S438">
        <v>0.11446098958221951</v>
      </c>
      <c r="T438">
        <v>0.80354537916341673</v>
      </c>
      <c r="U438">
        <v>0</v>
      </c>
      <c r="V438">
        <v>0.20189789353400334</v>
      </c>
      <c r="W438">
        <v>9.3599368308151076E-2</v>
      </c>
      <c r="X438">
        <v>2.6136021612825043E-2</v>
      </c>
      <c r="Y438">
        <v>4.4653201315867684E-3</v>
      </c>
    </row>
    <row r="439" spans="1:25" x14ac:dyDescent="0.25">
      <c r="A439" s="1098"/>
      <c r="B439" s="1457">
        <v>189</v>
      </c>
      <c r="C439" s="1102">
        <v>0.95488420080804148</v>
      </c>
      <c r="D439" s="1102">
        <v>1.026590085226482</v>
      </c>
      <c r="E439" s="1102">
        <v>1.0086443558126488</v>
      </c>
      <c r="F439" s="1102">
        <v>0.99579638706352935</v>
      </c>
      <c r="G439" s="1102">
        <v>0.99490236159808121</v>
      </c>
      <c r="H439" s="1102">
        <v>0.97734514010442919</v>
      </c>
      <c r="I439" s="1102">
        <v>1.0115715298868704</v>
      </c>
      <c r="K439">
        <v>1.5640134488935378</v>
      </c>
      <c r="L439">
        <v>0</v>
      </c>
      <c r="M439">
        <v>1.5398306099187822E-3</v>
      </c>
      <c r="N439">
        <v>0.14542711261365704</v>
      </c>
      <c r="O439">
        <v>0.12227184141805587</v>
      </c>
      <c r="P439">
        <v>1.5810045084147514E-2</v>
      </c>
      <c r="Q439">
        <v>9.3979890911552422E-4</v>
      </c>
      <c r="R439">
        <v>1.5362201608500521E-3</v>
      </c>
      <c r="S439">
        <v>0.12249876729834293</v>
      </c>
      <c r="T439">
        <v>0.82121347945820389</v>
      </c>
      <c r="U439">
        <v>0</v>
      </c>
      <c r="V439">
        <v>0.20835247290260248</v>
      </c>
      <c r="W439">
        <v>9.5047810365132088E-2</v>
      </c>
      <c r="X439">
        <v>2.8274646430356768E-2</v>
      </c>
      <c r="Y439">
        <v>4.1810848629939184E-3</v>
      </c>
    </row>
    <row r="440" spans="1:25" x14ac:dyDescent="0.25">
      <c r="A440" s="1098"/>
      <c r="B440" s="1457">
        <v>190</v>
      </c>
      <c r="C440" s="1102">
        <v>1.0240952125020948</v>
      </c>
      <c r="D440" s="1102">
        <v>0.9987477621108698</v>
      </c>
      <c r="E440" s="1102">
        <v>0.97310410653881796</v>
      </c>
      <c r="F440" s="1102">
        <v>0.99462323506193295</v>
      </c>
      <c r="G440" s="1102">
        <v>0.99239989240364468</v>
      </c>
      <c r="H440" s="1102">
        <v>0.99560791078997268</v>
      </c>
      <c r="I440" s="1102">
        <v>1.0035687032427283</v>
      </c>
      <c r="K440">
        <v>1.5366120756268671</v>
      </c>
      <c r="L440">
        <v>0</v>
      </c>
      <c r="M440">
        <v>1.6070509818898421E-3</v>
      </c>
      <c r="N440">
        <v>0.13632226478781753</v>
      </c>
      <c r="O440">
        <v>0.11991578158120365</v>
      </c>
      <c r="P440">
        <v>1.5264910971251842E-2</v>
      </c>
      <c r="Q440">
        <v>8.5376891619872233E-4</v>
      </c>
      <c r="R440">
        <v>1.6033872901033363E-3</v>
      </c>
      <c r="S440">
        <v>0.11692665114130493</v>
      </c>
      <c r="T440">
        <v>0.82258995701940318</v>
      </c>
      <c r="U440">
        <v>0</v>
      </c>
      <c r="V440">
        <v>0.20299748028143313</v>
      </c>
      <c r="W440">
        <v>9.1013115477700343E-2</v>
      </c>
      <c r="X440">
        <v>2.636791749515497E-2</v>
      </c>
      <c r="Y440">
        <v>4.3638916471831499E-3</v>
      </c>
    </row>
    <row r="441" spans="1:25" x14ac:dyDescent="0.25">
      <c r="A441" s="1098"/>
      <c r="B441" s="1457">
        <v>191</v>
      </c>
      <c r="C441" s="1102">
        <v>1.015542147787593</v>
      </c>
      <c r="D441" s="1102">
        <v>0.99699023720823832</v>
      </c>
      <c r="E441" s="1102">
        <v>0.98591729914115711</v>
      </c>
      <c r="F441" s="1102">
        <v>0.99249053020668299</v>
      </c>
      <c r="G441" s="1102">
        <v>0.95748794194389375</v>
      </c>
      <c r="H441" s="1102">
        <v>1.0060472523582513</v>
      </c>
      <c r="I441" s="1102">
        <v>1.015733794310298</v>
      </c>
      <c r="K441">
        <v>1.5439566971221437</v>
      </c>
      <c r="L441">
        <v>0</v>
      </c>
      <c r="M441">
        <v>1.5951292908756749E-3</v>
      </c>
      <c r="N441">
        <v>0.140663154508544</v>
      </c>
      <c r="O441">
        <v>0.12023484781748504</v>
      </c>
      <c r="P441">
        <v>1.5411862837601195E-2</v>
      </c>
      <c r="Q441">
        <v>8.7321605765411001E-4</v>
      </c>
      <c r="R441">
        <v>1.5915288010164149E-3</v>
      </c>
      <c r="S441">
        <v>0.12025945504023378</v>
      </c>
      <c r="T441">
        <v>0.81997822401220022</v>
      </c>
      <c r="U441">
        <v>0</v>
      </c>
      <c r="V441">
        <v>0.20208467347598566</v>
      </c>
      <c r="W441">
        <v>9.3187170322773571E-2</v>
      </c>
      <c r="X441">
        <v>2.6936076790486554E-2</v>
      </c>
      <c r="Y441">
        <v>4.3316167490384284E-3</v>
      </c>
    </row>
    <row r="442" spans="1:25" x14ac:dyDescent="0.25">
      <c r="A442" s="1098"/>
      <c r="B442" s="1457">
        <v>192</v>
      </c>
      <c r="C442" s="1102">
        <v>0.98355239325597277</v>
      </c>
      <c r="D442" s="1102">
        <v>0.97410337315997741</v>
      </c>
      <c r="E442" s="1102">
        <v>0.98132057566073616</v>
      </c>
      <c r="F442" s="1102">
        <v>1.0014096079611623</v>
      </c>
      <c r="G442" s="1102">
        <v>0.98670062566370875</v>
      </c>
      <c r="H442" s="1102">
        <v>1.015969412239049</v>
      </c>
      <c r="I442" s="1102">
        <v>1.0206131223027894</v>
      </c>
      <c r="K442">
        <v>1.5800761473189531</v>
      </c>
      <c r="L442">
        <v>0</v>
      </c>
      <c r="M442">
        <v>1.6984645992222211E-3</v>
      </c>
      <c r="N442">
        <v>0.14771140598706467</v>
      </c>
      <c r="O442">
        <v>0.12354475115039397</v>
      </c>
      <c r="P442">
        <v>1.562427569847148E-2</v>
      </c>
      <c r="Q442">
        <v>9.0566694979473577E-4</v>
      </c>
      <c r="R442">
        <v>1.6946764528360939E-3</v>
      </c>
      <c r="S442">
        <v>0.12718230542150488</v>
      </c>
      <c r="T442">
        <v>0.82765331930479635</v>
      </c>
      <c r="U442">
        <v>0</v>
      </c>
      <c r="V442">
        <v>0.20726368746604976</v>
      </c>
      <c r="W442">
        <v>9.8127737275314209E-2</v>
      </c>
      <c r="X442">
        <v>2.7454435557271669E-2</v>
      </c>
      <c r="Y442">
        <v>4.6123506546773118E-3</v>
      </c>
    </row>
    <row r="443" spans="1:25" x14ac:dyDescent="0.25">
      <c r="A443" s="1098"/>
      <c r="B443" s="1457">
        <v>193</v>
      </c>
      <c r="C443" s="1102">
        <v>1.0253719927963314</v>
      </c>
      <c r="D443" s="1102">
        <v>0.97907736632523135</v>
      </c>
      <c r="E443" s="1102">
        <v>1.0113300960577909</v>
      </c>
      <c r="F443" s="1102">
        <v>0.99213505414489966</v>
      </c>
      <c r="G443" s="1102">
        <v>1.0068954894576727</v>
      </c>
      <c r="H443" s="1102">
        <v>1.006273438018787</v>
      </c>
      <c r="I443" s="1102">
        <v>0.9907968534831888</v>
      </c>
      <c r="K443">
        <v>1.547236784413097</v>
      </c>
      <c r="L443">
        <v>0</v>
      </c>
      <c r="M443">
        <v>1.5155857022056288E-3</v>
      </c>
      <c r="N443">
        <v>0.14431658914202403</v>
      </c>
      <c r="O443">
        <v>0.12043538760844716</v>
      </c>
      <c r="P443">
        <v>1.5670818064442919E-2</v>
      </c>
      <c r="Q443">
        <v>8.9441513131553838E-4</v>
      </c>
      <c r="R443">
        <v>1.5121781752504258E-3</v>
      </c>
      <c r="S443">
        <v>0.11756564364021875</v>
      </c>
      <c r="T443">
        <v>0.81801900844980235</v>
      </c>
      <c r="U443">
        <v>0</v>
      </c>
      <c r="V443">
        <v>0.20407442852933633</v>
      </c>
      <c r="W443">
        <v>9.4172735158500637E-2</v>
      </c>
      <c r="X443">
        <v>2.7975515712334528E-2</v>
      </c>
      <c r="Y443">
        <v>4.1156505036301595E-3</v>
      </c>
    </row>
    <row r="444" spans="1:25" x14ac:dyDescent="0.25">
      <c r="A444" s="1098"/>
      <c r="B444" s="1457">
        <v>194</v>
      </c>
      <c r="C444" s="1102">
        <v>0.9956472674157768</v>
      </c>
      <c r="D444" s="1102">
        <v>0.98734700580169299</v>
      </c>
      <c r="E444" s="1102">
        <v>1.002032102251798</v>
      </c>
      <c r="F444" s="1102">
        <v>0.99400952515565655</v>
      </c>
      <c r="G444" s="1102">
        <v>0.96992203164630975</v>
      </c>
      <c r="H444" s="1102">
        <v>0.97499020632337141</v>
      </c>
      <c r="I444" s="1102">
        <v>1.0326120609442004</v>
      </c>
      <c r="K444">
        <v>1.5527711979617349</v>
      </c>
      <c r="L444">
        <v>0</v>
      </c>
      <c r="M444">
        <v>1.531335736155675E-3</v>
      </c>
      <c r="N444">
        <v>0.14176773601477061</v>
      </c>
      <c r="O444">
        <v>0.12173128813544487</v>
      </c>
      <c r="P444">
        <v>1.5672294216983379E-2</v>
      </c>
      <c r="Q444">
        <v>9.0924753052563738E-4</v>
      </c>
      <c r="R444">
        <v>1.5277700841530408E-3</v>
      </c>
      <c r="S444">
        <v>0.12277601394345858</v>
      </c>
      <c r="T444">
        <v>0.82017264364387843</v>
      </c>
      <c r="U444">
        <v>0</v>
      </c>
      <c r="V444">
        <v>0.20470515575104051</v>
      </c>
      <c r="W444">
        <v>9.3019441496901265E-2</v>
      </c>
      <c r="X444">
        <v>2.7862856340942675E-2</v>
      </c>
      <c r="Y444">
        <v>4.1580865397916897E-3</v>
      </c>
    </row>
    <row r="445" spans="1:25" x14ac:dyDescent="0.25">
      <c r="A445" s="1098"/>
      <c r="B445" s="1457">
        <v>195</v>
      </c>
      <c r="C445" s="1102">
        <v>1.0288759904870972</v>
      </c>
      <c r="D445" s="1102">
        <v>0.96211315001034137</v>
      </c>
      <c r="E445" s="1102">
        <v>1.0052896842666292</v>
      </c>
      <c r="F445" s="1102">
        <v>1.0047980400699559</v>
      </c>
      <c r="G445" s="1102">
        <v>1.0277735538374153</v>
      </c>
      <c r="H445" s="1102">
        <v>1.0053735724817114</v>
      </c>
      <c r="I445" s="1102">
        <v>0.99042061538750381</v>
      </c>
      <c r="K445">
        <v>1.5631049864684385</v>
      </c>
      <c r="L445">
        <v>0</v>
      </c>
      <c r="M445">
        <v>1.5452726105987058E-3</v>
      </c>
      <c r="N445">
        <v>0.14448517490042589</v>
      </c>
      <c r="O445">
        <v>0.12193532902866813</v>
      </c>
      <c r="P445">
        <v>1.5785202791138559E-2</v>
      </c>
      <c r="Q445">
        <v>8.9204349716532206E-4</v>
      </c>
      <c r="R445">
        <v>1.5418096894271856E-3</v>
      </c>
      <c r="S445">
        <v>0.11836611417934691</v>
      </c>
      <c r="T445">
        <v>0.82885872322479026</v>
      </c>
      <c r="U445">
        <v>0</v>
      </c>
      <c r="V445">
        <v>0.20590469076650783</v>
      </c>
      <c r="W445">
        <v>9.461961736319198E-2</v>
      </c>
      <c r="X445">
        <v>2.8065255921182131E-2</v>
      </c>
      <c r="Y445">
        <v>4.1962977171932769E-3</v>
      </c>
    </row>
    <row r="446" spans="1:25" x14ac:dyDescent="0.25">
      <c r="A446" s="1098"/>
      <c r="B446" s="1457">
        <v>196</v>
      </c>
      <c r="C446" s="1102">
        <v>0.99421030630255403</v>
      </c>
      <c r="D446" s="1102">
        <v>1.0012022037489308</v>
      </c>
      <c r="E446" s="1102">
        <v>1.007832997022944</v>
      </c>
      <c r="F446" s="1102">
        <v>1.0121962168434144</v>
      </c>
      <c r="G446" s="1102">
        <v>0.9901006227305974</v>
      </c>
      <c r="H446" s="1102">
        <v>0.97730861159213489</v>
      </c>
      <c r="I446" s="1102">
        <v>1.0189574400804422</v>
      </c>
      <c r="K446">
        <v>1.568459019519332</v>
      </c>
      <c r="L446">
        <v>0</v>
      </c>
      <c r="M446">
        <v>1.5088046094891656E-3</v>
      </c>
      <c r="N446">
        <v>0.14215100556638638</v>
      </c>
      <c r="O446">
        <v>0.12245003364072425</v>
      </c>
      <c r="P446">
        <v>1.5932415519335032E-2</v>
      </c>
      <c r="Q446">
        <v>9.1094834611181853E-4</v>
      </c>
      <c r="R446">
        <v>1.5052961567763104E-3</v>
      </c>
      <c r="S446">
        <v>0.12062386100862769</v>
      </c>
      <c r="T446">
        <v>0.83479208875880129</v>
      </c>
      <c r="U446">
        <v>0</v>
      </c>
      <c r="V446">
        <v>0.20627169901125056</v>
      </c>
      <c r="W446">
        <v>9.2951144822342346E-2</v>
      </c>
      <c r="X446">
        <v>2.8282411380463491E-2</v>
      </c>
      <c r="Y446">
        <v>4.0969199180003989E-3</v>
      </c>
    </row>
    <row r="447" spans="1:25" x14ac:dyDescent="0.25">
      <c r="A447" s="1098"/>
      <c r="B447" s="1457">
        <v>197</v>
      </c>
      <c r="C447" s="1102">
        <v>1.0230316785834799</v>
      </c>
      <c r="D447" s="1102">
        <v>0.99343228822625373</v>
      </c>
      <c r="E447" s="1102">
        <v>0.97695789862220472</v>
      </c>
      <c r="F447" s="1102">
        <v>1.0354189884574765</v>
      </c>
      <c r="G447" s="1102">
        <v>0.99316737605895189</v>
      </c>
      <c r="H447" s="1102">
        <v>1.0065160273863691</v>
      </c>
      <c r="I447" s="1102">
        <v>0.96077038513416912</v>
      </c>
      <c r="K447">
        <v>1.5782286992337333</v>
      </c>
      <c r="L447">
        <v>0</v>
      </c>
      <c r="M447">
        <v>1.6230940851806202E-3</v>
      </c>
      <c r="N447">
        <v>0.13930322666861672</v>
      </c>
      <c r="O447">
        <v>0.12302042689660445</v>
      </c>
      <c r="P447">
        <v>1.5743769976161451E-2</v>
      </c>
      <c r="Q447">
        <v>8.5995793846599844E-4</v>
      </c>
      <c r="R447">
        <v>1.6194478964305656E-3</v>
      </c>
      <c r="S447">
        <v>0.11345838502335123</v>
      </c>
      <c r="T447">
        <v>0.85606291389023814</v>
      </c>
      <c r="U447">
        <v>0</v>
      </c>
      <c r="V447">
        <v>0.20538237670483434</v>
      </c>
      <c r="W447">
        <v>9.2786280640135374E-2</v>
      </c>
      <c r="X447">
        <v>2.7207404360845445E-2</v>
      </c>
      <c r="Y447">
        <v>4.4076033232284166E-3</v>
      </c>
    </row>
    <row r="448" spans="1:25" x14ac:dyDescent="0.25">
      <c r="A448" s="1098"/>
      <c r="B448" s="1457">
        <v>198</v>
      </c>
      <c r="C448" s="1102">
        <v>0.96905805585952298</v>
      </c>
      <c r="D448" s="1102">
        <v>1.0197969279626335</v>
      </c>
      <c r="E448" s="1102">
        <v>1.0158938260447969</v>
      </c>
      <c r="F448" s="1102">
        <v>1.0227154580005369</v>
      </c>
      <c r="G448" s="1102">
        <v>1.04327841484872</v>
      </c>
      <c r="H448" s="1102">
        <v>1.0052972486757827</v>
      </c>
      <c r="I448" s="1102">
        <v>1.0007385110530767</v>
      </c>
      <c r="K448">
        <v>1.5968999047764947</v>
      </c>
      <c r="L448">
        <v>0</v>
      </c>
      <c r="M448">
        <v>1.5479537057296443E-3</v>
      </c>
      <c r="N448">
        <v>0.14943983927001592</v>
      </c>
      <c r="O448">
        <v>0.1236776953660037</v>
      </c>
      <c r="P448">
        <v>1.6227938507145795E-2</v>
      </c>
      <c r="Q448">
        <v>9.3547513117475244E-4</v>
      </c>
      <c r="R448">
        <v>1.5444399433469122E-3</v>
      </c>
      <c r="S448">
        <v>0.12241009653213701</v>
      </c>
      <c r="T448">
        <v>0.84292660275151388</v>
      </c>
      <c r="U448">
        <v>0</v>
      </c>
      <c r="V448">
        <v>0.21087151554664008</v>
      </c>
      <c r="W448">
        <v>9.7254543509577018E-2</v>
      </c>
      <c r="X448">
        <v>2.8956255523367287E-2</v>
      </c>
      <c r="Y448">
        <v>4.2034564012998011E-3</v>
      </c>
    </row>
    <row r="449" spans="1:25" x14ac:dyDescent="0.25">
      <c r="A449" s="1098"/>
      <c r="B449" s="1457">
        <v>199</v>
      </c>
      <c r="C449" s="1102">
        <v>0.9818801038934587</v>
      </c>
      <c r="D449" s="1102">
        <v>0.99766373302361988</v>
      </c>
      <c r="E449" s="1102">
        <v>1.0057710228477399</v>
      </c>
      <c r="F449" s="1102">
        <v>1.012373021550897</v>
      </c>
      <c r="G449" s="1102">
        <v>1.0088743249490622</v>
      </c>
      <c r="H449" s="1102">
        <v>0.99703676682808029</v>
      </c>
      <c r="I449" s="1102">
        <v>1.0194204687186774</v>
      </c>
      <c r="K449">
        <v>1.5830119842739045</v>
      </c>
      <c r="L449">
        <v>0</v>
      </c>
      <c r="M449">
        <v>1.5670134481586035E-3</v>
      </c>
      <c r="N449">
        <v>0.14672537226782498</v>
      </c>
      <c r="O449">
        <v>0.12327786991126148</v>
      </c>
      <c r="P449">
        <v>1.598602670049901E-2</v>
      </c>
      <c r="Q449">
        <v>9.2172950566914874E-4</v>
      </c>
      <c r="R449">
        <v>1.5634406377150072E-3</v>
      </c>
      <c r="S449">
        <v>0.12400173385515774</v>
      </c>
      <c r="T449">
        <v>0.83507525039865638</v>
      </c>
      <c r="U449">
        <v>0</v>
      </c>
      <c r="V449">
        <v>0.2083003174168204</v>
      </c>
      <c r="W449">
        <v>9.6059299876101956E-2</v>
      </c>
      <c r="X449">
        <v>2.8412787124562553E-2</v>
      </c>
      <c r="Y449">
        <v>4.2551700277925399E-3</v>
      </c>
    </row>
    <row r="450" spans="1:25" x14ac:dyDescent="0.25">
      <c r="A450" s="1098"/>
      <c r="B450" s="1457">
        <v>200</v>
      </c>
      <c r="C450" s="1102">
        <v>1.0076137275318162</v>
      </c>
      <c r="D450" s="1102">
        <v>1.0240771058631069</v>
      </c>
      <c r="E450" s="1102">
        <v>0.98998817628220603</v>
      </c>
      <c r="F450" s="1102">
        <v>1.0369988328722066</v>
      </c>
      <c r="G450" s="1102">
        <v>0.98340033597479581</v>
      </c>
      <c r="H450" s="1102">
        <v>0.99156938352595336</v>
      </c>
      <c r="I450" s="1102">
        <v>1.0259676891167644</v>
      </c>
      <c r="K450">
        <v>1.5827172862811008</v>
      </c>
      <c r="L450">
        <v>0</v>
      </c>
      <c r="M450">
        <v>1.551626538359735E-3</v>
      </c>
      <c r="N450">
        <v>0.13851652718748714</v>
      </c>
      <c r="O450">
        <v>0.12251502944878415</v>
      </c>
      <c r="P450">
        <v>1.5988178005782994E-2</v>
      </c>
      <c r="Q450">
        <v>8.7440723276874732E-4</v>
      </c>
      <c r="R450">
        <v>1.548066551551046E-3</v>
      </c>
      <c r="S450">
        <v>0.11954644719231032</v>
      </c>
      <c r="T450">
        <v>0.85646988112196876</v>
      </c>
      <c r="U450">
        <v>0</v>
      </c>
      <c r="V450">
        <v>0.20539678811964562</v>
      </c>
      <c r="W450">
        <v>9.1541185712378181E-2</v>
      </c>
      <c r="X450">
        <v>2.7659075413462887E-2</v>
      </c>
      <c r="Y450">
        <v>4.2133268333203813E-3</v>
      </c>
    </row>
    <row r="451" spans="1:25" x14ac:dyDescent="0.25">
      <c r="A451" s="1098"/>
      <c r="B451" s="1457">
        <v>201</v>
      </c>
      <c r="C451" s="1102">
        <v>1.0044809201420337</v>
      </c>
      <c r="D451" s="1102">
        <v>0.97313528255379667</v>
      </c>
      <c r="E451" s="1102">
        <v>0.99620377373828972</v>
      </c>
      <c r="F451" s="1102">
        <v>0.99492674595758002</v>
      </c>
      <c r="G451" s="1102">
        <v>1.0169518644104465</v>
      </c>
      <c r="H451" s="1102">
        <v>0.9946143739281551</v>
      </c>
      <c r="I451" s="1102">
        <v>0.9882737378176899</v>
      </c>
      <c r="K451">
        <v>1.5559719663457194</v>
      </c>
      <c r="L451">
        <v>0</v>
      </c>
      <c r="M451">
        <v>1.5813096151656065E-3</v>
      </c>
      <c r="N451">
        <v>0.1438464582165084</v>
      </c>
      <c r="O451">
        <v>0.12199389219644245</v>
      </c>
      <c r="P451">
        <v>1.5594528676286313E-2</v>
      </c>
      <c r="Q451">
        <v>9.010294285571478E-4</v>
      </c>
      <c r="R451">
        <v>1.5777115320309838E-3</v>
      </c>
      <c r="S451">
        <v>0.11908275010822644</v>
      </c>
      <c r="T451">
        <v>0.82131242171222341</v>
      </c>
      <c r="U451">
        <v>0</v>
      </c>
      <c r="V451">
        <v>0.20655061907103758</v>
      </c>
      <c r="W451">
        <v>9.4711117260049091E-2</v>
      </c>
      <c r="X451">
        <v>2.7688737061800427E-2</v>
      </c>
      <c r="Y451">
        <v>4.2940106977215819E-3</v>
      </c>
    </row>
    <row r="452" spans="1:25" x14ac:dyDescent="0.25">
      <c r="A452" s="1098"/>
      <c r="B452" s="1457">
        <v>202</v>
      </c>
      <c r="C452" s="1102">
        <v>1.0111696719234951</v>
      </c>
      <c r="D452" s="1102">
        <v>0.99238094173818192</v>
      </c>
      <c r="E452" s="1102">
        <v>0.95980996704226196</v>
      </c>
      <c r="F452" s="1102">
        <v>1.002323622808861</v>
      </c>
      <c r="G452" s="1102">
        <v>0.96341719600490372</v>
      </c>
      <c r="H452" s="1102">
        <v>1.0119103576127895</v>
      </c>
      <c r="I452" s="1102">
        <v>0.9879019644120457</v>
      </c>
      <c r="K452">
        <v>1.5522344451520251</v>
      </c>
      <c r="L452">
        <v>0</v>
      </c>
      <c r="M452">
        <v>1.7058499434561387E-3</v>
      </c>
      <c r="N452">
        <v>0.13899794472296509</v>
      </c>
      <c r="O452">
        <v>0.12141710219294248</v>
      </c>
      <c r="P452">
        <v>1.5227017724622564E-2</v>
      </c>
      <c r="Q452">
        <v>8.5481687200708546E-4</v>
      </c>
      <c r="R452">
        <v>1.7020264650460628E-3</v>
      </c>
      <c r="S452">
        <v>0.11823623355669957</v>
      </c>
      <c r="T452">
        <v>0.82985251513763014</v>
      </c>
      <c r="U452">
        <v>0</v>
      </c>
      <c r="V452">
        <v>0.20331177559771282</v>
      </c>
      <c r="W452">
        <v>9.3555533542556385E-2</v>
      </c>
      <c r="X452">
        <v>2.6152974318314752E-2</v>
      </c>
      <c r="Y452">
        <v>4.6323549649819711E-3</v>
      </c>
    </row>
    <row r="453" spans="1:25" x14ac:dyDescent="0.25">
      <c r="A453" s="1098"/>
      <c r="B453" s="1457">
        <v>203</v>
      </c>
      <c r="C453" s="1102">
        <v>1.0134748048406896</v>
      </c>
      <c r="D453" s="1102">
        <v>1.000562863076051</v>
      </c>
      <c r="E453" s="1102">
        <v>1.0282526403554495</v>
      </c>
      <c r="F453" s="1102">
        <v>0.97838210242788959</v>
      </c>
      <c r="G453" s="1102">
        <v>1.0276017304096479</v>
      </c>
      <c r="H453" s="1102">
        <v>0.99779486840560139</v>
      </c>
      <c r="I453" s="1102">
        <v>1.0040441144640107</v>
      </c>
      <c r="K453">
        <v>1.5351124214184748</v>
      </c>
      <c r="L453">
        <v>0</v>
      </c>
      <c r="M453">
        <v>1.4471091789305544E-3</v>
      </c>
      <c r="N453">
        <v>0.14500902736206026</v>
      </c>
      <c r="O453">
        <v>0.11906877884640059</v>
      </c>
      <c r="P453">
        <v>1.57104715829753E-2</v>
      </c>
      <c r="Q453">
        <v>9.1280261543422343E-4</v>
      </c>
      <c r="R453">
        <v>1.4438096965998656E-3</v>
      </c>
      <c r="S453">
        <v>0.11819866023445581</v>
      </c>
      <c r="T453">
        <v>0.80559726074844307</v>
      </c>
      <c r="U453">
        <v>0</v>
      </c>
      <c r="V453">
        <v>0.20464689053878735</v>
      </c>
      <c r="W453">
        <v>9.3692203359523649E-2</v>
      </c>
      <c r="X453">
        <v>2.8350051570318613E-2</v>
      </c>
      <c r="Y453">
        <v>3.9295740424062642E-3</v>
      </c>
    </row>
    <row r="454" spans="1:25" x14ac:dyDescent="0.25">
      <c r="A454" s="1098"/>
      <c r="B454" s="1457">
        <v>204</v>
      </c>
      <c r="C454" s="1102">
        <v>0.98905571290011596</v>
      </c>
      <c r="D454" s="1102">
        <v>1.0215483312767488</v>
      </c>
      <c r="E454" s="1102">
        <v>1.0424352354247874</v>
      </c>
      <c r="F454" s="1102">
        <v>1.0008352380292029</v>
      </c>
      <c r="G454" s="1102">
        <v>0.99626847963875231</v>
      </c>
      <c r="H454" s="1102">
        <v>1.0080084844457933</v>
      </c>
      <c r="I454" s="1102">
        <v>1.0025081773614073</v>
      </c>
      <c r="K454">
        <v>1.5673123345830504</v>
      </c>
      <c r="L454">
        <v>0</v>
      </c>
      <c r="M454">
        <v>1.4373109413959968E-3</v>
      </c>
      <c r="N454">
        <v>0.15031830077012903</v>
      </c>
      <c r="O454">
        <v>0.1209410138708351</v>
      </c>
      <c r="P454">
        <v>1.6165968132993057E-2</v>
      </c>
      <c r="Q454">
        <v>9.4108933962408644E-4</v>
      </c>
      <c r="R454">
        <v>1.4340556702192209E-3</v>
      </c>
      <c r="S454">
        <v>0.1202786519443662</v>
      </c>
      <c r="T454">
        <v>0.82316429466010255</v>
      </c>
      <c r="U454">
        <v>0</v>
      </c>
      <c r="V454">
        <v>0.20586396206234206</v>
      </c>
      <c r="W454">
        <v>9.6329610645373528E-2</v>
      </c>
      <c r="X454">
        <v>2.9409671630449018E-2</v>
      </c>
      <c r="Y454">
        <v>3.9030267980120826E-3</v>
      </c>
    </row>
    <row r="455" spans="1:25" x14ac:dyDescent="0.25">
      <c r="A455" s="1098"/>
      <c r="B455" s="1457">
        <v>205</v>
      </c>
      <c r="C455" s="1102">
        <v>0.99769324870357645</v>
      </c>
      <c r="D455" s="1102">
        <v>0.99912975859756648</v>
      </c>
      <c r="E455" s="1102">
        <v>1.0261137286701583</v>
      </c>
      <c r="F455" s="1102">
        <v>0.99294675426817958</v>
      </c>
      <c r="G455" s="1102">
        <v>0.98195423531117987</v>
      </c>
      <c r="H455" s="1102">
        <v>0.95925981337155142</v>
      </c>
      <c r="I455" s="1102">
        <v>0.99099910361546506</v>
      </c>
      <c r="K455">
        <v>1.5411016970543956</v>
      </c>
      <c r="L455">
        <v>0</v>
      </c>
      <c r="M455">
        <v>1.4206668443104743E-3</v>
      </c>
      <c r="N455">
        <v>0.1414312812917298</v>
      </c>
      <c r="O455">
        <v>0.12096325570991411</v>
      </c>
      <c r="P455">
        <v>1.5818838636617122E-2</v>
      </c>
      <c r="Q455">
        <v>9.2574736096015227E-4</v>
      </c>
      <c r="R455">
        <v>1.4172982743450428E-3</v>
      </c>
      <c r="S455">
        <v>0.11556937093469871</v>
      </c>
      <c r="T455">
        <v>0.81772809366899835</v>
      </c>
      <c r="U455">
        <v>0</v>
      </c>
      <c r="V455">
        <v>0.20470676140843239</v>
      </c>
      <c r="W455">
        <v>9.1494354232188588E-2</v>
      </c>
      <c r="X455">
        <v>2.8609943690305988E-2</v>
      </c>
      <c r="Y455">
        <v>3.8574186905166339E-3</v>
      </c>
    </row>
    <row r="456" spans="1:25" x14ac:dyDescent="0.25">
      <c r="A456" s="1098"/>
      <c r="B456" s="1457">
        <v>206</v>
      </c>
      <c r="C456" s="1102">
        <v>0.97047751427418916</v>
      </c>
      <c r="D456" s="1102">
        <v>0.97797485455354671</v>
      </c>
      <c r="E456" s="1102">
        <v>0.99605235544470161</v>
      </c>
      <c r="F456" s="1102">
        <v>1.0096025271995881</v>
      </c>
      <c r="G456" s="1102">
        <v>1.0106298930544948</v>
      </c>
      <c r="H456" s="1102">
        <v>1.0106973880915038</v>
      </c>
      <c r="I456" s="1102">
        <v>1.0413721882377605</v>
      </c>
      <c r="K456">
        <v>1.5981602626558797</v>
      </c>
      <c r="L456">
        <v>0</v>
      </c>
      <c r="M456">
        <v>1.6566356001442714E-3</v>
      </c>
      <c r="N456">
        <v>0.15063436532217092</v>
      </c>
      <c r="O456">
        <v>0.12461027186915785</v>
      </c>
      <c r="P456">
        <v>1.596102518108123E-2</v>
      </c>
      <c r="Q456">
        <v>9.3060435611925553E-4</v>
      </c>
      <c r="R456">
        <v>1.6529176638433556E-3</v>
      </c>
      <c r="S456">
        <v>0.13075237787543378</v>
      </c>
      <c r="T456">
        <v>0.83343739576153042</v>
      </c>
      <c r="U456">
        <v>0</v>
      </c>
      <c r="V456">
        <v>0.20983522596613369</v>
      </c>
      <c r="W456">
        <v>9.9189351876640686E-2</v>
      </c>
      <c r="X456">
        <v>2.8314665387091452E-2</v>
      </c>
      <c r="Y456">
        <v>4.498696996820168E-3</v>
      </c>
    </row>
    <row r="457" spans="1:25" x14ac:dyDescent="0.25">
      <c r="A457" s="1098"/>
      <c r="B457" s="1457">
        <v>207</v>
      </c>
      <c r="C457" s="1102">
        <v>1.0144159820522509</v>
      </c>
      <c r="D457" s="1102">
        <v>1.0304045658329639</v>
      </c>
      <c r="E457" s="1102">
        <v>0.98102887720768761</v>
      </c>
      <c r="F457" s="1102">
        <v>0.99784670533600428</v>
      </c>
      <c r="G457" s="1102">
        <v>1.0252402818213615</v>
      </c>
      <c r="H457" s="1102">
        <v>0.98166651734562094</v>
      </c>
      <c r="I457" s="1102">
        <v>1.0384442280832693</v>
      </c>
      <c r="K457">
        <v>1.5377766566042546</v>
      </c>
      <c r="L457">
        <v>0</v>
      </c>
      <c r="M457">
        <v>1.5453558651984118E-3</v>
      </c>
      <c r="N457">
        <v>0.13426457158992872</v>
      </c>
      <c r="O457">
        <v>0.11923893195094246</v>
      </c>
      <c r="P457">
        <v>1.5431253979380556E-2</v>
      </c>
      <c r="Q457">
        <v>8.5833371600477703E-4</v>
      </c>
      <c r="R457">
        <v>1.5417624360910477E-3</v>
      </c>
      <c r="S457">
        <v>0.11875496366843302</v>
      </c>
      <c r="T457">
        <v>0.82472801357517789</v>
      </c>
      <c r="U457">
        <v>0</v>
      </c>
      <c r="V457">
        <v>0.20452347685785466</v>
      </c>
      <c r="W457">
        <v>8.9210424520514586E-2</v>
      </c>
      <c r="X457">
        <v>2.6574111065936334E-2</v>
      </c>
      <c r="Y457">
        <v>4.1961691091893672E-3</v>
      </c>
    </row>
    <row r="458" spans="1:25" x14ac:dyDescent="0.25">
      <c r="A458" s="1098"/>
      <c r="B458" s="1457">
        <v>208</v>
      </c>
      <c r="C458" s="1102">
        <v>1.0173314848822517</v>
      </c>
      <c r="D458" s="1102">
        <v>1.0315707151110931</v>
      </c>
      <c r="E458" s="1102">
        <v>0.9890519869410026</v>
      </c>
      <c r="F458" s="1102">
        <v>1.0205189596604876</v>
      </c>
      <c r="G458" s="1102">
        <v>0.97336748390695649</v>
      </c>
      <c r="H458" s="1102">
        <v>0.98071262418926974</v>
      </c>
      <c r="I458" s="1102">
        <v>1.0000155684541887</v>
      </c>
      <c r="K458">
        <v>1.5526134087983727</v>
      </c>
      <c r="L458">
        <v>0</v>
      </c>
      <c r="M458">
        <v>1.5158629284479134E-3</v>
      </c>
      <c r="N458">
        <v>0.13493735765883308</v>
      </c>
      <c r="O458">
        <v>0.12057804522929988</v>
      </c>
      <c r="P458">
        <v>1.5687848721541903E-2</v>
      </c>
      <c r="Q458">
        <v>8.6269023634950545E-4</v>
      </c>
      <c r="R458">
        <v>1.5123403924956072E-3</v>
      </c>
      <c r="S458">
        <v>0.11403389677565946</v>
      </c>
      <c r="T458">
        <v>0.84292234750737705</v>
      </c>
      <c r="U458">
        <v>0</v>
      </c>
      <c r="V458">
        <v>0.20308535431534644</v>
      </c>
      <c r="W458">
        <v>8.9225871829407694E-2</v>
      </c>
      <c r="X458">
        <v>2.7167427055013418E-2</v>
      </c>
      <c r="Y458">
        <v>4.1160920054966431E-3</v>
      </c>
    </row>
    <row r="459" spans="1:25" x14ac:dyDescent="0.25">
      <c r="A459" s="1098"/>
      <c r="B459" s="1457">
        <v>209</v>
      </c>
      <c r="C459" s="1102">
        <v>0.99779305067524549</v>
      </c>
      <c r="D459" s="1102">
        <v>1.0148414480200014</v>
      </c>
      <c r="E459" s="1102">
        <v>1.0000395487003551</v>
      </c>
      <c r="F459" s="1102">
        <v>0.99797272920003244</v>
      </c>
      <c r="G459" s="1102">
        <v>1.0001034741727894</v>
      </c>
      <c r="H459" s="1102">
        <v>0.9821249678020445</v>
      </c>
      <c r="I459" s="1102">
        <v>1.0153916327778556</v>
      </c>
      <c r="K459">
        <v>1.5490576723994336</v>
      </c>
      <c r="L459">
        <v>0</v>
      </c>
      <c r="M459">
        <v>1.5224754054200744E-3</v>
      </c>
      <c r="N459">
        <v>0.14010262999197665</v>
      </c>
      <c r="O459">
        <v>0.12069838494579345</v>
      </c>
      <c r="P459">
        <v>1.5652998793175579E-2</v>
      </c>
      <c r="Q459">
        <v>8.9552785527977725E-4</v>
      </c>
      <c r="R459">
        <v>1.5189417196068832E-3</v>
      </c>
      <c r="S459">
        <v>0.11911321355630604</v>
      </c>
      <c r="T459">
        <v>0.82357394805182582</v>
      </c>
      <c r="U459">
        <v>0</v>
      </c>
      <c r="V459">
        <v>0.20526275098352376</v>
      </c>
      <c r="W459">
        <v>9.2035740506829528E-2</v>
      </c>
      <c r="X459">
        <v>2.7591952758770067E-2</v>
      </c>
      <c r="Y459">
        <v>4.1340586417666384E-3</v>
      </c>
    </row>
    <row r="460" spans="1:25" x14ac:dyDescent="0.25">
      <c r="A460" s="1098"/>
      <c r="B460" s="1457">
        <v>210</v>
      </c>
      <c r="C460" s="1102">
        <v>1.0085343680666548</v>
      </c>
      <c r="D460" s="1102">
        <v>0.99725238252307347</v>
      </c>
      <c r="E460" s="1102">
        <v>0.96817185554090923</v>
      </c>
      <c r="F460" s="1102">
        <v>0.99738924428861753</v>
      </c>
      <c r="G460" s="1102">
        <v>1.009559671021669</v>
      </c>
      <c r="H460" s="1102">
        <v>0.95867422851680095</v>
      </c>
      <c r="I460" s="1102">
        <v>0.99272634852641806</v>
      </c>
      <c r="K460">
        <v>1.5342175383456675</v>
      </c>
      <c r="L460">
        <v>0</v>
      </c>
      <c r="M460">
        <v>1.5873038012555677E-3</v>
      </c>
      <c r="N460">
        <v>0.1326394479328751</v>
      </c>
      <c r="O460">
        <v>0.12096381656465065</v>
      </c>
      <c r="P460">
        <v>1.5240581100078072E-2</v>
      </c>
      <c r="Q460">
        <v>8.6296707083497641E-4</v>
      </c>
      <c r="R460">
        <v>1.5835432501454011E-3</v>
      </c>
      <c r="S460">
        <v>0.11458707251234893</v>
      </c>
      <c r="T460">
        <v>0.82520695573113179</v>
      </c>
      <c r="U460">
        <v>0</v>
      </c>
      <c r="V460">
        <v>0.20522248853142638</v>
      </c>
      <c r="W460">
        <v>8.8820447539880373E-2</v>
      </c>
      <c r="X460">
        <v>2.6367639201547759E-2</v>
      </c>
      <c r="Y460">
        <v>4.3098827120036654E-3</v>
      </c>
    </row>
    <row r="461" spans="1:25" x14ac:dyDescent="0.25">
      <c r="A461" s="1098"/>
      <c r="B461" s="1457">
        <v>211</v>
      </c>
      <c r="C461" s="1102">
        <v>1.0305560869983459</v>
      </c>
      <c r="D461" s="1102">
        <v>0.97286870410741333</v>
      </c>
      <c r="E461" s="1102">
        <v>0.96387854202939327</v>
      </c>
      <c r="F461" s="1102">
        <v>0.99765781347852145</v>
      </c>
      <c r="G461" s="1102">
        <v>0.98845119655368907</v>
      </c>
      <c r="H461" s="1102">
        <v>0.9941361141820505</v>
      </c>
      <c r="I461" s="1102">
        <v>1.0049913500034431</v>
      </c>
      <c r="K461">
        <v>1.5424065030783414</v>
      </c>
      <c r="L461">
        <v>0</v>
      </c>
      <c r="M461">
        <v>1.6508247437945329E-3</v>
      </c>
      <c r="N461">
        <v>0.13617857253250004</v>
      </c>
      <c r="O461">
        <v>0.12098057544912691</v>
      </c>
      <c r="P461">
        <v>1.5217379305566651E-2</v>
      </c>
      <c r="Q461">
        <v>8.4907288412851311E-4</v>
      </c>
      <c r="R461">
        <v>1.64707486060669E-3</v>
      </c>
      <c r="S461">
        <v>0.11812020186688155</v>
      </c>
      <c r="T461">
        <v>0.82571660960838467</v>
      </c>
      <c r="U461">
        <v>0</v>
      </c>
      <c r="V461">
        <v>0.20322089934924759</v>
      </c>
      <c r="W461">
        <v>9.142973346939666E-2</v>
      </c>
      <c r="X461">
        <v>2.6214413683805553E-2</v>
      </c>
      <c r="Y461">
        <v>4.482794812489534E-3</v>
      </c>
    </row>
    <row r="462" spans="1:25" x14ac:dyDescent="0.25">
      <c r="A462" s="1098"/>
      <c r="B462" s="1457">
        <v>212</v>
      </c>
      <c r="C462" s="1102">
        <v>1.0448888325309476</v>
      </c>
      <c r="D462" s="1102">
        <v>0.97888566544200128</v>
      </c>
      <c r="E462" s="1102">
        <v>0.98016313382528797</v>
      </c>
      <c r="F462" s="1102">
        <v>0.99530437835492602</v>
      </c>
      <c r="G462" s="1102">
        <v>0.97950911734729817</v>
      </c>
      <c r="H462" s="1102">
        <v>0.97169969030706083</v>
      </c>
      <c r="I462" s="1102">
        <v>1.012181843405314</v>
      </c>
      <c r="K462">
        <v>1.5274457762287077</v>
      </c>
      <c r="L462">
        <v>0</v>
      </c>
      <c r="M462">
        <v>1.5346976158627588E-3</v>
      </c>
      <c r="N462">
        <v>0.132989868714712</v>
      </c>
      <c r="O462">
        <v>0.11980023414325638</v>
      </c>
      <c r="P462">
        <v>1.5304602551256598E-2</v>
      </c>
      <c r="Q462">
        <v>8.4980367036147162E-4</v>
      </c>
      <c r="R462">
        <v>1.5311302887516776E-3</v>
      </c>
      <c r="S462">
        <v>0.11524802855017524</v>
      </c>
      <c r="T462">
        <v>0.82268418317848313</v>
      </c>
      <c r="U462">
        <v>0</v>
      </c>
      <c r="V462">
        <v>0.20140571905147392</v>
      </c>
      <c r="W462">
        <v>8.8409646838554429E-2</v>
      </c>
      <c r="X462">
        <v>2.6590024948527212E-2</v>
      </c>
      <c r="Y462">
        <v>4.1672319090180297E-3</v>
      </c>
    </row>
    <row r="463" spans="1:25" x14ac:dyDescent="0.25">
      <c r="A463" s="1098"/>
      <c r="B463" s="1457">
        <v>213</v>
      </c>
      <c r="C463" s="1102">
        <v>1.0355450434543538</v>
      </c>
      <c r="D463" s="1102">
        <v>1.0250529206698706</v>
      </c>
      <c r="E463" s="1102">
        <v>1.0180819779144261</v>
      </c>
      <c r="F463" s="1102">
        <v>1.0188996836259163</v>
      </c>
      <c r="G463" s="1102">
        <v>0.99992831561270501</v>
      </c>
      <c r="H463" s="1102">
        <v>0.96537480281985644</v>
      </c>
      <c r="I463" s="1102">
        <v>1.0133737363126123</v>
      </c>
      <c r="K463">
        <v>1.5463146483224117</v>
      </c>
      <c r="L463">
        <v>0</v>
      </c>
      <c r="M463">
        <v>1.386712701940491E-3</v>
      </c>
      <c r="N463">
        <v>0.13474886921668311</v>
      </c>
      <c r="O463">
        <v>0.11976107633493023</v>
      </c>
      <c r="P463">
        <v>1.5968064610184324E-2</v>
      </c>
      <c r="Q463">
        <v>8.7558121364935597E-4</v>
      </c>
      <c r="R463">
        <v>1.3834461934078511E-3</v>
      </c>
      <c r="S463">
        <v>0.11291448150656848</v>
      </c>
      <c r="T463">
        <v>0.83963566948249069</v>
      </c>
      <c r="U463">
        <v>0</v>
      </c>
      <c r="V463">
        <v>0.20297419654678558</v>
      </c>
      <c r="W463">
        <v>8.7581290711961329E-2</v>
      </c>
      <c r="X463">
        <v>2.8093400722147922E-2</v>
      </c>
      <c r="Y463">
        <v>3.7652844855410803E-3</v>
      </c>
    </row>
    <row r="464" spans="1:25" x14ac:dyDescent="0.25">
      <c r="A464" s="1098"/>
      <c r="B464" s="1457">
        <v>214</v>
      </c>
      <c r="C464" s="1102">
        <v>0.98877325014300688</v>
      </c>
      <c r="D464" s="1102">
        <v>0.99890297383818838</v>
      </c>
      <c r="E464" s="1102">
        <v>1.0021510486117824</v>
      </c>
      <c r="F464" s="1102">
        <v>0.97379379688447687</v>
      </c>
      <c r="G464" s="1102">
        <v>0.97379779971233582</v>
      </c>
      <c r="H464" s="1102">
        <v>1.0286700495223187</v>
      </c>
      <c r="I464" s="1102">
        <v>0.99636604327272038</v>
      </c>
      <c r="K464">
        <v>1.5458739878910739</v>
      </c>
      <c r="L464">
        <v>0</v>
      </c>
      <c r="M464">
        <v>1.6123980051959968E-3</v>
      </c>
      <c r="N464">
        <v>0.14934279870982667</v>
      </c>
      <c r="O464">
        <v>0.1201401010163813</v>
      </c>
      <c r="P464">
        <v>1.5434327354793373E-2</v>
      </c>
      <c r="Q464">
        <v>9.1142939260258397E-4</v>
      </c>
      <c r="R464">
        <v>1.6088251191358452E-3</v>
      </c>
      <c r="S464">
        <v>0.12257886774783512</v>
      </c>
      <c r="T464">
        <v>0.80348469482977258</v>
      </c>
      <c r="U464">
        <v>0</v>
      </c>
      <c r="V464">
        <v>0.2040596103627883</v>
      </c>
      <c r="W464">
        <v>9.7982825219738681E-2</v>
      </c>
      <c r="X464">
        <v>2.7564214518163665E-2</v>
      </c>
      <c r="Y464">
        <v>4.3786916252297817E-3</v>
      </c>
    </row>
    <row r="465" spans="1:25" x14ac:dyDescent="0.25">
      <c r="A465" s="1098"/>
      <c r="B465" s="1457">
        <v>215</v>
      </c>
      <c r="C465" s="1102">
        <v>0.96456432761280286</v>
      </c>
      <c r="D465" s="1102">
        <v>1.0186792345223352</v>
      </c>
      <c r="E465" s="1102">
        <v>0.97566371419629816</v>
      </c>
      <c r="F465" s="1102">
        <v>1.0157149745114917</v>
      </c>
      <c r="G465" s="1102">
        <v>1.0182766874161862</v>
      </c>
      <c r="H465" s="1102">
        <v>1.0201297058542917</v>
      </c>
      <c r="I465" s="1102">
        <v>0.96106735145786615</v>
      </c>
      <c r="K465">
        <v>1.5851899536112588</v>
      </c>
      <c r="L465">
        <v>0</v>
      </c>
      <c r="M465">
        <v>1.71494034724926E-3</v>
      </c>
      <c r="N465">
        <v>0.14661179710822139</v>
      </c>
      <c r="O465">
        <v>0.12358969982724304</v>
      </c>
      <c r="P465">
        <v>1.5646660734967198E-2</v>
      </c>
      <c r="Q465">
        <v>9.0174813731847589E-4</v>
      </c>
      <c r="R465">
        <v>1.7111015171900957E-3</v>
      </c>
      <c r="S465">
        <v>0.11919525335146085</v>
      </c>
      <c r="T465">
        <v>0.839859826207212</v>
      </c>
      <c r="U465">
        <v>0</v>
      </c>
      <c r="V465">
        <v>0.20974109460656043</v>
      </c>
      <c r="W465">
        <v>9.7730897007603013E-2</v>
      </c>
      <c r="X465">
        <v>2.7259761195402958E-2</v>
      </c>
      <c r="Y465">
        <v>4.657054265327895E-3</v>
      </c>
    </row>
    <row r="466" spans="1:25" x14ac:dyDescent="0.25">
      <c r="A466" s="1098"/>
      <c r="B466" s="1457">
        <v>216</v>
      </c>
      <c r="C466" s="1102">
        <v>1.0186053887850728</v>
      </c>
      <c r="D466" s="1102">
        <v>0.97750859462721817</v>
      </c>
      <c r="E466" s="1102">
        <v>0.99193203619988868</v>
      </c>
      <c r="F466" s="1102">
        <v>0.98274454573841274</v>
      </c>
      <c r="G466" s="1102">
        <v>0.97981610965083599</v>
      </c>
      <c r="H466" s="1102">
        <v>1.0228380839364801</v>
      </c>
      <c r="I466" s="1102">
        <v>0.9971117965837456</v>
      </c>
      <c r="K466">
        <v>1.5434930563759557</v>
      </c>
      <c r="L466">
        <v>0</v>
      </c>
      <c r="M466">
        <v>1.6139313827483058E-3</v>
      </c>
      <c r="N466">
        <v>0.14493946223620202</v>
      </c>
      <c r="O466">
        <v>0.12023295296605989</v>
      </c>
      <c r="P466">
        <v>1.5380603099026084E-2</v>
      </c>
      <c r="Q466">
        <v>8.8301114662711383E-4</v>
      </c>
      <c r="R466">
        <v>1.6103580566632766E-3</v>
      </c>
      <c r="S466">
        <v>0.12038203001977531</v>
      </c>
      <c r="T466">
        <v>0.81153394361406639</v>
      </c>
      <c r="U466">
        <v>0</v>
      </c>
      <c r="V466">
        <v>0.20292719341161519</v>
      </c>
      <c r="W466">
        <v>9.5674507787425339E-2</v>
      </c>
      <c r="X466">
        <v>2.7160061645395715E-2</v>
      </c>
      <c r="Y466">
        <v>4.3828637758467296E-3</v>
      </c>
    </row>
    <row r="467" spans="1:25" x14ac:dyDescent="0.25">
      <c r="A467" s="1098"/>
      <c r="B467" s="1457">
        <v>217</v>
      </c>
      <c r="C467" s="1102">
        <v>0.9890895904617627</v>
      </c>
      <c r="D467" s="1102">
        <v>0.99057094320482608</v>
      </c>
      <c r="E467" s="1102">
        <v>0.9786790687823147</v>
      </c>
      <c r="F467" s="1102">
        <v>1.0204117256307137</v>
      </c>
      <c r="G467" s="1102">
        <v>1.0228458444766511</v>
      </c>
      <c r="H467" s="1102">
        <v>0.99458899650755794</v>
      </c>
      <c r="I467" s="1102">
        <v>0.98439601789267706</v>
      </c>
      <c r="K467">
        <v>1.5810560351431171</v>
      </c>
      <c r="L467">
        <v>0</v>
      </c>
      <c r="M467">
        <v>1.6498889421279184E-3</v>
      </c>
      <c r="N467">
        <v>0.14233754772216614</v>
      </c>
      <c r="O467">
        <v>0.12385339804595946</v>
      </c>
      <c r="P467">
        <v>1.5720845830290365E-2</v>
      </c>
      <c r="Q467">
        <v>8.9210501839566316E-4</v>
      </c>
      <c r="R467">
        <v>1.6461266843139483E-3</v>
      </c>
      <c r="S467">
        <v>0.1192197204556087</v>
      </c>
      <c r="T467">
        <v>0.84353802288134916</v>
      </c>
      <c r="U467">
        <v>0</v>
      </c>
      <c r="V467">
        <v>0.20888615373513808</v>
      </c>
      <c r="W467">
        <v>9.4708712640949419E-2</v>
      </c>
      <c r="X467">
        <v>2.7423076881888091E-2</v>
      </c>
      <c r="Y467">
        <v>4.4802141891869219E-3</v>
      </c>
    </row>
    <row r="468" spans="1:25" x14ac:dyDescent="0.25">
      <c r="A468" s="1098"/>
      <c r="B468" s="1457">
        <v>218</v>
      </c>
      <c r="C468" s="1102">
        <v>0.96838828634004614</v>
      </c>
      <c r="D468" s="1102">
        <v>1.0337631369498104</v>
      </c>
      <c r="E468" s="1102">
        <v>0.99439546597997419</v>
      </c>
      <c r="F468" s="1102">
        <v>1.0382820639607513</v>
      </c>
      <c r="G468" s="1102">
        <v>0.99897105761297333</v>
      </c>
      <c r="H468" s="1102">
        <v>1.0148423514195033</v>
      </c>
      <c r="I468" s="1102">
        <v>0.99077938534882948</v>
      </c>
      <c r="K468">
        <v>1.6053286684158894</v>
      </c>
      <c r="L468">
        <v>0</v>
      </c>
      <c r="M468">
        <v>1.6242870571129017E-3</v>
      </c>
      <c r="N468">
        <v>0.14695421318168025</v>
      </c>
      <c r="O468">
        <v>0.12424348981968748</v>
      </c>
      <c r="P468">
        <v>1.612540797616516E-2</v>
      </c>
      <c r="Q468">
        <v>9.1057500688518486E-4</v>
      </c>
      <c r="R468">
        <v>1.6206303340682458E-3</v>
      </c>
      <c r="S468">
        <v>0.1210997285066598</v>
      </c>
      <c r="T468">
        <v>0.85722648247115818</v>
      </c>
      <c r="U468">
        <v>0</v>
      </c>
      <c r="V468">
        <v>0.20928095552296808</v>
      </c>
      <c r="W468">
        <v>9.6861753436833772E-2</v>
      </c>
      <c r="X468">
        <v>2.8218897688206072E-2</v>
      </c>
      <c r="Y468">
        <v>4.41082152868772E-3</v>
      </c>
    </row>
    <row r="469" spans="1:25" x14ac:dyDescent="0.25">
      <c r="A469" s="1098"/>
      <c r="B469" s="1457">
        <v>219</v>
      </c>
      <c r="C469" s="1102">
        <v>1.004428077131817</v>
      </c>
      <c r="D469" s="1102">
        <v>1.0195423558281027</v>
      </c>
      <c r="E469" s="1102">
        <v>1.0310592618389862</v>
      </c>
      <c r="F469" s="1102">
        <v>0.99927516180589093</v>
      </c>
      <c r="G469" s="1102">
        <v>1.0073119745934205</v>
      </c>
      <c r="H469" s="1102">
        <v>1.0036643040842212</v>
      </c>
      <c r="I469" s="1102">
        <v>0.99257123258152147</v>
      </c>
      <c r="K469">
        <v>1.5548746200518024</v>
      </c>
      <c r="L469">
        <v>0</v>
      </c>
      <c r="M469">
        <v>1.4460855258726091E-3</v>
      </c>
      <c r="N469">
        <v>0.14613893316161347</v>
      </c>
      <c r="O469">
        <v>0.12016051476713178</v>
      </c>
      <c r="P469">
        <v>1.5970029005990208E-2</v>
      </c>
      <c r="Q469">
        <v>9.1674946022004189E-4</v>
      </c>
      <c r="R469">
        <v>1.4428005228603205E-3</v>
      </c>
      <c r="S469">
        <v>0.11711996110040221</v>
      </c>
      <c r="T469">
        <v>0.82261809672863806</v>
      </c>
      <c r="U469">
        <v>0</v>
      </c>
      <c r="V469">
        <v>0.20501480694109589</v>
      </c>
      <c r="W469">
        <v>9.4268503397060832E-2</v>
      </c>
      <c r="X469">
        <v>2.8743483088501807E-2</v>
      </c>
      <c r="Y469">
        <v>3.9268274041612573E-3</v>
      </c>
    </row>
    <row r="470" spans="1:25" x14ac:dyDescent="0.25">
      <c r="A470" s="1098"/>
      <c r="B470" s="1457">
        <v>220</v>
      </c>
      <c r="C470" s="1102">
        <v>1.0353388076613776</v>
      </c>
      <c r="D470" s="1102">
        <v>0.98577014980604982</v>
      </c>
      <c r="E470" s="1102">
        <v>0.97376663459659407</v>
      </c>
      <c r="F470" s="1102">
        <v>0.98805585413384056</v>
      </c>
      <c r="G470" s="1102">
        <v>1.0406827957839022</v>
      </c>
      <c r="H470" s="1102">
        <v>0.97880928008927948</v>
      </c>
      <c r="I470" s="1102">
        <v>0.99049642909468161</v>
      </c>
      <c r="K470">
        <v>1.5241411262360807</v>
      </c>
      <c r="L470">
        <v>0</v>
      </c>
      <c r="M470">
        <v>1.5727302415244218E-3</v>
      </c>
      <c r="N470">
        <v>0.13367427910428689</v>
      </c>
      <c r="O470">
        <v>0.11946951104006615</v>
      </c>
      <c r="P470">
        <v>1.5175145016471285E-2</v>
      </c>
      <c r="Q470">
        <v>8.4951848660568322E-4</v>
      </c>
      <c r="R470">
        <v>1.5690923102207313E-3</v>
      </c>
      <c r="S470">
        <v>0.11378372275136288</v>
      </c>
      <c r="T470">
        <v>0.81711471688362258</v>
      </c>
      <c r="U470">
        <v>0</v>
      </c>
      <c r="V470">
        <v>0.20432226733208281</v>
      </c>
      <c r="W470">
        <v>8.9209353608434586E-2</v>
      </c>
      <c r="X470">
        <v>2.6275697927171396E-2</v>
      </c>
      <c r="Y470">
        <v>4.2705520172797804E-3</v>
      </c>
    </row>
    <row r="471" spans="1:25" x14ac:dyDescent="0.25">
      <c r="A471" s="1098"/>
      <c r="B471" s="1457">
        <v>221</v>
      </c>
      <c r="C471" s="1102">
        <v>0.99203868714789856</v>
      </c>
      <c r="D471" s="1102">
        <v>0.9984877443038892</v>
      </c>
      <c r="E471" s="1102">
        <v>1.0149642510022843</v>
      </c>
      <c r="F471" s="1102">
        <v>1.0107317564397673</v>
      </c>
      <c r="G471" s="1102">
        <v>1.0220636574926372</v>
      </c>
      <c r="H471" s="1102">
        <v>0.98856833101933295</v>
      </c>
      <c r="I471" s="1102">
        <v>1.0001728945360762</v>
      </c>
      <c r="K471">
        <v>1.5728159235062502</v>
      </c>
      <c r="L471">
        <v>0</v>
      </c>
      <c r="M471">
        <v>1.5089485695603656E-3</v>
      </c>
      <c r="N471">
        <v>0.14526204634852427</v>
      </c>
      <c r="O471">
        <v>0.12256416394284164</v>
      </c>
      <c r="P471">
        <v>1.6004061021890073E-2</v>
      </c>
      <c r="Q471">
        <v>9.2067567701870187E-4</v>
      </c>
      <c r="R471">
        <v>1.505480391688067E-3</v>
      </c>
      <c r="S471">
        <v>0.11974588538933365</v>
      </c>
      <c r="T471">
        <v>0.83311113817562787</v>
      </c>
      <c r="U471">
        <v>0</v>
      </c>
      <c r="V471">
        <v>0.20792007824128367</v>
      </c>
      <c r="W471">
        <v>9.4587273721276274E-2</v>
      </c>
      <c r="X471">
        <v>2.8606647821629951E-2</v>
      </c>
      <c r="Y471">
        <v>4.0974213446971792E-3</v>
      </c>
    </row>
    <row r="472" spans="1:25" x14ac:dyDescent="0.25">
      <c r="A472" s="1098"/>
      <c r="B472" s="1457">
        <v>222</v>
      </c>
      <c r="C472" s="1102">
        <v>1.0191595179581128</v>
      </c>
      <c r="D472" s="1102">
        <v>0.97041252330106142</v>
      </c>
      <c r="E472" s="1102">
        <v>1.0062884152360967</v>
      </c>
      <c r="F472" s="1102">
        <v>0.98706884274518958</v>
      </c>
      <c r="G472" s="1102">
        <v>1.0152067655040431</v>
      </c>
      <c r="H472" s="1102">
        <v>1.0199600982005232</v>
      </c>
      <c r="I472" s="1102">
        <v>1.0030715481719332</v>
      </c>
      <c r="K472">
        <v>1.5533147839669994</v>
      </c>
      <c r="L472">
        <v>0</v>
      </c>
      <c r="M472">
        <v>1.5683887556135455E-3</v>
      </c>
      <c r="N472">
        <v>0.1470931066960561</v>
      </c>
      <c r="O472">
        <v>0.12079223605614502</v>
      </c>
      <c r="P472">
        <v>1.5624152216112273E-2</v>
      </c>
      <c r="Q472">
        <v>8.9838631198872407E-4</v>
      </c>
      <c r="R472">
        <v>1.5649120264954167E-3</v>
      </c>
      <c r="S472">
        <v>0.12139387632778562</v>
      </c>
      <c r="T472">
        <v>0.81416900047026963</v>
      </c>
      <c r="U472">
        <v>0</v>
      </c>
      <c r="V472">
        <v>0.20494880106485214</v>
      </c>
      <c r="W472">
        <v>9.627058295163668E-2</v>
      </c>
      <c r="X472">
        <v>2.7868943938259314E-2</v>
      </c>
      <c r="Y472">
        <v>4.2591746630096326E-3</v>
      </c>
    </row>
    <row r="473" spans="1:25" x14ac:dyDescent="0.25">
      <c r="A473" s="1098"/>
      <c r="B473" s="1457">
        <v>223</v>
      </c>
      <c r="C473" s="1102">
        <v>0.9925886724663604</v>
      </c>
      <c r="D473" s="1102">
        <v>1.0180743418191156</v>
      </c>
      <c r="E473" s="1102">
        <v>0.98294042017794248</v>
      </c>
      <c r="F473" s="1102">
        <v>0.97860796543349293</v>
      </c>
      <c r="G473" s="1102">
        <v>1.0107383726099404</v>
      </c>
      <c r="H473" s="1102">
        <v>1.0064533300178011</v>
      </c>
      <c r="I473" s="1102">
        <v>0.99695290586840013</v>
      </c>
      <c r="K473">
        <v>1.5349066272691161</v>
      </c>
      <c r="L473">
        <v>0</v>
      </c>
      <c r="M473">
        <v>1.6189626783408755E-3</v>
      </c>
      <c r="N473">
        <v>0.14148328619630957</v>
      </c>
      <c r="O473">
        <v>0.11951101035171641</v>
      </c>
      <c r="P473">
        <v>1.5249439489251013E-2</v>
      </c>
      <c r="Q473">
        <v>8.8320862537551181E-4</v>
      </c>
      <c r="R473">
        <v>1.6152870634656244E-3</v>
      </c>
      <c r="S473">
        <v>0.11907631366088919</v>
      </c>
      <c r="T473">
        <v>0.80870246936183821</v>
      </c>
      <c r="U473">
        <v>0</v>
      </c>
      <c r="V473">
        <v>0.20505092545325967</v>
      </c>
      <c r="W473">
        <v>9.3898536676322517E-2</v>
      </c>
      <c r="X473">
        <v>2.6658834161512823E-2</v>
      </c>
      <c r="Y473">
        <v>4.3962789075160658E-3</v>
      </c>
    </row>
    <row r="474" spans="1:25" x14ac:dyDescent="0.25">
      <c r="A474" s="1098"/>
      <c r="B474" s="1457">
        <v>224</v>
      </c>
      <c r="C474" s="1102">
        <v>1.0172941948237817</v>
      </c>
      <c r="D474" s="1102">
        <v>0.98253186912794876</v>
      </c>
      <c r="E474" s="1102">
        <v>0.96543583896220042</v>
      </c>
      <c r="F474" s="1102">
        <v>1.0048321832056821</v>
      </c>
      <c r="G474" s="1102">
        <v>0.97673684852178144</v>
      </c>
      <c r="H474" s="1102">
        <v>0.98313897757769497</v>
      </c>
      <c r="I474" s="1102">
        <v>1.0095168794842087</v>
      </c>
      <c r="K474">
        <v>1.5496546077149775</v>
      </c>
      <c r="L474">
        <v>0</v>
      </c>
      <c r="M474">
        <v>1.6386484457515467E-3</v>
      </c>
      <c r="N474">
        <v>0.13580917565176859</v>
      </c>
      <c r="O474">
        <v>0.12170504595597324</v>
      </c>
      <c r="P474">
        <v>1.5327614382100332E-2</v>
      </c>
      <c r="Q474">
        <v>8.5815884551854681E-4</v>
      </c>
      <c r="R474">
        <v>1.6348768007889789E-3</v>
      </c>
      <c r="S474">
        <v>0.11858662244464145</v>
      </c>
      <c r="T474">
        <v>0.83154942971385148</v>
      </c>
      <c r="U474">
        <v>0</v>
      </c>
      <c r="V474">
        <v>0.20384535720943253</v>
      </c>
      <c r="W474">
        <v>9.1094971419419177E-2</v>
      </c>
      <c r="X474">
        <v>2.6432408022477597E-2</v>
      </c>
      <c r="Y474">
        <v>4.4495957147550631E-3</v>
      </c>
    </row>
    <row r="475" spans="1:25" x14ac:dyDescent="0.25">
      <c r="A475" s="1098"/>
      <c r="B475" s="1457">
        <v>225</v>
      </c>
      <c r="C475" s="1102">
        <v>1.0004202956601866</v>
      </c>
      <c r="D475" s="1102">
        <v>0.96142431199403267</v>
      </c>
      <c r="E475" s="1102">
        <v>0.98125253331026618</v>
      </c>
      <c r="F475" s="1102">
        <v>0.99979898059155459</v>
      </c>
      <c r="G475" s="1102">
        <v>0.96672645083287123</v>
      </c>
      <c r="H475" s="1102">
        <v>1.0001357257823194</v>
      </c>
      <c r="I475" s="1102">
        <v>0.99700195508059875</v>
      </c>
      <c r="K475">
        <v>1.5647946724992181</v>
      </c>
      <c r="L475">
        <v>0</v>
      </c>
      <c r="M475">
        <v>1.658197034336874E-3</v>
      </c>
      <c r="N475">
        <v>0.14417573751583834</v>
      </c>
      <c r="O475">
        <v>0.12313382350935051</v>
      </c>
      <c r="P475">
        <v>1.5507460572291134E-2</v>
      </c>
      <c r="Q475">
        <v>8.9501138184424624E-4</v>
      </c>
      <c r="R475">
        <v>1.6544526634985927E-3</v>
      </c>
      <c r="S475">
        <v>0.12191999636903805</v>
      </c>
      <c r="T475">
        <v>0.82632668657342423</v>
      </c>
      <c r="U475">
        <v>0</v>
      </c>
      <c r="V475">
        <v>0.2052294004554277</v>
      </c>
      <c r="W475">
        <v>9.5782850898343305E-2</v>
      </c>
      <c r="X475">
        <v>2.7324574834629557E-2</v>
      </c>
      <c r="Y475">
        <v>4.5028747598692236E-3</v>
      </c>
    </row>
    <row r="476" spans="1:25" x14ac:dyDescent="0.25">
      <c r="A476" s="1098"/>
      <c r="B476" s="1457">
        <v>226</v>
      </c>
      <c r="C476" s="1102">
        <v>1.0149317044160395</v>
      </c>
      <c r="D476" s="1102">
        <v>1.009443875154781</v>
      </c>
      <c r="E476" s="1102">
        <v>1.01841498734294</v>
      </c>
      <c r="F476" s="1102">
        <v>1.0128155044704892</v>
      </c>
      <c r="G476" s="1102">
        <v>1.0206979544644657</v>
      </c>
      <c r="H476" s="1102">
        <v>1.0009850627880157</v>
      </c>
      <c r="I476" s="1102">
        <v>0.98563642773097948</v>
      </c>
      <c r="K476">
        <v>1.5632944268193056</v>
      </c>
      <c r="L476">
        <v>0</v>
      </c>
      <c r="M476">
        <v>1.4762563605796931E-3</v>
      </c>
      <c r="N476">
        <v>0.14360648121501188</v>
      </c>
      <c r="O476">
        <v>0.12104412957258766</v>
      </c>
      <c r="P476">
        <v>1.5978780174792259E-2</v>
      </c>
      <c r="Q476">
        <v>8.9917195703407226E-4</v>
      </c>
      <c r="R476">
        <v>1.4729053115542412E-3</v>
      </c>
      <c r="S476">
        <v>0.11568965341229866</v>
      </c>
      <c r="T476">
        <v>0.83459986749025084</v>
      </c>
      <c r="U476">
        <v>0</v>
      </c>
      <c r="V476">
        <v>0.2057216068995722</v>
      </c>
      <c r="W476">
        <v>9.3320170426699045E-2</v>
      </c>
      <c r="X476">
        <v>2.8429154005137392E-2</v>
      </c>
      <c r="Y476">
        <v>4.008762714945182E-3</v>
      </c>
    </row>
    <row r="477" spans="1:25" x14ac:dyDescent="0.25">
      <c r="A477" s="1098"/>
      <c r="B477" s="1457">
        <v>227</v>
      </c>
      <c r="C477" s="1102">
        <v>0.99437802858648794</v>
      </c>
      <c r="D477" s="1102">
        <v>1.0056886453520346</v>
      </c>
      <c r="E477" s="1102">
        <v>1.0055071528994339</v>
      </c>
      <c r="F477" s="1102">
        <v>0.99907248439271701</v>
      </c>
      <c r="G477" s="1102">
        <v>1.027086277390892</v>
      </c>
      <c r="H477" s="1102">
        <v>0.98966508609594994</v>
      </c>
      <c r="I477" s="1102">
        <v>1.0088289024632753</v>
      </c>
      <c r="K477">
        <v>1.5581438942597954</v>
      </c>
      <c r="L477">
        <v>0</v>
      </c>
      <c r="M477">
        <v>1.5296366888022577E-3</v>
      </c>
      <c r="N477">
        <v>0.14310865496351377</v>
      </c>
      <c r="O477">
        <v>0.1213327776816419</v>
      </c>
      <c r="P477">
        <v>1.576170285196923E-2</v>
      </c>
      <c r="Q477">
        <v>9.0698525483611501E-4</v>
      </c>
      <c r="R477">
        <v>1.5261181439800886E-3</v>
      </c>
      <c r="S477">
        <v>0.11999528241095145</v>
      </c>
      <c r="T477">
        <v>0.82412140288280533</v>
      </c>
      <c r="U477">
        <v>0</v>
      </c>
      <c r="V477">
        <v>0.20710621379588265</v>
      </c>
      <c r="W477">
        <v>9.3706108988131323E-2</v>
      </c>
      <c r="X477">
        <v>2.795469347168214E-2</v>
      </c>
      <c r="Y477">
        <v>4.1535905032028444E-3</v>
      </c>
    </row>
    <row r="478" spans="1:25" x14ac:dyDescent="0.25">
      <c r="A478" s="1098"/>
      <c r="B478" s="1457">
        <v>228</v>
      </c>
      <c r="C478" s="1102">
        <v>0.98546928101370301</v>
      </c>
      <c r="D478" s="1102">
        <v>0.98494407874056644</v>
      </c>
      <c r="E478" s="1102">
        <v>1.006481230750758</v>
      </c>
      <c r="F478" s="1102">
        <v>1.0266413817094142</v>
      </c>
      <c r="G478" s="1102">
        <v>1.0092806508246026</v>
      </c>
      <c r="H478" s="1102">
        <v>1.0275225604117841</v>
      </c>
      <c r="I478" s="1102">
        <v>1.0078316823252995</v>
      </c>
      <c r="K478">
        <v>1.6081961112624596</v>
      </c>
      <c r="L478">
        <v>0</v>
      </c>
      <c r="M478">
        <v>1.6205734749338637E-3</v>
      </c>
      <c r="N478">
        <v>0.15207767212147794</v>
      </c>
      <c r="O478">
        <v>0.12466373627886765</v>
      </c>
      <c r="P478">
        <v>1.6189711715740827E-2</v>
      </c>
      <c r="Q478">
        <v>9.2377595470994646E-4</v>
      </c>
      <c r="R478">
        <v>1.6170006315031624E-3</v>
      </c>
      <c r="S478">
        <v>0.12569138001369512</v>
      </c>
      <c r="T478">
        <v>0.84679679169640698</v>
      </c>
      <c r="U478">
        <v>0</v>
      </c>
      <c r="V478">
        <v>0.20914150661870476</v>
      </c>
      <c r="W478">
        <v>9.9521569740121385E-2</v>
      </c>
      <c r="X478">
        <v>2.8792597291328183E-2</v>
      </c>
      <c r="Y478">
        <v>4.4009426748366906E-3</v>
      </c>
    </row>
    <row r="479" spans="1:25" x14ac:dyDescent="0.25">
      <c r="A479" s="1098"/>
      <c r="B479" s="1457">
        <v>229</v>
      </c>
      <c r="C479" s="1102">
        <v>1.0268402121982281</v>
      </c>
      <c r="D479" s="1102">
        <v>1.0096455955644756</v>
      </c>
      <c r="E479" s="1102">
        <v>1.0031650723013255</v>
      </c>
      <c r="F479" s="1102">
        <v>1.0080270486990701</v>
      </c>
      <c r="G479" s="1102">
        <v>0.99598780599214665</v>
      </c>
      <c r="H479" s="1102">
        <v>1.0029880070566646</v>
      </c>
      <c r="I479" s="1102">
        <v>1.0179593004292191</v>
      </c>
      <c r="K479">
        <v>1.5539997335219857</v>
      </c>
      <c r="L479">
        <v>0</v>
      </c>
      <c r="M479">
        <v>1.5096601514394525E-3</v>
      </c>
      <c r="N479">
        <v>0.14024917849577029</v>
      </c>
      <c r="O479">
        <v>0.120150466565995</v>
      </c>
      <c r="P479">
        <v>1.5762161115024716E-2</v>
      </c>
      <c r="Q479">
        <v>8.7481165109828376E-4</v>
      </c>
      <c r="R479">
        <v>1.5062416097651801E-3</v>
      </c>
      <c r="S479">
        <v>0.11824845284331718</v>
      </c>
      <c r="T479">
        <v>0.83166342278630689</v>
      </c>
      <c r="U479">
        <v>0</v>
      </c>
      <c r="V479">
        <v>0.20335811868219889</v>
      </c>
      <c r="W479">
        <v>9.1961237280943353E-2</v>
      </c>
      <c r="X479">
        <v>2.7635809513636627E-2</v>
      </c>
      <c r="Y479">
        <v>4.0994931293676061E-3</v>
      </c>
    </row>
    <row r="480" spans="1:25" x14ac:dyDescent="0.25">
      <c r="A480" s="1098"/>
      <c r="B480" s="1457">
        <v>230</v>
      </c>
      <c r="C480" s="1102">
        <v>1.0142865307643896</v>
      </c>
      <c r="D480" s="1102">
        <v>0.97484448942700597</v>
      </c>
      <c r="E480" s="1102">
        <v>1.0155673563847742</v>
      </c>
      <c r="F480" s="1102">
        <v>0.99674790392943347</v>
      </c>
      <c r="G480" s="1102">
        <v>1.007465740629889</v>
      </c>
      <c r="H480" s="1102">
        <v>0.99518379834405368</v>
      </c>
      <c r="I480" s="1102">
        <v>1.0096516632141148</v>
      </c>
      <c r="K480">
        <v>1.5577651589294028</v>
      </c>
      <c r="L480">
        <v>0</v>
      </c>
      <c r="M480">
        <v>1.5050024290342455E-3</v>
      </c>
      <c r="N480">
        <v>0.1451498323436119</v>
      </c>
      <c r="O480">
        <v>0.12149693467191928</v>
      </c>
      <c r="P480">
        <v>1.5827262733316253E-2</v>
      </c>
      <c r="Q480">
        <v>9.09718339117121E-4</v>
      </c>
      <c r="R480">
        <v>1.501581944078949E-3</v>
      </c>
      <c r="S480">
        <v>0.12050973016639842</v>
      </c>
      <c r="T480">
        <v>0.82154534598494888</v>
      </c>
      <c r="U480">
        <v>0</v>
      </c>
      <c r="V480">
        <v>0.20538670271230586</v>
      </c>
      <c r="W480">
        <v>9.4480737940284776E-2</v>
      </c>
      <c r="X480">
        <v>2.8375503467027958E-2</v>
      </c>
      <c r="Y480">
        <v>4.0868110554280667E-3</v>
      </c>
    </row>
    <row r="481" spans="1:25" x14ac:dyDescent="0.25">
      <c r="A481" s="1098"/>
      <c r="B481" s="1457">
        <v>231</v>
      </c>
      <c r="C481" s="1102">
        <v>1.0320295793363916</v>
      </c>
      <c r="D481" s="1102">
        <v>1.0110585323156505</v>
      </c>
      <c r="E481" s="1102">
        <v>1.0119324308878461</v>
      </c>
      <c r="F481" s="1102">
        <v>1.0036503637516829</v>
      </c>
      <c r="G481" s="1102">
        <v>0.97975271469172409</v>
      </c>
      <c r="H481" s="1102">
        <v>1.0103698308042208</v>
      </c>
      <c r="I481" s="1102">
        <v>1.0055344784412679</v>
      </c>
      <c r="K481">
        <v>1.548179913914236</v>
      </c>
      <c r="L481">
        <v>0</v>
      </c>
      <c r="M481">
        <v>1.4846894892013248E-3</v>
      </c>
      <c r="N481">
        <v>0.141631880712591</v>
      </c>
      <c r="O481">
        <v>0.11950693985417585</v>
      </c>
      <c r="P481">
        <v>1.5766900725648542E-2</v>
      </c>
      <c r="Q481">
        <v>8.7783779306217671E-4</v>
      </c>
      <c r="R481">
        <v>1.4813513741619971E-3</v>
      </c>
      <c r="S481">
        <v>0.11670772361234411</v>
      </c>
      <c r="T481">
        <v>0.82747374308722255</v>
      </c>
      <c r="U481">
        <v>0</v>
      </c>
      <c r="V481">
        <v>0.20196004257044695</v>
      </c>
      <c r="W481">
        <v>9.2388070005868309E-2</v>
      </c>
      <c r="X481">
        <v>2.7838363554794434E-2</v>
      </c>
      <c r="Y481">
        <v>4.0317501131197043E-3</v>
      </c>
    </row>
    <row r="482" spans="1:25" x14ac:dyDescent="0.25">
      <c r="A482" s="1098"/>
      <c r="B482" s="1457">
        <v>232</v>
      </c>
      <c r="C482" s="1102">
        <v>0.9785006117618622</v>
      </c>
      <c r="D482" s="1102">
        <v>1.0133809489364392</v>
      </c>
      <c r="E482" s="1102">
        <v>1.0106186557375716</v>
      </c>
      <c r="F482" s="1102">
        <v>1.0079566941033367</v>
      </c>
      <c r="G482" s="1102">
        <v>0.98831634494898313</v>
      </c>
      <c r="H482" s="1102">
        <v>1.0106307393555813</v>
      </c>
      <c r="I482" s="1102">
        <v>0.98250808579039783</v>
      </c>
      <c r="K482">
        <v>1.5753438037565941</v>
      </c>
      <c r="L482">
        <v>0</v>
      </c>
      <c r="M482">
        <v>1.5630827879127009E-3</v>
      </c>
      <c r="N482">
        <v>0.14851880514592131</v>
      </c>
      <c r="O482">
        <v>0.12243220199142854</v>
      </c>
      <c r="P482">
        <v>1.5913682329162845E-2</v>
      </c>
      <c r="Q482">
        <v>9.2375907033706909E-4</v>
      </c>
      <c r="R482">
        <v>1.5595556750924928E-3</v>
      </c>
      <c r="S482">
        <v>0.11984778706902449</v>
      </c>
      <c r="T482">
        <v>0.83111109343495015</v>
      </c>
      <c r="U482">
        <v>0</v>
      </c>
      <c r="V482">
        <v>0.20697083160996013</v>
      </c>
      <c r="W482">
        <v>9.695549546958597E-2</v>
      </c>
      <c r="X482">
        <v>2.8429078308831242E-2</v>
      </c>
      <c r="Y482">
        <v>4.2445964402116404E-3</v>
      </c>
    </row>
    <row r="483" spans="1:25" x14ac:dyDescent="0.25">
      <c r="A483" s="1098"/>
      <c r="B483" s="1457">
        <v>233</v>
      </c>
      <c r="C483" s="1102">
        <v>1.0042904736940019</v>
      </c>
      <c r="D483" s="1102">
        <v>1.0125277612473707</v>
      </c>
      <c r="E483" s="1102">
        <v>0.99042335023347883</v>
      </c>
      <c r="F483" s="1102">
        <v>0.98104666423642017</v>
      </c>
      <c r="G483" s="1102">
        <v>0.97370024989081116</v>
      </c>
      <c r="H483" s="1102">
        <v>0.96783105043776785</v>
      </c>
      <c r="I483" s="1102">
        <v>1.0043018281237004</v>
      </c>
      <c r="K483">
        <v>1.5212319531761764</v>
      </c>
      <c r="L483">
        <v>0</v>
      </c>
      <c r="M483">
        <v>1.5213315110423761E-3</v>
      </c>
      <c r="N483">
        <v>0.13598239203318785</v>
      </c>
      <c r="O483">
        <v>0.11931144998432394</v>
      </c>
      <c r="P483">
        <v>1.5283130403255555E-2</v>
      </c>
      <c r="Q483">
        <v>8.8168963810020652E-4</v>
      </c>
      <c r="R483">
        <v>1.5177467354232377E-3</v>
      </c>
      <c r="S483">
        <v>0.11600407709249427</v>
      </c>
      <c r="T483">
        <v>0.81022999004296981</v>
      </c>
      <c r="U483">
        <v>0</v>
      </c>
      <c r="V483">
        <v>0.2027016635765059</v>
      </c>
      <c r="W483">
        <v>8.9843035119713047E-2</v>
      </c>
      <c r="X483">
        <v>2.6867303772499396E-2</v>
      </c>
      <c r="Y483">
        <v>4.1308062887451856E-3</v>
      </c>
    </row>
    <row r="484" spans="1:25" x14ac:dyDescent="0.25">
      <c r="A484" s="1098"/>
      <c r="B484" s="1457">
        <v>234</v>
      </c>
      <c r="C484" s="1102">
        <v>1.0162079794126111</v>
      </c>
      <c r="D484" s="1102">
        <v>0.99941700009751344</v>
      </c>
      <c r="E484" s="1102">
        <v>1.0284989825390827</v>
      </c>
      <c r="F484" s="1102">
        <v>1.027282980598043</v>
      </c>
      <c r="G484" s="1102">
        <v>1.0336794512667349</v>
      </c>
      <c r="H484" s="1102">
        <v>0.99463282421747234</v>
      </c>
      <c r="I484" s="1102">
        <v>0.9854959213383534</v>
      </c>
      <c r="K484">
        <v>1.5799944944120974</v>
      </c>
      <c r="L484">
        <v>0</v>
      </c>
      <c r="M484">
        <v>1.4444283424871443E-3</v>
      </c>
      <c r="N484">
        <v>0.14484822650594079</v>
      </c>
      <c r="O484">
        <v>0.12238751409620369</v>
      </c>
      <c r="P484">
        <v>1.627706260823748E-2</v>
      </c>
      <c r="Q484">
        <v>9.1099408090469379E-4</v>
      </c>
      <c r="R484">
        <v>1.4411379148660626E-3</v>
      </c>
      <c r="S484">
        <v>0.11583665797998097</v>
      </c>
      <c r="T484">
        <v>0.84584564208836666</v>
      </c>
      <c r="U484">
        <v>0</v>
      </c>
      <c r="V484">
        <v>0.20725986113755268</v>
      </c>
      <c r="W484">
        <v>9.3574909022056729E-2</v>
      </c>
      <c r="X484">
        <v>2.9134614987194243E-2</v>
      </c>
      <c r="Y484">
        <v>3.9223023332794647E-3</v>
      </c>
    </row>
    <row r="485" spans="1:25" x14ac:dyDescent="0.25">
      <c r="A485" s="1098"/>
      <c r="B485" s="1457">
        <v>235</v>
      </c>
      <c r="C485" s="1102">
        <v>1.0066471995380528</v>
      </c>
      <c r="D485" s="1102">
        <v>0.9908598850960969</v>
      </c>
      <c r="E485" s="1102">
        <v>1.0005556230170116</v>
      </c>
      <c r="F485" s="1102">
        <v>0.97806811744803468</v>
      </c>
      <c r="G485" s="1102">
        <v>0.97516078038693188</v>
      </c>
      <c r="H485" s="1102">
        <v>0.98501504036006571</v>
      </c>
      <c r="I485" s="1102">
        <v>1.0132051587632942</v>
      </c>
      <c r="K485">
        <v>1.5313866892988772</v>
      </c>
      <c r="L485">
        <v>0</v>
      </c>
      <c r="M485">
        <v>1.5311148755619496E-3</v>
      </c>
      <c r="N485">
        <v>0.14111947263295122</v>
      </c>
      <c r="O485">
        <v>0.11988609360894974</v>
      </c>
      <c r="P485">
        <v>1.5412186518476555E-2</v>
      </c>
      <c r="Q485">
        <v>8.9666249468008433E-4</v>
      </c>
      <c r="R485">
        <v>1.5275823886127986E-3</v>
      </c>
      <c r="S485">
        <v>0.11966566938882663</v>
      </c>
      <c r="T485">
        <v>0.80711441182782795</v>
      </c>
      <c r="U485">
        <v>0</v>
      </c>
      <c r="V485">
        <v>0.20306977623035022</v>
      </c>
      <c r="W485">
        <v>9.2675297664207942E-2</v>
      </c>
      <c r="X485">
        <v>2.7393075725151744E-2</v>
      </c>
      <c r="Y485">
        <v>4.1575756944049694E-3</v>
      </c>
    </row>
    <row r="486" spans="1:25" x14ac:dyDescent="0.25">
      <c r="A486" s="1098"/>
      <c r="B486" s="1457">
        <v>236</v>
      </c>
      <c r="C486" s="1102">
        <v>0.95416727571740889</v>
      </c>
      <c r="D486" s="1102">
        <v>1.0313104268062192</v>
      </c>
      <c r="E486" s="1102">
        <v>0.98058630337888431</v>
      </c>
      <c r="F486" s="1102">
        <v>0.99354991479327359</v>
      </c>
      <c r="G486" s="1102">
        <v>1.0014466983457988</v>
      </c>
      <c r="H486" s="1102">
        <v>1.0196987819977601</v>
      </c>
      <c r="I486" s="1102">
        <v>1.0227393406347658</v>
      </c>
      <c r="K486">
        <v>1.5723479228998767</v>
      </c>
      <c r="L486">
        <v>0</v>
      </c>
      <c r="M486">
        <v>1.6992530410389686E-3</v>
      </c>
      <c r="N486">
        <v>0.14744921246416542</v>
      </c>
      <c r="O486">
        <v>0.12202915807043049</v>
      </c>
      <c r="P486">
        <v>1.5542603193788161E-2</v>
      </c>
      <c r="Q486">
        <v>9.1178774063174902E-4</v>
      </c>
      <c r="R486">
        <v>1.69543055870001E-3</v>
      </c>
      <c r="S486">
        <v>0.1270539515953287</v>
      </c>
      <c r="T486">
        <v>0.82120598300785796</v>
      </c>
      <c r="U486">
        <v>0</v>
      </c>
      <c r="V486">
        <v>0.20840685758243147</v>
      </c>
      <c r="W486">
        <v>9.7996963255905595E-2</v>
      </c>
      <c r="X486">
        <v>2.714082538942943E-2</v>
      </c>
      <c r="Y486">
        <v>4.6144030822479606E-3</v>
      </c>
    </row>
    <row r="487" spans="1:25" x14ac:dyDescent="0.25">
      <c r="A487" s="1098"/>
      <c r="B487" s="1457">
        <v>237</v>
      </c>
      <c r="C487" s="1102">
        <v>0.9905638769320958</v>
      </c>
      <c r="D487" s="1102">
        <v>0.97616962955288489</v>
      </c>
      <c r="E487" s="1102">
        <v>1.0007201777600714</v>
      </c>
      <c r="F487" s="1102">
        <v>1.0233169499357553</v>
      </c>
      <c r="G487" s="1102">
        <v>0.98473860913673983</v>
      </c>
      <c r="H487" s="1102">
        <v>0.97152616587831775</v>
      </c>
      <c r="I487" s="1102">
        <v>1.0013574541354138</v>
      </c>
      <c r="K487">
        <v>1.5835054727519153</v>
      </c>
      <c r="L487">
        <v>0</v>
      </c>
      <c r="M487">
        <v>1.5507585396524522E-3</v>
      </c>
      <c r="N487">
        <v>0.14299807171700002</v>
      </c>
      <c r="O487">
        <v>0.1245769569978039</v>
      </c>
      <c r="P487">
        <v>1.5995529096352077E-2</v>
      </c>
      <c r="Q487">
        <v>9.168381157903607E-4</v>
      </c>
      <c r="R487">
        <v>1.5471484175111467E-3</v>
      </c>
      <c r="S487">
        <v>0.12035182959897177</v>
      </c>
      <c r="T487">
        <v>0.8444432186253622</v>
      </c>
      <c r="U487">
        <v>0</v>
      </c>
      <c r="V487">
        <v>0.20768266298175972</v>
      </c>
      <c r="W487">
        <v>9.389982272426696E-2</v>
      </c>
      <c r="X487">
        <v>2.8433325041622076E-2</v>
      </c>
      <c r="Y487">
        <v>4.2108279751265788E-3</v>
      </c>
    </row>
    <row r="488" spans="1:25" x14ac:dyDescent="0.25">
      <c r="A488" s="1098"/>
      <c r="B488" s="1457">
        <v>238</v>
      </c>
      <c r="C488" s="1102">
        <v>1.0290552235870256</v>
      </c>
      <c r="D488" s="1102">
        <v>1.006653393988447</v>
      </c>
      <c r="E488" s="1102">
        <v>0.9738436619427836</v>
      </c>
      <c r="F488" s="1102">
        <v>0.97190098322587859</v>
      </c>
      <c r="G488" s="1102">
        <v>1.0290257116164256</v>
      </c>
      <c r="H488" s="1102">
        <v>0.99109028268099431</v>
      </c>
      <c r="I488" s="1102">
        <v>0.99252750129334599</v>
      </c>
      <c r="K488">
        <v>1.5084822123249564</v>
      </c>
      <c r="L488">
        <v>0</v>
      </c>
      <c r="M488">
        <v>1.580318103716633E-3</v>
      </c>
      <c r="N488">
        <v>0.13435278827032851</v>
      </c>
      <c r="O488">
        <v>0.11774522082651519</v>
      </c>
      <c r="P488">
        <v>1.4981855325446216E-2</v>
      </c>
      <c r="Q488">
        <v>8.4763737704762591E-4</v>
      </c>
      <c r="R488">
        <v>1.5766890994254139E-3</v>
      </c>
      <c r="S488">
        <v>0.11409371875660282</v>
      </c>
      <c r="T488">
        <v>0.80374975557329253</v>
      </c>
      <c r="U488">
        <v>0</v>
      </c>
      <c r="V488">
        <v>0.20284810038978895</v>
      </c>
      <c r="W488">
        <v>8.9657975244778657E-2</v>
      </c>
      <c r="X488">
        <v>2.5917561592232727E-2</v>
      </c>
      <c r="Y488">
        <v>4.2912279732140388E-3</v>
      </c>
    </row>
    <row r="489" spans="1:25" x14ac:dyDescent="0.25">
      <c r="A489" s="1098"/>
      <c r="B489" s="1457">
        <v>239</v>
      </c>
      <c r="C489" s="1102">
        <v>0.97610481610748823</v>
      </c>
      <c r="D489" s="1102">
        <v>0.98983223511999341</v>
      </c>
      <c r="E489" s="1102">
        <v>1.0432096835798594</v>
      </c>
      <c r="F489" s="1102">
        <v>0.98882367256648351</v>
      </c>
      <c r="G489" s="1102">
        <v>1.0027301665956361</v>
      </c>
      <c r="H489" s="1102">
        <v>1.0078070247826216</v>
      </c>
      <c r="I489" s="1102">
        <v>0.99597388041358437</v>
      </c>
      <c r="K489">
        <v>1.570994234367773</v>
      </c>
      <c r="L489">
        <v>0</v>
      </c>
      <c r="M489">
        <v>1.4770329778017927E-3</v>
      </c>
      <c r="N489">
        <v>0.1548343505329535</v>
      </c>
      <c r="O489">
        <v>0.12215741024259902</v>
      </c>
      <c r="P489">
        <v>1.6101014320290291E-2</v>
      </c>
      <c r="Q489">
        <v>9.6644019069125385E-4</v>
      </c>
      <c r="R489">
        <v>1.4736980362770079E-3</v>
      </c>
      <c r="S489">
        <v>0.12320379702086173</v>
      </c>
      <c r="T489">
        <v>0.81323556115546047</v>
      </c>
      <c r="U489">
        <v>0</v>
      </c>
      <c r="V489">
        <v>0.20760604298205018</v>
      </c>
      <c r="W489">
        <v>9.9179514822967288E-2</v>
      </c>
      <c r="X489">
        <v>2.9702517791104034E-2</v>
      </c>
      <c r="Y489">
        <v>4.0109202503189195E-3</v>
      </c>
    </row>
    <row r="490" spans="1:25" x14ac:dyDescent="0.25">
      <c r="A490" s="1098"/>
      <c r="B490" s="1457">
        <v>240</v>
      </c>
      <c r="C490" s="1102">
        <v>1.015487932412777</v>
      </c>
      <c r="D490" s="1102">
        <v>1.0324356315059322</v>
      </c>
      <c r="E490" s="1102">
        <v>1.0189937788318875</v>
      </c>
      <c r="F490" s="1102">
        <v>0.98156120109296874</v>
      </c>
      <c r="G490" s="1102">
        <v>1.0134677130610557</v>
      </c>
      <c r="H490" s="1102">
        <v>1.0273106744385585</v>
      </c>
      <c r="I490" s="1102">
        <v>0.98024831060620377</v>
      </c>
      <c r="K490">
        <v>1.5328143609433675</v>
      </c>
      <c r="L490">
        <v>0</v>
      </c>
      <c r="M490">
        <v>1.4898068080438102E-3</v>
      </c>
      <c r="N490">
        <v>0.14518443800075595</v>
      </c>
      <c r="O490">
        <v>0.11787222757424706</v>
      </c>
      <c r="P490">
        <v>1.5586571090691469E-2</v>
      </c>
      <c r="Q490">
        <v>8.9114940852320576E-4</v>
      </c>
      <c r="R490">
        <v>1.4864916242897459E-3</v>
      </c>
      <c r="S490">
        <v>0.11526496040072461</v>
      </c>
      <c r="T490">
        <v>0.80880792996518325</v>
      </c>
      <c r="U490">
        <v>0</v>
      </c>
      <c r="V490">
        <v>0.20307873404168553</v>
      </c>
      <c r="W490">
        <v>9.4313603359021239E-2</v>
      </c>
      <c r="X490">
        <v>2.7772322106804574E-2</v>
      </c>
      <c r="Y490">
        <v>4.0457401794844377E-3</v>
      </c>
    </row>
    <row r="491" spans="1:25" x14ac:dyDescent="0.25">
      <c r="A491" s="1098"/>
      <c r="B491" s="1457">
        <v>241</v>
      </c>
      <c r="C491" s="1102">
        <v>0.97310486530082674</v>
      </c>
      <c r="D491" s="1102">
        <v>1.0330302526503159</v>
      </c>
      <c r="E491" s="1102">
        <v>0.99751252164823079</v>
      </c>
      <c r="F491" s="1102">
        <v>1.0396735339848853</v>
      </c>
      <c r="G491" s="1102">
        <v>0.98024631515695471</v>
      </c>
      <c r="H491" s="1102">
        <v>0.99139668128166647</v>
      </c>
      <c r="I491" s="1102">
        <v>1.0046490776414774</v>
      </c>
      <c r="K491">
        <v>1.5981463641026559</v>
      </c>
      <c r="L491">
        <v>0</v>
      </c>
      <c r="M491">
        <v>1.5702187087716457E-3</v>
      </c>
      <c r="N491">
        <v>0.14339958170060241</v>
      </c>
      <c r="O491">
        <v>0.12410710886561901</v>
      </c>
      <c r="P491">
        <v>1.615052432563252E-2</v>
      </c>
      <c r="Q491">
        <v>9.0935903038224586E-4</v>
      </c>
      <c r="R491">
        <v>1.5666021219901908E-3</v>
      </c>
      <c r="S491">
        <v>0.12040781430403648</v>
      </c>
      <c r="T491">
        <v>0.85816095142875981</v>
      </c>
      <c r="U491">
        <v>0</v>
      </c>
      <c r="V491">
        <v>0.20811479679014525</v>
      </c>
      <c r="W491">
        <v>9.434328990416041E-2</v>
      </c>
      <c r="X491">
        <v>2.8292779794290828E-2</v>
      </c>
      <c r="Y491">
        <v>4.2637745458065793E-3</v>
      </c>
    </row>
    <row r="492" spans="1:25" x14ac:dyDescent="0.25">
      <c r="A492" s="1098"/>
      <c r="B492" s="1457">
        <v>242</v>
      </c>
      <c r="C492" s="1102">
        <v>0.98246174205353742</v>
      </c>
      <c r="D492" s="1102">
        <v>0.97285793759576589</v>
      </c>
      <c r="E492" s="1102">
        <v>0.99013042734656365</v>
      </c>
      <c r="F492" s="1102">
        <v>0.98411365020273789</v>
      </c>
      <c r="G492" s="1102">
        <v>1.0109815959768282</v>
      </c>
      <c r="H492" s="1102">
        <v>0.99490772037243758</v>
      </c>
      <c r="I492" s="1102">
        <v>1.0194625059606175</v>
      </c>
      <c r="K492">
        <v>1.5589149689788251</v>
      </c>
      <c r="L492">
        <v>0</v>
      </c>
      <c r="M492">
        <v>1.6337857530752753E-3</v>
      </c>
      <c r="N492">
        <v>0.14591580850622854</v>
      </c>
      <c r="O492">
        <v>0.12239550686350831</v>
      </c>
      <c r="P492">
        <v>1.550808949773253E-2</v>
      </c>
      <c r="Q492">
        <v>9.1552425537203539E-4</v>
      </c>
      <c r="R492">
        <v>1.6300600163762944E-3</v>
      </c>
      <c r="S492">
        <v>0.12541518158338175</v>
      </c>
      <c r="T492">
        <v>0.81278208265886576</v>
      </c>
      <c r="U492">
        <v>0</v>
      </c>
      <c r="V492">
        <v>0.20759749350120701</v>
      </c>
      <c r="W492">
        <v>9.6422919544827651E-2</v>
      </c>
      <c r="X492">
        <v>2.7529602288961973E-2</v>
      </c>
      <c r="Y492">
        <v>4.436486015436291E-3</v>
      </c>
    </row>
    <row r="493" spans="1:25" x14ac:dyDescent="0.25">
      <c r="A493" s="1098"/>
      <c r="B493" s="1457">
        <v>243</v>
      </c>
      <c r="C493" s="1102">
        <v>1.0164446656182902</v>
      </c>
      <c r="D493" s="1102">
        <v>1.0032083367836624</v>
      </c>
      <c r="E493" s="1102">
        <v>0.99697144995044551</v>
      </c>
      <c r="F493" s="1102">
        <v>0.98770130450550009</v>
      </c>
      <c r="G493" s="1102">
        <v>0.98004263879524056</v>
      </c>
      <c r="H493" s="1102">
        <v>1.030958830399809</v>
      </c>
      <c r="I493" s="1102">
        <v>0.99655365507748206</v>
      </c>
      <c r="K493">
        <v>1.5451722414334954</v>
      </c>
      <c r="L493">
        <v>0</v>
      </c>
      <c r="M493">
        <v>1.59010187585007E-3</v>
      </c>
      <c r="N493">
        <v>0.14499235561849869</v>
      </c>
      <c r="O493">
        <v>0.11955128663826253</v>
      </c>
      <c r="P493">
        <v>1.5472106254207554E-2</v>
      </c>
      <c r="Q493">
        <v>8.803513986184884E-4</v>
      </c>
      <c r="R493">
        <v>1.5865947546276568E-3</v>
      </c>
      <c r="S493">
        <v>0.11937730270320236</v>
      </c>
      <c r="T493">
        <v>0.81529767921202601</v>
      </c>
      <c r="U493">
        <v>0</v>
      </c>
      <c r="V493">
        <v>0.20261349416742294</v>
      </c>
      <c r="W493">
        <v>9.5421931757041237E-2</v>
      </c>
      <c r="X493">
        <v>2.7251052904161802E-2</v>
      </c>
      <c r="Y493">
        <v>4.3181879012761841E-3</v>
      </c>
    </row>
    <row r="494" spans="1:25" x14ac:dyDescent="0.25">
      <c r="A494" s="1098"/>
      <c r="B494" s="1457">
        <v>244</v>
      </c>
      <c r="C494" s="1102">
        <v>0.99852961156957709</v>
      </c>
      <c r="D494" s="1102">
        <v>0.99075445617492497</v>
      </c>
      <c r="E494" s="1102">
        <v>0.99261410902284331</v>
      </c>
      <c r="F494" s="1102">
        <v>0.99389428506082056</v>
      </c>
      <c r="G494" s="1102">
        <v>1.0202372967390325</v>
      </c>
      <c r="H494" s="1102">
        <v>1.0066892245450598</v>
      </c>
      <c r="I494" s="1102">
        <v>1.0028067031405103</v>
      </c>
      <c r="K494">
        <v>1.5579131137561</v>
      </c>
      <c r="L494">
        <v>0</v>
      </c>
      <c r="M494">
        <v>1.6048480779753296E-3</v>
      </c>
      <c r="N494">
        <v>0.14441513710350096</v>
      </c>
      <c r="O494">
        <v>0.12144773124547663</v>
      </c>
      <c r="P494">
        <v>1.5573331561541021E-2</v>
      </c>
      <c r="Q494">
        <v>8.9656425067591804E-4</v>
      </c>
      <c r="R494">
        <v>1.6012276010892394E-3</v>
      </c>
      <c r="S494">
        <v>0.12117703136895774</v>
      </c>
      <c r="T494">
        <v>0.82069629049873982</v>
      </c>
      <c r="U494">
        <v>0</v>
      </c>
      <c r="V494">
        <v>0.20660079843287357</v>
      </c>
      <c r="W494">
        <v>9.528952728891199E-2</v>
      </c>
      <c r="X494">
        <v>2.7462308796678866E-2</v>
      </c>
      <c r="Y494">
        <v>4.3580136856280708E-3</v>
      </c>
    </row>
    <row r="495" spans="1:25" x14ac:dyDescent="0.25">
      <c r="A495" s="1098"/>
      <c r="B495" s="1457">
        <v>245</v>
      </c>
      <c r="C495" s="1102">
        <v>1.0135174372691542</v>
      </c>
      <c r="D495" s="1102">
        <v>1.0164988639505335</v>
      </c>
      <c r="E495" s="1102">
        <v>0.96648123520153029</v>
      </c>
      <c r="F495" s="1102">
        <v>1.0292739063233793</v>
      </c>
      <c r="G495" s="1102">
        <v>0.95828803190591805</v>
      </c>
      <c r="H495" s="1102">
        <v>0.97799699592923106</v>
      </c>
      <c r="I495" s="1102">
        <v>0.97017988573851766</v>
      </c>
      <c r="K495">
        <v>1.5591969667633678</v>
      </c>
      <c r="L495">
        <v>0</v>
      </c>
      <c r="M495">
        <v>1.6038035917993899E-3</v>
      </c>
      <c r="N495">
        <v>0.13333988592425167</v>
      </c>
      <c r="O495">
        <v>0.12208571084530329</v>
      </c>
      <c r="P495">
        <v>1.5513927881805386E-2</v>
      </c>
      <c r="Q495">
        <v>8.5066447889856479E-4</v>
      </c>
      <c r="R495">
        <v>1.6000770553471131E-3</v>
      </c>
      <c r="S495">
        <v>0.11181341469265579</v>
      </c>
      <c r="T495">
        <v>0.85170397881711679</v>
      </c>
      <c r="U495">
        <v>0</v>
      </c>
      <c r="V495">
        <v>0.20356404542176423</v>
      </c>
      <c r="W495">
        <v>8.9381606439046912E-2</v>
      </c>
      <c r="X495">
        <v>2.6592576519583123E-2</v>
      </c>
      <c r="Y495">
        <v>4.3548822793953064E-3</v>
      </c>
    </row>
    <row r="496" spans="1:25" x14ac:dyDescent="0.25">
      <c r="A496" s="1098"/>
      <c r="B496" s="1457">
        <v>246</v>
      </c>
      <c r="C496" s="1102">
        <v>0.96326393354453654</v>
      </c>
      <c r="D496" s="1102">
        <v>0.98991716504530691</v>
      </c>
      <c r="E496" s="1102">
        <v>0.9992879991734579</v>
      </c>
      <c r="F496" s="1102">
        <v>0.96718078412954112</v>
      </c>
      <c r="G496" s="1102">
        <v>0.97757856297437695</v>
      </c>
      <c r="H496" s="1102">
        <v>0.98616990089905432</v>
      </c>
      <c r="I496" s="1102">
        <v>0.96766901236557346</v>
      </c>
      <c r="K496">
        <v>1.5369584633112248</v>
      </c>
      <c r="L496">
        <v>0</v>
      </c>
      <c r="M496">
        <v>1.6002189779083932E-3</v>
      </c>
      <c r="N496">
        <v>0.14692388199586803</v>
      </c>
      <c r="O496">
        <v>0.12139785247653134</v>
      </c>
      <c r="P496">
        <v>1.5315948732281197E-2</v>
      </c>
      <c r="Q496">
        <v>9.3617177542349014E-4</v>
      </c>
      <c r="R496">
        <v>1.5965162666206163E-3</v>
      </c>
      <c r="S496">
        <v>0.11925819390595872</v>
      </c>
      <c r="T496">
        <v>0.79821098187851491</v>
      </c>
      <c r="U496">
        <v>0</v>
      </c>
      <c r="V496">
        <v>0.20638348774039714</v>
      </c>
      <c r="W496">
        <v>9.6559867207177644E-2</v>
      </c>
      <c r="X496">
        <v>2.7630589324062822E-2</v>
      </c>
      <c r="Y496">
        <v>4.3451909862954694E-3</v>
      </c>
    </row>
    <row r="497" spans="1:25" x14ac:dyDescent="0.25">
      <c r="A497" s="1098"/>
      <c r="B497" s="1457">
        <v>247</v>
      </c>
      <c r="C497" s="1102">
        <v>1.0120215412252767</v>
      </c>
      <c r="D497" s="1102">
        <v>0.99324730025301333</v>
      </c>
      <c r="E497" s="1102">
        <v>0.99676250581874803</v>
      </c>
      <c r="F497" s="1102">
        <v>0.99356035534401177</v>
      </c>
      <c r="G497" s="1102">
        <v>1.0014700435631272</v>
      </c>
      <c r="H497" s="1102">
        <v>1.0407537888786651</v>
      </c>
      <c r="I497" s="1102">
        <v>1.017600114550502</v>
      </c>
      <c r="K497">
        <v>1.5628161071109625</v>
      </c>
      <c r="L497">
        <v>0</v>
      </c>
      <c r="M497">
        <v>1.6222784629150392E-3</v>
      </c>
      <c r="N497">
        <v>0.14783663795034524</v>
      </c>
      <c r="O497">
        <v>0.12061496995058103</v>
      </c>
      <c r="P497">
        <v>1.5624197819801405E-2</v>
      </c>
      <c r="Q497">
        <v>8.8754278570167143E-4</v>
      </c>
      <c r="R497">
        <v>1.6187403931272226E-3</v>
      </c>
      <c r="S497">
        <v>0.12395614803342436</v>
      </c>
      <c r="T497">
        <v>0.8201477560109377</v>
      </c>
      <c r="U497">
        <v>0</v>
      </c>
      <c r="V497">
        <v>0.20454014901522635</v>
      </c>
      <c r="W497">
        <v>9.7305915378242902E-2</v>
      </c>
      <c r="X497">
        <v>2.7500650504024518E-2</v>
      </c>
      <c r="Y497">
        <v>4.4056777324651191E-3</v>
      </c>
    </row>
    <row r="498" spans="1:25" x14ac:dyDescent="0.25">
      <c r="A498" s="1098"/>
      <c r="B498" s="1457">
        <v>248</v>
      </c>
      <c r="C498" s="1102">
        <v>0.97589304078397376</v>
      </c>
      <c r="D498" s="1102">
        <v>0.97328019307883562</v>
      </c>
      <c r="E498" s="1102">
        <v>1.012115891536826</v>
      </c>
      <c r="F498" s="1102">
        <v>0.9679202155653327</v>
      </c>
      <c r="G498" s="1102">
        <v>0.98933458762859772</v>
      </c>
      <c r="H498" s="1102">
        <v>1.0331773752755382</v>
      </c>
      <c r="I498" s="1102">
        <v>0.98272536875755634</v>
      </c>
      <c r="K498">
        <v>1.5565033890322266</v>
      </c>
      <c r="L498">
        <v>0</v>
      </c>
      <c r="M498">
        <v>1.6284695199357785E-3</v>
      </c>
      <c r="N498">
        <v>0.15544132579363765</v>
      </c>
      <c r="O498">
        <v>0.12149329980862421</v>
      </c>
      <c r="P498">
        <v>1.5533905012640131E-2</v>
      </c>
      <c r="Q498">
        <v>9.427610802014713E-4</v>
      </c>
      <c r="R498">
        <v>1.6248865677690996E-3</v>
      </c>
      <c r="S498">
        <v>0.12466107214950277</v>
      </c>
      <c r="T498">
        <v>0.79800386337892948</v>
      </c>
      <c r="U498">
        <v>0</v>
      </c>
      <c r="V498">
        <v>0.20636712258196949</v>
      </c>
      <c r="W498">
        <v>0.10138517526755381</v>
      </c>
      <c r="X498">
        <v>2.8256041317578806E-2</v>
      </c>
      <c r="Y498">
        <v>4.4224055937543806E-3</v>
      </c>
    </row>
    <row r="499" spans="1:25" x14ac:dyDescent="0.25">
      <c r="A499" s="1098"/>
      <c r="B499" s="1457">
        <v>249</v>
      </c>
      <c r="C499" s="1102">
        <v>1.0093418843590463</v>
      </c>
      <c r="D499" s="1102">
        <v>0.99687545252041099</v>
      </c>
      <c r="E499" s="1102">
        <v>0.97942520746165773</v>
      </c>
      <c r="F499" s="1102">
        <v>0.9666005514516175</v>
      </c>
      <c r="G499" s="1102">
        <v>1.0144076180125612</v>
      </c>
      <c r="H499" s="1102">
        <v>0.98032408590826692</v>
      </c>
      <c r="I499" s="1102">
        <v>1.0036574711377455</v>
      </c>
      <c r="K499">
        <v>1.5130282221535418</v>
      </c>
      <c r="L499">
        <v>0</v>
      </c>
      <c r="M499">
        <v>1.5811903574474602E-3</v>
      </c>
      <c r="N499">
        <v>0.13671344537740793</v>
      </c>
      <c r="O499">
        <v>0.11873775539832229</v>
      </c>
      <c r="P499">
        <v>1.5038418033874165E-2</v>
      </c>
      <c r="Q499">
        <v>8.7267180143243766E-4</v>
      </c>
      <c r="R499">
        <v>1.5775186014751297E-3</v>
      </c>
      <c r="S499">
        <v>0.11733064421412362</v>
      </c>
      <c r="T499">
        <v>0.79900614403526671</v>
      </c>
      <c r="U499">
        <v>0</v>
      </c>
      <c r="V499">
        <v>0.20380250394980853</v>
      </c>
      <c r="W499">
        <v>9.0925536032511287E-2</v>
      </c>
      <c r="X499">
        <v>2.6311289462418948E-2</v>
      </c>
      <c r="Y499">
        <v>4.2934856043480877E-3</v>
      </c>
    </row>
    <row r="500" spans="1:25" x14ac:dyDescent="0.25">
      <c r="A500" s="1098"/>
      <c r="B500" s="1457">
        <v>250</v>
      </c>
      <c r="C500" s="1102">
        <v>0.98945058420874377</v>
      </c>
      <c r="D500" s="1102">
        <v>1.0210387273231436</v>
      </c>
      <c r="E500" s="1102">
        <v>0.99553528760118171</v>
      </c>
      <c r="F500" s="1102">
        <v>0.98518680129666791</v>
      </c>
      <c r="G500" s="1102">
        <v>1.0050562092708515</v>
      </c>
      <c r="H500" s="1102">
        <v>1.0170034553262022</v>
      </c>
      <c r="I500" s="1102">
        <v>1.0181020116631834</v>
      </c>
      <c r="K500">
        <v>1.5497767381271239</v>
      </c>
      <c r="L500">
        <v>0</v>
      </c>
      <c r="M500">
        <v>1.5967000986871699E-3</v>
      </c>
      <c r="N500">
        <v>0.14495742904124978</v>
      </c>
      <c r="O500">
        <v>0.11997542105412293</v>
      </c>
      <c r="P500">
        <v>1.5510481588129E-2</v>
      </c>
      <c r="Q500">
        <v>8.9667960417629748E-4</v>
      </c>
      <c r="R500">
        <v>1.5931119287514979E-3</v>
      </c>
      <c r="S500">
        <v>0.12267344492852543</v>
      </c>
      <c r="T500">
        <v>0.81331565719011811</v>
      </c>
      <c r="U500">
        <v>0</v>
      </c>
      <c r="V500">
        <v>0.20534200216947543</v>
      </c>
      <c r="W500">
        <v>9.5480652543869782E-2</v>
      </c>
      <c r="X500">
        <v>2.7292632676537421E-2</v>
      </c>
      <c r="Y500">
        <v>4.3359255008554075E-3</v>
      </c>
    </row>
    <row r="501" spans="1:25" x14ac:dyDescent="0.25">
      <c r="A501" s="1098"/>
      <c r="B501" s="1457">
        <v>251</v>
      </c>
      <c r="C501" s="1102">
        <v>1.0252762703143952</v>
      </c>
      <c r="D501" s="1102">
        <v>1.0213624776553643</v>
      </c>
      <c r="E501" s="1102">
        <v>0.98652297515133536</v>
      </c>
      <c r="F501" s="1102">
        <v>0.99351911198908749</v>
      </c>
      <c r="G501" s="1102">
        <v>1.0050153846754302</v>
      </c>
      <c r="H501" s="1102">
        <v>0.99386175355298723</v>
      </c>
      <c r="I501" s="1102">
        <v>0.9896935299237819</v>
      </c>
      <c r="K501">
        <v>1.5288822808931366</v>
      </c>
      <c r="L501">
        <v>0</v>
      </c>
      <c r="M501">
        <v>1.5388303561205785E-3</v>
      </c>
      <c r="N501">
        <v>0.13594254390458196</v>
      </c>
      <c r="O501">
        <v>0.11877148987982117</v>
      </c>
      <c r="P501">
        <v>1.5348400294909225E-2</v>
      </c>
      <c r="Q501">
        <v>8.5715211084218018E-4</v>
      </c>
      <c r="R501">
        <v>1.5353027621682596E-3</v>
      </c>
      <c r="S501">
        <v>0.11353785432709718</v>
      </c>
      <c r="T501">
        <v>0.82078802850310939</v>
      </c>
      <c r="U501">
        <v>0</v>
      </c>
      <c r="V501">
        <v>0.20277816719775887</v>
      </c>
      <c r="W501">
        <v>9.0027069656104533E-2</v>
      </c>
      <c r="X501">
        <v>2.6656514606662244E-2</v>
      </c>
      <c r="Y501">
        <v>4.1785880062024747E-3</v>
      </c>
    </row>
    <row r="502" spans="1:25" x14ac:dyDescent="0.25">
      <c r="A502" s="1098"/>
      <c r="B502" s="1457">
        <v>252</v>
      </c>
      <c r="C502" s="1102">
        <v>0.99777461091078301</v>
      </c>
      <c r="D502" s="1102">
        <v>0.99106335047293359</v>
      </c>
      <c r="E502" s="1102">
        <v>0.98251062000464606</v>
      </c>
      <c r="F502" s="1102">
        <v>0.98453108561387481</v>
      </c>
      <c r="G502" s="1102">
        <v>1.0340171044475035</v>
      </c>
      <c r="H502" s="1102">
        <v>0.9898861242566116</v>
      </c>
      <c r="I502" s="1102">
        <v>0.95901571111006512</v>
      </c>
      <c r="K502">
        <v>1.5371763226062964</v>
      </c>
      <c r="L502">
        <v>0</v>
      </c>
      <c r="M502">
        <v>1.6110710366541122E-3</v>
      </c>
      <c r="N502">
        <v>0.14060704603656687</v>
      </c>
      <c r="O502">
        <v>0.12083692395720286</v>
      </c>
      <c r="P502">
        <v>1.5273361713398853E-2</v>
      </c>
      <c r="Q502">
        <v>8.8772014332790894E-4</v>
      </c>
      <c r="R502">
        <v>1.6073716967521894E-3</v>
      </c>
      <c r="S502">
        <v>0.11458682693338355</v>
      </c>
      <c r="T502">
        <v>0.81362538984712796</v>
      </c>
      <c r="U502">
        <v>0</v>
      </c>
      <c r="V502">
        <v>0.20676888562194826</v>
      </c>
      <c r="W502">
        <v>9.3341169186604164E-2</v>
      </c>
      <c r="X502">
        <v>2.6877962618013007E-2</v>
      </c>
      <c r="Y502">
        <v>4.3747358886220295E-3</v>
      </c>
    </row>
    <row r="503" spans="1:25" x14ac:dyDescent="0.25">
      <c r="A503" s="1098"/>
      <c r="B503" s="1457">
        <v>253</v>
      </c>
      <c r="C503" s="1102">
        <v>0.98314550241179255</v>
      </c>
      <c r="D503" s="1102">
        <v>0.97518155859373978</v>
      </c>
      <c r="E503" s="1102">
        <v>1.0414597089844357</v>
      </c>
      <c r="F503" s="1102">
        <v>1.0197524947030023</v>
      </c>
      <c r="G503" s="1102">
        <v>0.98274007864610602</v>
      </c>
      <c r="H503" s="1102">
        <v>0.97558323246012313</v>
      </c>
      <c r="I503" s="1102">
        <v>1.009719859490346</v>
      </c>
      <c r="K503">
        <v>1.5923501939830675</v>
      </c>
      <c r="L503">
        <v>0</v>
      </c>
      <c r="M503">
        <v>1.4410779185048384E-3</v>
      </c>
      <c r="N503">
        <v>0.15026180309663226</v>
      </c>
      <c r="O503">
        <v>0.12464947491200574</v>
      </c>
      <c r="P503">
        <v>1.6440495342049645E-2</v>
      </c>
      <c r="Q503">
        <v>9.6354850439851704E-4</v>
      </c>
      <c r="R503">
        <v>1.4377348606775921E-3</v>
      </c>
      <c r="S503">
        <v>0.12269568730085444</v>
      </c>
      <c r="T503">
        <v>0.83878763123903166</v>
      </c>
      <c r="U503">
        <v>0</v>
      </c>
      <c r="V503">
        <v>0.20816218994180352</v>
      </c>
      <c r="W503">
        <v>9.6347439812885488E-2</v>
      </c>
      <c r="X503">
        <v>3.0132226549638499E-2</v>
      </c>
      <c r="Y503">
        <v>3.9130403415949594E-3</v>
      </c>
    </row>
    <row r="504" spans="1:25" x14ac:dyDescent="0.25">
      <c r="A504" s="1098"/>
      <c r="B504" s="1457">
        <v>254</v>
      </c>
      <c r="C504" s="1102">
        <v>1.0063307465252587</v>
      </c>
      <c r="D504" s="1102">
        <v>0.98250616863833917</v>
      </c>
      <c r="E504" s="1102">
        <v>0.97439254918739548</v>
      </c>
      <c r="F504" s="1102">
        <v>0.99904787022323727</v>
      </c>
      <c r="G504" s="1102">
        <v>0.96359192856609266</v>
      </c>
      <c r="H504" s="1102">
        <v>0.99045177216785263</v>
      </c>
      <c r="I504" s="1102">
        <v>0.98691678921302461</v>
      </c>
      <c r="K504">
        <v>1.5493043830021818</v>
      </c>
      <c r="L504">
        <v>0</v>
      </c>
      <c r="M504">
        <v>1.6362315056325631E-3</v>
      </c>
      <c r="N504">
        <v>0.13933888682285409</v>
      </c>
      <c r="O504">
        <v>0.12183072136588709</v>
      </c>
      <c r="P504">
        <v>1.5349749205854787E-2</v>
      </c>
      <c r="Q504">
        <v>8.7574265789487735E-4</v>
      </c>
      <c r="R504">
        <v>1.632488583082859E-3</v>
      </c>
      <c r="S504">
        <v>0.11769145324143926</v>
      </c>
      <c r="T504">
        <v>0.82616322825223687</v>
      </c>
      <c r="U504">
        <v>0</v>
      </c>
      <c r="V504">
        <v>0.20387721728471092</v>
      </c>
      <c r="W504">
        <v>9.2954403431910984E-2</v>
      </c>
      <c r="X504">
        <v>2.6783627888507269E-2</v>
      </c>
      <c r="Y504">
        <v>4.44309577343476E-3</v>
      </c>
    </row>
    <row r="505" spans="1:25" x14ac:dyDescent="0.25">
      <c r="A505" s="1098"/>
      <c r="B505" s="1457">
        <v>255</v>
      </c>
      <c r="C505" s="1102">
        <v>1.0026671209635276</v>
      </c>
      <c r="D505" s="1102">
        <v>0.97068786737504542</v>
      </c>
      <c r="E505" s="1102">
        <v>0.98476228979693159</v>
      </c>
      <c r="F505" s="1102">
        <v>0.96162406106639231</v>
      </c>
      <c r="G505" s="1102">
        <v>0.99334923634568129</v>
      </c>
      <c r="H505" s="1102">
        <v>1.0237743623054807</v>
      </c>
      <c r="I505" s="1102">
        <v>0.9590206363199093</v>
      </c>
      <c r="K505">
        <v>1.5271488472552721</v>
      </c>
      <c r="L505">
        <v>0</v>
      </c>
      <c r="M505">
        <v>1.6673438272588282E-3</v>
      </c>
      <c r="N505">
        <v>0.14652456982532472</v>
      </c>
      <c r="O505">
        <v>0.11984826620587051</v>
      </c>
      <c r="P505">
        <v>1.504955606552429E-2</v>
      </c>
      <c r="Q505">
        <v>8.9285976249909541E-4</v>
      </c>
      <c r="R505">
        <v>1.6636490743116483E-3</v>
      </c>
      <c r="S505">
        <v>0.11794306277549987</v>
      </c>
      <c r="T505">
        <v>0.79455073640452445</v>
      </c>
      <c r="U505">
        <v>0</v>
      </c>
      <c r="V505">
        <v>0.20394229419656418</v>
      </c>
      <c r="W505">
        <v>9.7137704104605982E-2</v>
      </c>
      <c r="X505">
        <v>2.673558830929728E-2</v>
      </c>
      <c r="Y505">
        <v>4.5279043585063497E-3</v>
      </c>
    </row>
    <row r="506" spans="1:25" x14ac:dyDescent="0.25">
      <c r="A506" s="1098"/>
      <c r="B506" s="1457">
        <v>256</v>
      </c>
      <c r="C506" s="1102">
        <v>0.99437365615633022</v>
      </c>
      <c r="D506" s="1102">
        <v>1.0294970862675343</v>
      </c>
      <c r="E506" s="1102">
        <v>1.0147666482653797</v>
      </c>
      <c r="F506" s="1102">
        <v>1.0233610069452574</v>
      </c>
      <c r="G506" s="1102">
        <v>1.0181099608104776</v>
      </c>
      <c r="H506" s="1102">
        <v>0.96982054616393454</v>
      </c>
      <c r="I506" s="1102">
        <v>0.99377964790878448</v>
      </c>
      <c r="K506">
        <v>1.5682456526638531</v>
      </c>
      <c r="L506">
        <v>0</v>
      </c>
      <c r="M506">
        <v>1.4536339826000575E-3</v>
      </c>
      <c r="N506">
        <v>0.13984609402251116</v>
      </c>
      <c r="O506">
        <v>0.12196304070489887</v>
      </c>
      <c r="P506">
        <v>1.6073322351613229E-2</v>
      </c>
      <c r="Q506">
        <v>9.0716114317418645E-4</v>
      </c>
      <c r="R506">
        <v>1.4502146147203382E-3</v>
      </c>
      <c r="S506">
        <v>0.1151723637290193</v>
      </c>
      <c r="T506">
        <v>0.8435342436053721</v>
      </c>
      <c r="U506">
        <v>0</v>
      </c>
      <c r="V506">
        <v>0.20727129500988592</v>
      </c>
      <c r="W506">
        <v>9.1071250955840816E-2</v>
      </c>
      <c r="X506">
        <v>2.8463294391267775E-2</v>
      </c>
      <c r="Y506">
        <v>3.9470061181495E-3</v>
      </c>
    </row>
    <row r="507" spans="1:25" x14ac:dyDescent="0.25">
      <c r="A507" s="1098"/>
      <c r="B507" s="1457">
        <v>257</v>
      </c>
      <c r="C507" s="1102">
        <v>1.0214697220116109</v>
      </c>
      <c r="D507" s="1102">
        <v>1.0215921913113206</v>
      </c>
      <c r="E507" s="1102">
        <v>0.96737916544722435</v>
      </c>
      <c r="F507" s="1102">
        <v>1.0113132726464094</v>
      </c>
      <c r="G507" s="1102">
        <v>0.99586885911734369</v>
      </c>
      <c r="H507" s="1102">
        <v>0.98680394619466105</v>
      </c>
      <c r="I507" s="1102">
        <v>1.0469765442054431</v>
      </c>
      <c r="K507">
        <v>1.5497958402575056</v>
      </c>
      <c r="L507">
        <v>0</v>
      </c>
      <c r="M507">
        <v>1.5969461406174514E-3</v>
      </c>
      <c r="N507">
        <v>0.13313359117631965</v>
      </c>
      <c r="O507">
        <v>0.12023253440349553</v>
      </c>
      <c r="P507">
        <v>1.5435222084488547E-2</v>
      </c>
      <c r="Q507">
        <v>8.4315476049191709E-4</v>
      </c>
      <c r="R507">
        <v>1.593262831529948E-3</v>
      </c>
      <c r="S507">
        <v>0.12001913077404879</v>
      </c>
      <c r="T507">
        <v>0.83678099136061679</v>
      </c>
      <c r="U507">
        <v>0</v>
      </c>
      <c r="V507">
        <v>0.20354679579584042</v>
      </c>
      <c r="W507">
        <v>8.9194442980717117E-2</v>
      </c>
      <c r="X507">
        <v>2.6277324022100729E-2</v>
      </c>
      <c r="Y507">
        <v>4.3363362084732609E-3</v>
      </c>
    </row>
    <row r="508" spans="1:25" x14ac:dyDescent="0.25">
      <c r="A508" s="1098"/>
      <c r="B508" s="1457">
        <v>258</v>
      </c>
      <c r="C508" s="1102">
        <v>1.0032484515138624</v>
      </c>
      <c r="D508" s="1102">
        <v>0.99904978130765199</v>
      </c>
      <c r="E508" s="1102">
        <v>0.98301818445334965</v>
      </c>
      <c r="F508" s="1102">
        <v>1.0213357560378296</v>
      </c>
      <c r="G508" s="1102">
        <v>1.0137885556638195</v>
      </c>
      <c r="H508" s="1102">
        <v>0.985764192775058</v>
      </c>
      <c r="I508" s="1102">
        <v>1.0296268028367448</v>
      </c>
      <c r="K508">
        <v>1.5754142071651285</v>
      </c>
      <c r="L508">
        <v>0</v>
      </c>
      <c r="M508">
        <v>1.5918148679301344E-3</v>
      </c>
      <c r="N508">
        <v>0.13913919125504057</v>
      </c>
      <c r="O508">
        <v>0.1227854091158002</v>
      </c>
      <c r="P508">
        <v>1.5787835611913718E-2</v>
      </c>
      <c r="Q508">
        <v>8.8051427023423494E-4</v>
      </c>
      <c r="R508">
        <v>1.5881513536000426E-3</v>
      </c>
      <c r="S508">
        <v>0.1216916177489423</v>
      </c>
      <c r="T508">
        <v>0.84400659255311683</v>
      </c>
      <c r="U508">
        <v>0</v>
      </c>
      <c r="V508">
        <v>0.20706568729368707</v>
      </c>
      <c r="W508">
        <v>9.2338500103143317E-2</v>
      </c>
      <c r="X508">
        <v>2.7400098277033949E-2</v>
      </c>
      <c r="Y508">
        <v>4.3224244505463034E-3</v>
      </c>
    </row>
    <row r="509" spans="1:25" x14ac:dyDescent="0.25">
      <c r="A509" s="1098"/>
      <c r="B509" s="1457">
        <v>259</v>
      </c>
      <c r="C509" s="1102">
        <v>0.97851319761195821</v>
      </c>
      <c r="D509" s="1102">
        <v>0.97431605064705562</v>
      </c>
      <c r="E509" s="1102">
        <v>1.0044539446224248</v>
      </c>
      <c r="F509" s="1102">
        <v>0.99775562520403427</v>
      </c>
      <c r="G509" s="1102">
        <v>0.97118385976656962</v>
      </c>
      <c r="H509" s="1102">
        <v>0.9867915917978044</v>
      </c>
      <c r="I509" s="1102">
        <v>0.99658621006906289</v>
      </c>
      <c r="K509">
        <v>1.5689535132420132</v>
      </c>
      <c r="L509">
        <v>0</v>
      </c>
      <c r="M509">
        <v>1.5793078987441428E-3</v>
      </c>
      <c r="N509">
        <v>0.14728686566800256</v>
      </c>
      <c r="O509">
        <v>0.12347854690698867</v>
      </c>
      <c r="P509">
        <v>1.576512135525171E-2</v>
      </c>
      <c r="Q509">
        <v>9.324328241759732E-4</v>
      </c>
      <c r="R509">
        <v>1.5756787654475288E-3</v>
      </c>
      <c r="S509">
        <v>0.12241507341837582</v>
      </c>
      <c r="T509">
        <v>0.8231043449998785</v>
      </c>
      <c r="U509">
        <v>0</v>
      </c>
      <c r="V509">
        <v>0.20685192573128616</v>
      </c>
      <c r="W509">
        <v>9.6502111031046986E-2</v>
      </c>
      <c r="X509">
        <v>2.8332242263120734E-2</v>
      </c>
      <c r="Y509">
        <v>4.2884781771827434E-3</v>
      </c>
    </row>
    <row r="510" spans="1:25" x14ac:dyDescent="0.25">
      <c r="A510" s="1098"/>
      <c r="B510" s="1457">
        <v>260</v>
      </c>
      <c r="C510" s="1102">
        <v>1.002528388994542</v>
      </c>
      <c r="D510" s="1102">
        <v>0.98365044384336742</v>
      </c>
      <c r="E510" s="1102">
        <v>1.0077089270654442</v>
      </c>
      <c r="F510" s="1102">
        <v>1.0210754656347469</v>
      </c>
      <c r="G510" s="1102">
        <v>0.96680173645988421</v>
      </c>
      <c r="H510" s="1102">
        <v>0.95850982358985837</v>
      </c>
      <c r="I510" s="1102">
        <v>0.96536952727874215</v>
      </c>
      <c r="K510">
        <v>1.5647661113305493</v>
      </c>
      <c r="L510">
        <v>0</v>
      </c>
      <c r="M510">
        <v>1.484579760749005E-3</v>
      </c>
      <c r="N510">
        <v>0.13981130225906799</v>
      </c>
      <c r="O510">
        <v>0.12342918656410656</v>
      </c>
      <c r="P510">
        <v>1.5918897198642121E-2</v>
      </c>
      <c r="Q510">
        <v>9.0968723240728066E-4</v>
      </c>
      <c r="R510">
        <v>1.4810748132712153E-3</v>
      </c>
      <c r="S510">
        <v>0.11318147320709507</v>
      </c>
      <c r="T510">
        <v>0.84212343352160479</v>
      </c>
      <c r="U510">
        <v>0</v>
      </c>
      <c r="V510">
        <v>0.20551272630003764</v>
      </c>
      <c r="W510">
        <v>9.142793631751453E-2</v>
      </c>
      <c r="X510">
        <v>2.8423976272005984E-2</v>
      </c>
      <c r="Y510">
        <v>4.0309974055432697E-3</v>
      </c>
    </row>
    <row r="511" spans="1:25" x14ac:dyDescent="0.25">
      <c r="A511" s="1098"/>
      <c r="B511" s="1457">
        <v>261</v>
      </c>
      <c r="C511" s="1102">
        <v>0.98910399384263192</v>
      </c>
      <c r="D511" s="1102">
        <v>0.98234398058969541</v>
      </c>
      <c r="E511" s="1102">
        <v>1.0050197414541511</v>
      </c>
      <c r="F511" s="1102">
        <v>0.99834068606132065</v>
      </c>
      <c r="G511" s="1102">
        <v>0.96720955797564301</v>
      </c>
      <c r="H511" s="1102">
        <v>1.0111883335034182</v>
      </c>
      <c r="I511" s="1102">
        <v>0.96407672651642728</v>
      </c>
      <c r="K511">
        <v>1.5656764912094452</v>
      </c>
      <c r="L511">
        <v>0</v>
      </c>
      <c r="M511">
        <v>1.5931250735429199E-3</v>
      </c>
      <c r="N511">
        <v>0.14883766994080971</v>
      </c>
      <c r="O511">
        <v>0.12258996767150628</v>
      </c>
      <c r="P511">
        <v>1.5706778583894507E-2</v>
      </c>
      <c r="Q511">
        <v>9.1996417925430552E-4</v>
      </c>
      <c r="R511">
        <v>1.5895507646446151E-3</v>
      </c>
      <c r="S511">
        <v>0.11855198313806092</v>
      </c>
      <c r="T511">
        <v>0.82354979222078495</v>
      </c>
      <c r="U511">
        <v>0</v>
      </c>
      <c r="V511">
        <v>0.20552655825005961</v>
      </c>
      <c r="W511">
        <v>9.7485529962505729E-2</v>
      </c>
      <c r="X511">
        <v>2.8185588385374691E-2</v>
      </c>
      <c r="Y511">
        <v>4.3262331860939047E-3</v>
      </c>
    </row>
    <row r="512" spans="1:25" x14ac:dyDescent="0.25">
      <c r="A512" s="1098"/>
      <c r="B512" s="1457">
        <v>262</v>
      </c>
      <c r="C512" s="1102">
        <v>1.014276222626981</v>
      </c>
      <c r="D512" s="1102">
        <v>1.0284108952805628</v>
      </c>
      <c r="E512" s="1102">
        <v>1.0141224421890471</v>
      </c>
      <c r="F512" s="1102">
        <v>0.98371230804500465</v>
      </c>
      <c r="G512" s="1102">
        <v>1.0101034885487099</v>
      </c>
      <c r="H512" s="1102">
        <v>0.99365184957570818</v>
      </c>
      <c r="I512" s="1102">
        <v>0.99508914037292062</v>
      </c>
      <c r="K512">
        <v>1.5269017820650794</v>
      </c>
      <c r="L512">
        <v>0</v>
      </c>
      <c r="M512">
        <v>1.4607446975793345E-3</v>
      </c>
      <c r="N512">
        <v>0.14026471872305085</v>
      </c>
      <c r="O512">
        <v>0.11825930523125572</v>
      </c>
      <c r="P512">
        <v>1.5555953412711881E-2</v>
      </c>
      <c r="Q512">
        <v>8.8914652059990298E-4</v>
      </c>
      <c r="R512">
        <v>1.4573865157859135E-3</v>
      </c>
      <c r="S512">
        <v>0.11484297213943775</v>
      </c>
      <c r="T512">
        <v>0.81089422081793883</v>
      </c>
      <c r="U512">
        <v>0</v>
      </c>
      <c r="V512">
        <v>0.20323971319427084</v>
      </c>
      <c r="W512">
        <v>9.1378454129108194E-2</v>
      </c>
      <c r="X512">
        <v>2.761413040986473E-2</v>
      </c>
      <c r="Y512">
        <v>3.9665256686334466E-3</v>
      </c>
    </row>
    <row r="513" spans="1:25" x14ac:dyDescent="0.25">
      <c r="A513" s="1098"/>
      <c r="B513" s="1457">
        <v>263</v>
      </c>
      <c r="C513" s="1102">
        <v>1.0043482138061106</v>
      </c>
      <c r="D513" s="1102">
        <v>1.0193240032730271</v>
      </c>
      <c r="E513" s="1102">
        <v>1.0335399189687615</v>
      </c>
      <c r="F513" s="1102">
        <v>0.96094293972477496</v>
      </c>
      <c r="G513" s="1102">
        <v>0.98615783484829966</v>
      </c>
      <c r="H513" s="1102">
        <v>0.99879043157547243</v>
      </c>
      <c r="I513" s="1102">
        <v>0.97274811680797557</v>
      </c>
      <c r="K513">
        <v>1.5121307149613397</v>
      </c>
      <c r="L513">
        <v>0</v>
      </c>
      <c r="M513">
        <v>1.4276852183122777E-3</v>
      </c>
      <c r="N513">
        <v>0.14535963810718097</v>
      </c>
      <c r="O513">
        <v>0.1174839669024182</v>
      </c>
      <c r="P513">
        <v>1.5474192958899543E-2</v>
      </c>
      <c r="Q513">
        <v>9.1922201864393788E-4</v>
      </c>
      <c r="R513">
        <v>1.4244166180074516E-3</v>
      </c>
      <c r="S513">
        <v>0.11421384184326809</v>
      </c>
      <c r="T513">
        <v>0.79090757031476577</v>
      </c>
      <c r="U513">
        <v>0</v>
      </c>
      <c r="V513">
        <v>0.20208967384010207</v>
      </c>
      <c r="W513">
        <v>9.3631131693030931E-2</v>
      </c>
      <c r="X513">
        <v>2.817795340792946E-2</v>
      </c>
      <c r="Y513">
        <v>3.8767924754043548E-3</v>
      </c>
    </row>
    <row r="514" spans="1:25" x14ac:dyDescent="0.25">
      <c r="A514" s="1098"/>
      <c r="B514" s="1457">
        <v>264</v>
      </c>
      <c r="C514" s="1102">
        <v>1.0260653864954556</v>
      </c>
      <c r="D514" s="1102">
        <v>0.96448477634341667</v>
      </c>
      <c r="E514" s="1102">
        <v>1.0103948412287886</v>
      </c>
      <c r="F514" s="1102">
        <v>0.96351062737332638</v>
      </c>
      <c r="G514" s="1102">
        <v>1.0063783097037671</v>
      </c>
      <c r="H514" s="1102">
        <v>1.0259697754504853</v>
      </c>
      <c r="I514" s="1102">
        <v>0.97979925803557977</v>
      </c>
      <c r="K514">
        <v>1.5274575384928042</v>
      </c>
      <c r="L514">
        <v>0</v>
      </c>
      <c r="M514">
        <v>1.5569173854083228E-3</v>
      </c>
      <c r="N514">
        <v>0.14784075864789131</v>
      </c>
      <c r="O514">
        <v>0.11902760273844826</v>
      </c>
      <c r="P514">
        <v>1.5334880499877258E-2</v>
      </c>
      <c r="Q514">
        <v>8.9832917864620071E-4</v>
      </c>
      <c r="R514">
        <v>1.5534849821056476E-3</v>
      </c>
      <c r="S514">
        <v>0.11857185434586764</v>
      </c>
      <c r="T514">
        <v>0.79447723400381687</v>
      </c>
      <c r="U514">
        <v>0</v>
      </c>
      <c r="V514">
        <v>0.2029431743422315</v>
      </c>
      <c r="W514">
        <v>9.652558900580982E-2</v>
      </c>
      <c r="X514">
        <v>2.7613474118412983E-2</v>
      </c>
      <c r="Y514">
        <v>4.2280740151048523E-3</v>
      </c>
    </row>
    <row r="515" spans="1:25" x14ac:dyDescent="0.25">
      <c r="A515" s="1098"/>
      <c r="B515" s="1457">
        <v>265</v>
      </c>
      <c r="C515" s="1102">
        <v>1.0153611693886309</v>
      </c>
      <c r="D515" s="1102">
        <v>1.0394511472211485</v>
      </c>
      <c r="E515" s="1102">
        <v>0.97584745598720157</v>
      </c>
      <c r="F515" s="1102">
        <v>1.0401868005347967</v>
      </c>
      <c r="G515" s="1102">
        <v>0.97374750638244245</v>
      </c>
      <c r="H515" s="1102">
        <v>1.0061217659949906</v>
      </c>
      <c r="I515" s="1102">
        <v>0.97416012942558305</v>
      </c>
      <c r="K515">
        <v>1.5739846964308144</v>
      </c>
      <c r="L515">
        <v>0</v>
      </c>
      <c r="M515">
        <v>1.596280175476964E-3</v>
      </c>
      <c r="N515">
        <v>0.13653966961373892</v>
      </c>
      <c r="O515">
        <v>0.12171340549904239</v>
      </c>
      <c r="P515">
        <v>1.5756446314037401E-2</v>
      </c>
      <c r="Q515">
        <v>8.4991024041801237E-4</v>
      </c>
      <c r="R515">
        <v>1.5926640958292433E-3</v>
      </c>
      <c r="S515">
        <v>0.11275601885097475</v>
      </c>
      <c r="T515">
        <v>0.86008197211852533</v>
      </c>
      <c r="U515">
        <v>0</v>
      </c>
      <c r="V515">
        <v>0.20401087871135087</v>
      </c>
      <c r="W515">
        <v>9.100672144000832E-2</v>
      </c>
      <c r="X515">
        <v>2.6938583075097059E-2</v>
      </c>
      <c r="Y515">
        <v>4.3347066472691131E-3</v>
      </c>
    </row>
    <row r="516" spans="1:25" x14ac:dyDescent="0.25">
      <c r="A516" s="1098"/>
      <c r="B516" s="1457">
        <v>266</v>
      </c>
      <c r="C516" s="1102">
        <v>1.0229556813789644</v>
      </c>
      <c r="D516" s="1102">
        <v>0.99071149921939661</v>
      </c>
      <c r="E516" s="1102">
        <v>1.0017756672574154</v>
      </c>
      <c r="F516" s="1102">
        <v>0.99872927066199746</v>
      </c>
      <c r="G516" s="1102">
        <v>0.9863952956176899</v>
      </c>
      <c r="H516" s="1102">
        <v>0.99790340867352456</v>
      </c>
      <c r="I516" s="1102">
        <v>1.0182445071107913</v>
      </c>
      <c r="K516">
        <v>1.5498188643562736</v>
      </c>
      <c r="L516">
        <v>0</v>
      </c>
      <c r="M516">
        <v>1.5269651153145237E-3</v>
      </c>
      <c r="N516">
        <v>0.14126179960807667</v>
      </c>
      <c r="O516">
        <v>0.12053289638836949</v>
      </c>
      <c r="P516">
        <v>1.5660383182428642E-2</v>
      </c>
      <c r="Q516">
        <v>8.8353653228874474E-4</v>
      </c>
      <c r="R516">
        <v>1.523497525118007E-3</v>
      </c>
      <c r="S516">
        <v>0.11959966049766363</v>
      </c>
      <c r="T516">
        <v>0.82408386977075632</v>
      </c>
      <c r="U516">
        <v>0</v>
      </c>
      <c r="V516">
        <v>0.20332263355904562</v>
      </c>
      <c r="W516">
        <v>9.2701582971539048E-2</v>
      </c>
      <c r="X516">
        <v>2.7629511393752595E-2</v>
      </c>
      <c r="Y516">
        <v>4.1464580425470349E-3</v>
      </c>
    </row>
    <row r="517" spans="1:25" x14ac:dyDescent="0.25">
      <c r="A517" s="1098"/>
      <c r="B517" s="1457">
        <v>267</v>
      </c>
      <c r="C517" s="1102">
        <v>0.99589141135899251</v>
      </c>
      <c r="D517" s="1102">
        <v>0.99074583267476757</v>
      </c>
      <c r="E517" s="1102">
        <v>0.96694101004106792</v>
      </c>
      <c r="F517" s="1102">
        <v>0.99535076612136875</v>
      </c>
      <c r="G517" s="1102">
        <v>0.98101118832303957</v>
      </c>
      <c r="H517" s="1102">
        <v>0.99956429043245754</v>
      </c>
      <c r="I517" s="1102">
        <v>0.96895999713412606</v>
      </c>
      <c r="K517">
        <v>1.5486610842084154</v>
      </c>
      <c r="L517">
        <v>0</v>
      </c>
      <c r="M517">
        <v>1.6846890493139564E-3</v>
      </c>
      <c r="N517">
        <v>0.1402670768004865</v>
      </c>
      <c r="O517">
        <v>0.12176231056045524</v>
      </c>
      <c r="P517">
        <v>1.5232402625605303E-2</v>
      </c>
      <c r="Q517">
        <v>8.7507674307997745E-4</v>
      </c>
      <c r="R517">
        <v>1.6808610622447938E-3</v>
      </c>
      <c r="S517">
        <v>0.11679136638672814</v>
      </c>
      <c r="T517">
        <v>0.82360254351455608</v>
      </c>
      <c r="U517">
        <v>0</v>
      </c>
      <c r="V517">
        <v>0.2050889300964755</v>
      </c>
      <c r="W517">
        <v>9.399872751988983E-2</v>
      </c>
      <c r="X517">
        <v>2.6471728232475174E-2</v>
      </c>
      <c r="Y517">
        <v>4.5747497157300754E-3</v>
      </c>
    </row>
    <row r="518" spans="1:25" x14ac:dyDescent="0.25">
      <c r="A518" s="1098"/>
      <c r="B518" s="1457">
        <v>268</v>
      </c>
      <c r="C518" s="1102">
        <v>1.0055062731733806</v>
      </c>
      <c r="D518" s="1102">
        <v>1.0109297702078166</v>
      </c>
      <c r="E518" s="1102">
        <v>1.0100691701063467</v>
      </c>
      <c r="F518" s="1102">
        <v>1.0171285368880236</v>
      </c>
      <c r="G518" s="1102">
        <v>1.0337018181622866</v>
      </c>
      <c r="H518" s="1102">
        <v>1.0285361153147481</v>
      </c>
      <c r="I518" s="1102">
        <v>0.9995492471082722</v>
      </c>
      <c r="K518">
        <v>1.581640108245904</v>
      </c>
      <c r="L518">
        <v>0</v>
      </c>
      <c r="M518">
        <v>1.5560537055806052E-3</v>
      </c>
      <c r="N518">
        <v>0.14761267486787982</v>
      </c>
      <c r="O518">
        <v>0.12177482234896798</v>
      </c>
      <c r="P518">
        <v>1.6023484856092316E-2</v>
      </c>
      <c r="Q518">
        <v>8.9931050990670839E-4</v>
      </c>
      <c r="R518">
        <v>1.5526140721023474E-3</v>
      </c>
      <c r="S518">
        <v>0.12043647551357295</v>
      </c>
      <c r="T518">
        <v>0.83871044840101272</v>
      </c>
      <c r="U518">
        <v>0</v>
      </c>
      <c r="V518">
        <v>0.20724869953346095</v>
      </c>
      <c r="W518">
        <v>9.6395179170530101E-2</v>
      </c>
      <c r="X518">
        <v>2.8316748992786165E-2</v>
      </c>
      <c r="Y518">
        <v>4.2257036851712755E-3</v>
      </c>
    </row>
    <row r="519" spans="1:25" x14ac:dyDescent="0.25">
      <c r="A519" s="1098"/>
      <c r="B519" s="1457">
        <v>269</v>
      </c>
      <c r="C519" s="1102">
        <v>0.96936325561253534</v>
      </c>
      <c r="D519" s="1102">
        <v>1.0136282415960176</v>
      </c>
      <c r="E519" s="1102">
        <v>0.99222542306187256</v>
      </c>
      <c r="F519" s="1102">
        <v>0.99491005228472751</v>
      </c>
      <c r="G519" s="1102">
        <v>0.98434947954450702</v>
      </c>
      <c r="H519" s="1102">
        <v>0.99725047530557165</v>
      </c>
      <c r="I519" s="1102">
        <v>1.0083432265205816</v>
      </c>
      <c r="K519">
        <v>1.5627175083119071</v>
      </c>
      <c r="L519">
        <v>0</v>
      </c>
      <c r="M519">
        <v>1.6145425362132388E-3</v>
      </c>
      <c r="N519">
        <v>0.1451118459503139</v>
      </c>
      <c r="O519">
        <v>0.12204322335020508</v>
      </c>
      <c r="P519">
        <v>1.560732091130698E-2</v>
      </c>
      <c r="Q519">
        <v>9.1477654322421145E-4</v>
      </c>
      <c r="R519">
        <v>1.6108440428418507E-3</v>
      </c>
      <c r="S519">
        <v>0.12287269286779336</v>
      </c>
      <c r="T519">
        <v>0.82156067089838147</v>
      </c>
      <c r="U519">
        <v>0</v>
      </c>
      <c r="V519">
        <v>0.2068817100382728</v>
      </c>
      <c r="W519">
        <v>9.5771491947046969E-2</v>
      </c>
      <c r="X519">
        <v>2.7573287828714359E-2</v>
      </c>
      <c r="Y519">
        <v>4.3841864700195077E-3</v>
      </c>
    </row>
    <row r="520" spans="1:25" x14ac:dyDescent="0.25">
      <c r="A520" s="1098"/>
      <c r="B520" s="1457">
        <v>270</v>
      </c>
      <c r="C520" s="1102">
        <v>1.024439763160399</v>
      </c>
      <c r="D520" s="1102">
        <v>1.0129635680003855</v>
      </c>
      <c r="E520" s="1102">
        <v>0.97373651355164792</v>
      </c>
      <c r="F520" s="1102">
        <v>1.0116211369114114</v>
      </c>
      <c r="G520" s="1102">
        <v>0.99304313706414127</v>
      </c>
      <c r="H520" s="1102">
        <v>0.98140378253609051</v>
      </c>
      <c r="I520" s="1102">
        <v>0.99823147701775128</v>
      </c>
      <c r="K520">
        <v>1.5444922266703256</v>
      </c>
      <c r="L520">
        <v>0</v>
      </c>
      <c r="M520">
        <v>1.570877889602858E-3</v>
      </c>
      <c r="N520">
        <v>0.13350437446601679</v>
      </c>
      <c r="O520">
        <v>0.12046009416987688</v>
      </c>
      <c r="P520">
        <v>1.5430510794573752E-2</v>
      </c>
      <c r="Q520">
        <v>8.4923499157597295E-4</v>
      </c>
      <c r="R520">
        <v>1.5672408308462923E-3</v>
      </c>
      <c r="S520">
        <v>0.11429450444498683</v>
      </c>
      <c r="T520">
        <v>0.83660506479861085</v>
      </c>
      <c r="U520">
        <v>0</v>
      </c>
      <c r="V520">
        <v>0.20345707320040013</v>
      </c>
      <c r="W520">
        <v>8.9097593954636262E-2</v>
      </c>
      <c r="X520">
        <v>2.6531900007640979E-2</v>
      </c>
      <c r="Y520">
        <v>4.2655129007625695E-3</v>
      </c>
    </row>
    <row r="521" spans="1:25" x14ac:dyDescent="0.25">
      <c r="A521" s="1098"/>
      <c r="B521" s="1457">
        <v>271</v>
      </c>
      <c r="C521" s="1102">
        <v>1.0197202076838265</v>
      </c>
      <c r="D521" s="1102">
        <v>0.98557233083215123</v>
      </c>
      <c r="E521" s="1102">
        <v>1.0188926931778632</v>
      </c>
      <c r="F521" s="1102">
        <v>1.0028120533690639</v>
      </c>
      <c r="G521" s="1102">
        <v>0.9832563075540488</v>
      </c>
      <c r="H521" s="1102">
        <v>0.9771862206115608</v>
      </c>
      <c r="I521" s="1102">
        <v>1.0060643805190863</v>
      </c>
      <c r="K521">
        <v>1.5510907795117803</v>
      </c>
      <c r="L521">
        <v>0</v>
      </c>
      <c r="M521">
        <v>1.4519986605645956E-3</v>
      </c>
      <c r="N521">
        <v>0.14144383026292529</v>
      </c>
      <c r="O521">
        <v>0.12115894041378275</v>
      </c>
      <c r="P521">
        <v>1.5866496411042142E-2</v>
      </c>
      <c r="Q521">
        <v>9.0400117762798045E-4</v>
      </c>
      <c r="R521">
        <v>1.4486346103651322E-3</v>
      </c>
      <c r="S521">
        <v>0.11731529452101044</v>
      </c>
      <c r="T521">
        <v>0.82632529451737524</v>
      </c>
      <c r="U521">
        <v>0</v>
      </c>
      <c r="V521">
        <v>0.20384175683144856</v>
      </c>
      <c r="W521">
        <v>9.188909711277668E-2</v>
      </c>
      <c r="X521">
        <v>2.8406726446846196E-2</v>
      </c>
      <c r="Y521">
        <v>3.9427058671429255E-3</v>
      </c>
    </row>
    <row r="522" spans="1:25" x14ac:dyDescent="0.25">
      <c r="A522" s="1098"/>
      <c r="B522" s="1457">
        <v>272</v>
      </c>
      <c r="C522" s="1102">
        <v>0.96471218052057894</v>
      </c>
      <c r="D522" s="1102">
        <v>1.0198605368250422</v>
      </c>
      <c r="E522" s="1102">
        <v>0.9638426684385486</v>
      </c>
      <c r="F522" s="1102">
        <v>0.99538302047496052</v>
      </c>
      <c r="G522" s="1102">
        <v>1.0129388028292914</v>
      </c>
      <c r="H522" s="1102">
        <v>1.0040438587238791</v>
      </c>
      <c r="I522" s="1102">
        <v>1.0294938448780189</v>
      </c>
      <c r="K522">
        <v>1.5657232807363815</v>
      </c>
      <c r="L522">
        <v>0</v>
      </c>
      <c r="M522">
        <v>1.7255491937696124E-3</v>
      </c>
      <c r="N522">
        <v>0.14232625695578777</v>
      </c>
      <c r="O522">
        <v>0.12213251538183918</v>
      </c>
      <c r="P522">
        <v>1.5366114298786459E-2</v>
      </c>
      <c r="Q522">
        <v>8.9003636622527003E-4</v>
      </c>
      <c r="R522">
        <v>1.7216179577350258E-3</v>
      </c>
      <c r="S522">
        <v>0.12607843521081086</v>
      </c>
      <c r="T522">
        <v>0.82383626434668056</v>
      </c>
      <c r="U522">
        <v>0</v>
      </c>
      <c r="V522">
        <v>0.20837426177371132</v>
      </c>
      <c r="W522">
        <v>9.5559360115311964E-2</v>
      </c>
      <c r="X522">
        <v>2.647829097351518E-2</v>
      </c>
      <c r="Y522">
        <v>4.6856765497475016E-3</v>
      </c>
    </row>
    <row r="523" spans="1:25" x14ac:dyDescent="0.25">
      <c r="A523" s="1098"/>
      <c r="B523" s="1457">
        <v>273</v>
      </c>
      <c r="C523" s="1102">
        <v>1.0027043212209292</v>
      </c>
      <c r="D523" s="1102">
        <v>0.97707841274148455</v>
      </c>
      <c r="E523" s="1102">
        <v>0.99294714119761607</v>
      </c>
      <c r="F523" s="1102">
        <v>0.98532332057637251</v>
      </c>
      <c r="G523" s="1102">
        <v>0.98268779784707583</v>
      </c>
      <c r="H523" s="1102">
        <v>1.0188523943218968</v>
      </c>
      <c r="I523" s="1102">
        <v>1.0076940483964922</v>
      </c>
      <c r="K523">
        <v>1.5542634431150304</v>
      </c>
      <c r="L523">
        <v>0</v>
      </c>
      <c r="M523">
        <v>1.6285110729853337E-3</v>
      </c>
      <c r="N523">
        <v>0.14669668552840456</v>
      </c>
      <c r="O523">
        <v>0.12123326899447329</v>
      </c>
      <c r="P523">
        <v>1.5480532925869435E-2</v>
      </c>
      <c r="Q523">
        <v>8.9812060867190669E-4</v>
      </c>
      <c r="R523">
        <v>1.6248880690151683E-3</v>
      </c>
      <c r="S523">
        <v>0.12322095267878395</v>
      </c>
      <c r="T523">
        <v>0.81359718068908193</v>
      </c>
      <c r="U523">
        <v>0</v>
      </c>
      <c r="V523">
        <v>0.20452391296991482</v>
      </c>
      <c r="W523">
        <v>9.6775695876835113E-2</v>
      </c>
      <c r="X523">
        <v>2.7418306167312671E-2</v>
      </c>
      <c r="Y523">
        <v>4.4224096796512949E-3</v>
      </c>
    </row>
    <row r="524" spans="1:25" x14ac:dyDescent="0.25">
      <c r="A524" s="1098"/>
      <c r="B524" s="1457">
        <v>274</v>
      </c>
      <c r="C524" s="1102">
        <v>0.95613871136444795</v>
      </c>
      <c r="D524" s="1102">
        <v>1.0002697805358127</v>
      </c>
      <c r="E524" s="1102">
        <v>0.9831088285776205</v>
      </c>
      <c r="F524" s="1102">
        <v>0.98024161903650708</v>
      </c>
      <c r="G524" s="1102">
        <v>1.0138391746736544</v>
      </c>
      <c r="H524" s="1102">
        <v>1.0146331181783983</v>
      </c>
      <c r="I524" s="1102">
        <v>1.017196336712016</v>
      </c>
      <c r="K524">
        <v>1.5657020005029716</v>
      </c>
      <c r="L524">
        <v>0</v>
      </c>
      <c r="M524">
        <v>1.7060795690302868E-3</v>
      </c>
      <c r="N524">
        <v>0.14917532283571286</v>
      </c>
      <c r="O524">
        <v>0.12231242680323894</v>
      </c>
      <c r="P524">
        <v>1.5441897514741008E-2</v>
      </c>
      <c r="Q524">
        <v>9.2353460506647213E-4</v>
      </c>
      <c r="R524">
        <v>1.7022381468256103E-3</v>
      </c>
      <c r="S524">
        <v>0.12791516467514127</v>
      </c>
      <c r="T524">
        <v>0.81004150061148983</v>
      </c>
      <c r="U524">
        <v>0</v>
      </c>
      <c r="V524">
        <v>0.20901294158041797</v>
      </c>
      <c r="W524">
        <v>9.8993485301784381E-2</v>
      </c>
      <c r="X524">
        <v>2.7256636904576251E-2</v>
      </c>
      <c r="Y524">
        <v>4.6329310930050202E-3</v>
      </c>
    </row>
    <row r="525" spans="1:25" x14ac:dyDescent="0.25">
      <c r="A525" s="1098"/>
      <c r="B525" s="1457">
        <v>275</v>
      </c>
      <c r="C525" s="1102">
        <v>1.0172886214723538</v>
      </c>
      <c r="D525" s="1102">
        <v>1.0216160134777001</v>
      </c>
      <c r="E525" s="1102">
        <v>1.0011065801558463</v>
      </c>
      <c r="F525" s="1102">
        <v>1.0228255976775402</v>
      </c>
      <c r="G525" s="1102">
        <v>1.0107378369007465</v>
      </c>
      <c r="H525" s="1102">
        <v>0.99599768541633893</v>
      </c>
      <c r="I525" s="1102">
        <v>0.99488415302424182</v>
      </c>
      <c r="K525">
        <v>1.5652592759185138</v>
      </c>
      <c r="L525">
        <v>0</v>
      </c>
      <c r="M525">
        <v>1.5101353249237948E-3</v>
      </c>
      <c r="N525">
        <v>0.13942093211097073</v>
      </c>
      <c r="O525">
        <v>0.12113142509639457</v>
      </c>
      <c r="P525">
        <v>1.5891675685663305E-2</v>
      </c>
      <c r="Q525">
        <v>8.7700062656188187E-4</v>
      </c>
      <c r="R525">
        <v>1.5066862145560482E-3</v>
      </c>
      <c r="S525">
        <v>0.11532338214977432</v>
      </c>
      <c r="T525">
        <v>0.84401167517062892</v>
      </c>
      <c r="U525">
        <v>0</v>
      </c>
      <c r="V525">
        <v>0.20520111766962143</v>
      </c>
      <c r="W525">
        <v>9.1529882841877352E-2</v>
      </c>
      <c r="X525">
        <v>2.7774930480343771E-2</v>
      </c>
      <c r="Y525">
        <v>4.1007031970444197E-3</v>
      </c>
    </row>
    <row r="526" spans="1:25" x14ac:dyDescent="0.25">
      <c r="A526" s="1098"/>
      <c r="B526" s="1457">
        <v>276</v>
      </c>
      <c r="C526" s="1102">
        <v>1.010307803558915</v>
      </c>
      <c r="D526" s="1102">
        <v>0.98848950774751831</v>
      </c>
      <c r="E526" s="1102">
        <v>1.0085814541573335</v>
      </c>
      <c r="F526" s="1102">
        <v>0.98642762353068081</v>
      </c>
      <c r="G526" s="1102">
        <v>0.96812361113253587</v>
      </c>
      <c r="H526" s="1102">
        <v>0.96767177557899275</v>
      </c>
      <c r="I526" s="1102">
        <v>1.0368878874186003</v>
      </c>
      <c r="K526">
        <v>1.5367115237512581</v>
      </c>
      <c r="L526">
        <v>0</v>
      </c>
      <c r="M526">
        <v>1.4773281917862281E-3</v>
      </c>
      <c r="N526">
        <v>0.13949757440623892</v>
      </c>
      <c r="O526">
        <v>0.12037996172460071</v>
      </c>
      <c r="P526">
        <v>1.5607082011626331E-2</v>
      </c>
      <c r="Q526">
        <v>9.0172423847487962E-4</v>
      </c>
      <c r="R526">
        <v>1.4738633375830632E-3</v>
      </c>
      <c r="S526">
        <v>0.12086486118518741</v>
      </c>
      <c r="T526">
        <v>0.81349132524002177</v>
      </c>
      <c r="U526">
        <v>0</v>
      </c>
      <c r="V526">
        <v>0.20297478904882416</v>
      </c>
      <c r="W526">
        <v>9.1175786292889804E-2</v>
      </c>
      <c r="X526">
        <v>2.7810514311614808E-2</v>
      </c>
      <c r="Y526">
        <v>4.0113701459824408E-3</v>
      </c>
    </row>
    <row r="527" spans="1:25" x14ac:dyDescent="0.25">
      <c r="A527" s="1098"/>
      <c r="B527" s="1457">
        <v>277</v>
      </c>
      <c r="C527" s="1102">
        <v>0.99561468571195999</v>
      </c>
      <c r="D527" s="1102">
        <v>0.99295414959137729</v>
      </c>
      <c r="E527" s="1102">
        <v>0.9945722638673784</v>
      </c>
      <c r="F527" s="1102">
        <v>1.0337098522139407</v>
      </c>
      <c r="G527" s="1102">
        <v>0.98080739228978842</v>
      </c>
      <c r="H527" s="1102">
        <v>1.0222724340075326</v>
      </c>
      <c r="I527" s="1102">
        <v>0.96758538750857381</v>
      </c>
      <c r="K527">
        <v>1.5977203887769951</v>
      </c>
      <c r="L527">
        <v>0</v>
      </c>
      <c r="M527">
        <v>1.6303441843011591E-3</v>
      </c>
      <c r="N527">
        <v>0.1475862493908266</v>
      </c>
      <c r="O527">
        <v>0.12428683651818215</v>
      </c>
      <c r="P527">
        <v>1.6011313658569011E-2</v>
      </c>
      <c r="Q527">
        <v>9.0022390392267501E-4</v>
      </c>
      <c r="R527">
        <v>1.6267310183618407E-3</v>
      </c>
      <c r="S527">
        <v>0.11853735695637779</v>
      </c>
      <c r="T527">
        <v>0.85343947567594858</v>
      </c>
      <c r="U527">
        <v>0</v>
      </c>
      <c r="V527">
        <v>0.20707373545631291</v>
      </c>
      <c r="W527">
        <v>9.7268080696419068E-2</v>
      </c>
      <c r="X527">
        <v>2.8193304106129576E-2</v>
      </c>
      <c r="Y527">
        <v>4.4274255802448474E-3</v>
      </c>
    </row>
    <row r="528" spans="1:25" x14ac:dyDescent="0.25">
      <c r="A528" s="1098"/>
      <c r="B528" s="1457">
        <v>278</v>
      </c>
      <c r="C528" s="1102">
        <v>1.0170274949391935</v>
      </c>
      <c r="D528" s="1102">
        <v>0.9929533309924925</v>
      </c>
      <c r="E528" s="1102">
        <v>1.03250559204908</v>
      </c>
      <c r="F528" s="1102">
        <v>0.97504447689224139</v>
      </c>
      <c r="G528" s="1102">
        <v>1.0381429537188223</v>
      </c>
      <c r="H528" s="1102">
        <v>1.005300916392575</v>
      </c>
      <c r="I528" s="1102">
        <v>0.99958777710064795</v>
      </c>
      <c r="K528">
        <v>1.535327988634869</v>
      </c>
      <c r="L528">
        <v>0</v>
      </c>
      <c r="M528">
        <v>1.4463081845916762E-3</v>
      </c>
      <c r="N528">
        <v>0.14680170452738869</v>
      </c>
      <c r="O528">
        <v>0.11897563571610348</v>
      </c>
      <c r="P528">
        <v>1.5723083960901062E-2</v>
      </c>
      <c r="Q528">
        <v>9.1636343601118441E-4</v>
      </c>
      <c r="R528">
        <v>1.443039272370467E-3</v>
      </c>
      <c r="S528">
        <v>0.11839288512958757</v>
      </c>
      <c r="T528">
        <v>0.80257939146783996</v>
      </c>
      <c r="U528">
        <v>0</v>
      </c>
      <c r="V528">
        <v>0.2048901694291346</v>
      </c>
      <c r="W528">
        <v>9.4616672662862694E-2</v>
      </c>
      <c r="X528">
        <v>2.8507874015634194E-2</v>
      </c>
      <c r="Y528">
        <v>3.9274772016241214E-3</v>
      </c>
    </row>
    <row r="529" spans="1:25" x14ac:dyDescent="0.25">
      <c r="A529" s="1098"/>
      <c r="B529" s="1457">
        <v>279</v>
      </c>
      <c r="C529" s="1102">
        <v>1.0310239439189448</v>
      </c>
      <c r="D529" s="1102">
        <v>1.0342038260507536</v>
      </c>
      <c r="E529" s="1102">
        <v>0.98089585674312896</v>
      </c>
      <c r="F529" s="1102">
        <v>0.97911193213588932</v>
      </c>
      <c r="G529" s="1102">
        <v>1.0164696794290875</v>
      </c>
      <c r="H529" s="1102">
        <v>1.00844426125278</v>
      </c>
      <c r="I529" s="1102">
        <v>1.0158919044638348</v>
      </c>
      <c r="K529">
        <v>1.5156862373923097</v>
      </c>
      <c r="L529">
        <v>0</v>
      </c>
      <c r="M529">
        <v>1.5587183402292345E-3</v>
      </c>
      <c r="N529">
        <v>0.13537915973398812</v>
      </c>
      <c r="O529">
        <v>0.11697918491436793</v>
      </c>
      <c r="P529">
        <v>1.5148257300385043E-2</v>
      </c>
      <c r="Q529">
        <v>8.4314767973700207E-4</v>
      </c>
      <c r="R529">
        <v>1.5551870245628389E-3</v>
      </c>
      <c r="S529">
        <v>0.11608711930068034</v>
      </c>
      <c r="T529">
        <v>0.80925225656166067</v>
      </c>
      <c r="U529">
        <v>0</v>
      </c>
      <c r="V529">
        <v>0.20172707373120519</v>
      </c>
      <c r="W529">
        <v>8.9958218471884344E-2</v>
      </c>
      <c r="X529">
        <v>2.608264460047293E-2</v>
      </c>
      <c r="Y529">
        <v>4.2327064135951817E-3</v>
      </c>
    </row>
    <row r="530" spans="1:25" x14ac:dyDescent="0.25">
      <c r="A530" s="1098"/>
      <c r="B530" s="1457">
        <v>280</v>
      </c>
      <c r="C530" s="1102">
        <v>0.96275278253690011</v>
      </c>
      <c r="D530" s="1102">
        <v>1.0464599085398618</v>
      </c>
      <c r="E530" s="1102">
        <v>1.0099722970190157</v>
      </c>
      <c r="F530" s="1102">
        <v>1.0149182203596574</v>
      </c>
      <c r="G530" s="1102">
        <v>1.0044877058592141</v>
      </c>
      <c r="H530" s="1102">
        <v>1.0192345218734835</v>
      </c>
      <c r="I530" s="1102">
        <v>0.98767041027999136</v>
      </c>
      <c r="K530">
        <v>1.5849413879308314</v>
      </c>
      <c r="L530">
        <v>0</v>
      </c>
      <c r="M530">
        <v>1.5744357795502211E-3</v>
      </c>
      <c r="N530">
        <v>0.14930674979493233</v>
      </c>
      <c r="O530">
        <v>0.12233657029351727</v>
      </c>
      <c r="P530">
        <v>1.6018864918399846E-2</v>
      </c>
      <c r="Q530">
        <v>9.2626582204418197E-4</v>
      </c>
      <c r="R530">
        <v>1.5708919817862838E-3</v>
      </c>
      <c r="S530">
        <v>0.12075587258463381</v>
      </c>
      <c r="T530">
        <v>0.83689430981944823</v>
      </c>
      <c r="U530">
        <v>0</v>
      </c>
      <c r="V530">
        <v>0.20849041527258519</v>
      </c>
      <c r="W530">
        <v>9.7507026896515372E-2</v>
      </c>
      <c r="X530">
        <v>2.8433406196497854E-2</v>
      </c>
      <c r="Y530">
        <v>4.2754501300196427E-3</v>
      </c>
    </row>
    <row r="531" spans="1:25" x14ac:dyDescent="0.25">
      <c r="A531" s="1098"/>
      <c r="B531" s="1457">
        <v>281</v>
      </c>
      <c r="C531" s="1102">
        <v>0.9999378806870276</v>
      </c>
      <c r="D531" s="1102">
        <v>0.95978904396511733</v>
      </c>
      <c r="E531" s="1102">
        <v>0.99327312160418868</v>
      </c>
      <c r="F531" s="1102">
        <v>1.0192989471690543</v>
      </c>
      <c r="G531" s="1102">
        <v>0.99161637630668908</v>
      </c>
      <c r="H531" s="1102">
        <v>0.99647163948974449</v>
      </c>
      <c r="I531" s="1102">
        <v>1.0110682749534243</v>
      </c>
      <c r="K531">
        <v>1.5885758574291278</v>
      </c>
      <c r="L531">
        <v>0</v>
      </c>
      <c r="M531">
        <v>1.6162517768528951E-3</v>
      </c>
      <c r="N531">
        <v>0.14573039573813787</v>
      </c>
      <c r="O531">
        <v>0.12458235512449192</v>
      </c>
      <c r="P531">
        <v>1.5910823579602541E-2</v>
      </c>
      <c r="Q531">
        <v>9.0736767156986652E-4</v>
      </c>
      <c r="R531">
        <v>1.612595182533862E-3</v>
      </c>
      <c r="S531">
        <v>0.12367062857151312</v>
      </c>
      <c r="T531">
        <v>0.84162938892678674</v>
      </c>
      <c r="U531">
        <v>0</v>
      </c>
      <c r="V531">
        <v>0.20748546214756736</v>
      </c>
      <c r="W531">
        <v>9.6119509078289742E-2</v>
      </c>
      <c r="X531">
        <v>2.8154630690488552E-2</v>
      </c>
      <c r="Y531">
        <v>4.3889524949981187E-3</v>
      </c>
    </row>
    <row r="532" spans="1:25" x14ac:dyDescent="0.25">
      <c r="A532" s="1098"/>
      <c r="B532" s="1457">
        <v>282</v>
      </c>
      <c r="C532" s="1102">
        <v>0.97606042250629965</v>
      </c>
      <c r="D532" s="1102">
        <v>0.97696807013148834</v>
      </c>
      <c r="E532" s="1102">
        <v>1.0146901921057172</v>
      </c>
      <c r="F532" s="1102">
        <v>1.0046477382051953</v>
      </c>
      <c r="G532" s="1102">
        <v>1.0326339205912631</v>
      </c>
      <c r="H532" s="1102">
        <v>1.0381342218102585</v>
      </c>
      <c r="I532" s="1102">
        <v>1.0267049828900907</v>
      </c>
      <c r="K532">
        <v>1.6019926312224833</v>
      </c>
      <c r="L532">
        <v>0</v>
      </c>
      <c r="M532">
        <v>1.6286882552379936E-3</v>
      </c>
      <c r="N532">
        <v>0.15667729823411916</v>
      </c>
      <c r="O532">
        <v>0.12395057451381632</v>
      </c>
      <c r="P532">
        <v>1.6112432802429962E-2</v>
      </c>
      <c r="Q532">
        <v>9.4367204330869962E-4</v>
      </c>
      <c r="R532">
        <v>1.6251304213492528E-3</v>
      </c>
      <c r="S532">
        <v>0.13061025795579492</v>
      </c>
      <c r="T532">
        <v>0.82811433685409674</v>
      </c>
      <c r="U532">
        <v>0</v>
      </c>
      <c r="V532">
        <v>0.21013642334764912</v>
      </c>
      <c r="W532">
        <v>0.10203673237688958</v>
      </c>
      <c r="X532">
        <v>2.899139164545373E-2</v>
      </c>
      <c r="Y532">
        <v>4.4230692828132476E-3</v>
      </c>
    </row>
    <row r="533" spans="1:25" x14ac:dyDescent="0.25">
      <c r="A533" s="1098"/>
      <c r="B533" s="1457">
        <v>283</v>
      </c>
      <c r="C533" s="1102">
        <v>0.97688756918924535</v>
      </c>
      <c r="D533" s="1102">
        <v>1.0279442484117209</v>
      </c>
      <c r="E533" s="1102">
        <v>1.0072817529374667</v>
      </c>
      <c r="F533" s="1102">
        <v>0.99423213810814537</v>
      </c>
      <c r="G533" s="1102">
        <v>0.96647352568155598</v>
      </c>
      <c r="H533" s="1102">
        <v>1.0091709860882674</v>
      </c>
      <c r="I533" s="1102">
        <v>0.98521957729348419</v>
      </c>
      <c r="K533">
        <v>1.5565593866026577</v>
      </c>
      <c r="L533">
        <v>0</v>
      </c>
      <c r="M533">
        <v>1.5598280886704229E-3</v>
      </c>
      <c r="N533">
        <v>0.14672220870362837</v>
      </c>
      <c r="O533">
        <v>0.12093722587894357</v>
      </c>
      <c r="P533">
        <v>1.5685375746283217E-2</v>
      </c>
      <c r="Q533">
        <v>9.1685594767870152E-4</v>
      </c>
      <c r="R533">
        <v>1.5562908254965024E-3</v>
      </c>
      <c r="S533">
        <v>0.11914551881487494</v>
      </c>
      <c r="T533">
        <v>0.82001255812209783</v>
      </c>
      <c r="U533">
        <v>0</v>
      </c>
      <c r="V533">
        <v>0.20498201803771754</v>
      </c>
      <c r="W533">
        <v>9.5971460676513923E-2</v>
      </c>
      <c r="X533">
        <v>2.7953991342223736E-2</v>
      </c>
      <c r="Y533">
        <v>4.2357105958687356E-3</v>
      </c>
    </row>
    <row r="534" spans="1:25" x14ac:dyDescent="0.25">
      <c r="A534" s="1098"/>
      <c r="B534" s="1457">
        <v>284</v>
      </c>
      <c r="C534" s="1102">
        <v>0.98857872028953975</v>
      </c>
      <c r="D534" s="1102">
        <v>0.98081203143702578</v>
      </c>
      <c r="E534" s="1102">
        <v>0.96863822988946624</v>
      </c>
      <c r="F534" s="1102">
        <v>0.97512828495715287</v>
      </c>
      <c r="G534" s="1102">
        <v>0.9977331482125944</v>
      </c>
      <c r="H534" s="1102">
        <v>1.0113292045023541</v>
      </c>
      <c r="I534" s="1102">
        <v>1.0167748246930099</v>
      </c>
      <c r="K534">
        <v>1.5456014186683285</v>
      </c>
      <c r="L534">
        <v>0</v>
      </c>
      <c r="M534">
        <v>1.7171325577767164E-3</v>
      </c>
      <c r="N534">
        <v>0.14370868227615827</v>
      </c>
      <c r="O534">
        <v>0.12113044409545601</v>
      </c>
      <c r="P534">
        <v>1.5145679549126325E-2</v>
      </c>
      <c r="Q534">
        <v>8.866964433318972E-4</v>
      </c>
      <c r="R534">
        <v>1.7132742166394957E-3</v>
      </c>
      <c r="S534">
        <v>0.1249949890703323</v>
      </c>
      <c r="T534">
        <v>0.80675848739324485</v>
      </c>
      <c r="U534">
        <v>0</v>
      </c>
      <c r="V534">
        <v>0.20570930966730716</v>
      </c>
      <c r="W534">
        <v>9.6205483712249032E-2</v>
      </c>
      <c r="X534">
        <v>2.640253716525947E-2</v>
      </c>
      <c r="Y534">
        <v>4.6629676369989784E-3</v>
      </c>
    </row>
    <row r="535" spans="1:25" x14ac:dyDescent="0.25">
      <c r="A535" s="1098"/>
      <c r="B535" s="1457">
        <v>285</v>
      </c>
      <c r="C535" s="1102">
        <v>0.97222288543585045</v>
      </c>
      <c r="D535" s="1102">
        <v>1.000778963968626</v>
      </c>
      <c r="E535" s="1102">
        <v>1.0055855540930927</v>
      </c>
      <c r="F535" s="1102">
        <v>0.99664512890348356</v>
      </c>
      <c r="G535" s="1102">
        <v>1.010417887641418</v>
      </c>
      <c r="H535" s="1102">
        <v>1.0133644353958613</v>
      </c>
      <c r="I535" s="1102">
        <v>0.99280080917248414</v>
      </c>
      <c r="K535">
        <v>1.5734249088743388</v>
      </c>
      <c r="L535">
        <v>0</v>
      </c>
      <c r="M535">
        <v>1.6031510100974194E-3</v>
      </c>
      <c r="N535">
        <v>0.15002970572729188</v>
      </c>
      <c r="O535">
        <v>0.1225384333019765</v>
      </c>
      <c r="P535">
        <v>1.5791308739212653E-2</v>
      </c>
      <c r="Q535">
        <v>9.295467918305233E-4</v>
      </c>
      <c r="R535">
        <v>1.5995458194967716E-3</v>
      </c>
      <c r="S535">
        <v>0.12289750199398612</v>
      </c>
      <c r="T535">
        <v>0.82211396589306729</v>
      </c>
      <c r="U535">
        <v>0</v>
      </c>
      <c r="V535">
        <v>0.20830229719523671</v>
      </c>
      <c r="W535">
        <v>9.823338593463328E-2</v>
      </c>
      <c r="X535">
        <v>2.8238932057171102E-2</v>
      </c>
      <c r="Y535">
        <v>4.3534364305325276E-3</v>
      </c>
    </row>
    <row r="536" spans="1:25" x14ac:dyDescent="0.25">
      <c r="A536" s="1098"/>
      <c r="B536" s="1457">
        <v>286</v>
      </c>
      <c r="C536" s="1102">
        <v>1.0174395244415397</v>
      </c>
      <c r="D536" s="1102">
        <v>0.9630187291757758</v>
      </c>
      <c r="E536" s="1102">
        <v>0.99945251722425898</v>
      </c>
      <c r="F536" s="1102">
        <v>1.03657353899494</v>
      </c>
      <c r="G536" s="1102">
        <v>1.0425049393222461</v>
      </c>
      <c r="H536" s="1102">
        <v>0.99981267586391109</v>
      </c>
      <c r="I536" s="1102">
        <v>1.0026656045882891</v>
      </c>
      <c r="K536">
        <v>1.5995897973971214</v>
      </c>
      <c r="L536">
        <v>0</v>
      </c>
      <c r="M536">
        <v>1.5745802551071163E-3</v>
      </c>
      <c r="N536">
        <v>0.14465097085255807</v>
      </c>
      <c r="O536">
        <v>0.12472017397166758</v>
      </c>
      <c r="P536">
        <v>1.6155999155035433E-2</v>
      </c>
      <c r="Q536">
        <v>8.9629709940734987E-4</v>
      </c>
      <c r="R536">
        <v>1.5710370687054662E-3</v>
      </c>
      <c r="S536">
        <v>0.12077840010507898</v>
      </c>
      <c r="T536">
        <v>0.85546932313640511</v>
      </c>
      <c r="U536">
        <v>0</v>
      </c>
      <c r="V536">
        <v>0.20911652257219213</v>
      </c>
      <c r="W536">
        <v>9.5056787143876748E-2</v>
      </c>
      <c r="X536">
        <v>2.8473021538513332E-2</v>
      </c>
      <c r="Y536">
        <v>4.2758450087857667E-3</v>
      </c>
    </row>
    <row r="537" spans="1:25" x14ac:dyDescent="0.25">
      <c r="A537" s="1098"/>
      <c r="B537" s="1457">
        <v>287</v>
      </c>
      <c r="C537" s="1102">
        <v>0.98879547497537967</v>
      </c>
      <c r="D537" s="1102">
        <v>0.99520681708919279</v>
      </c>
      <c r="E537" s="1102">
        <v>1.0241625893876645</v>
      </c>
      <c r="F537" s="1102">
        <v>0.98244564391035638</v>
      </c>
      <c r="G537" s="1102">
        <v>0.9591348952642117</v>
      </c>
      <c r="H537" s="1102">
        <v>1.0049586904435901</v>
      </c>
      <c r="I537" s="1102">
        <v>1.0242939516829348</v>
      </c>
      <c r="K537">
        <v>1.5540095138710031</v>
      </c>
      <c r="L537">
        <v>0</v>
      </c>
      <c r="M537">
        <v>1.5089447656106189E-3</v>
      </c>
      <c r="N537">
        <v>0.14935415363871235</v>
      </c>
      <c r="O537">
        <v>0.12085230847620602</v>
      </c>
      <c r="P537">
        <v>1.5791530248958109E-2</v>
      </c>
      <c r="Q537">
        <v>9.3368322899860517E-4</v>
      </c>
      <c r="R537">
        <v>1.5055266715724681E-3</v>
      </c>
      <c r="S537">
        <v>0.12444437875644888</v>
      </c>
      <c r="T537">
        <v>0.80920502837861419</v>
      </c>
      <c r="U537">
        <v>0</v>
      </c>
      <c r="V537">
        <v>0.20400009103858024</v>
      </c>
      <c r="W537">
        <v>9.6729709529207911E-2</v>
      </c>
      <c r="X537">
        <v>2.8604501366026613E-2</v>
      </c>
      <c r="Y537">
        <v>4.0975473032863578E-3</v>
      </c>
    </row>
    <row r="538" spans="1:25" x14ac:dyDescent="0.25">
      <c r="A538" s="1098"/>
      <c r="B538" s="1457">
        <v>288</v>
      </c>
      <c r="C538" s="1102">
        <v>1.0003096449373845</v>
      </c>
      <c r="D538" s="1102">
        <v>1.0024213175430077</v>
      </c>
      <c r="E538" s="1102">
        <v>1.0133073960282477</v>
      </c>
      <c r="F538" s="1102">
        <v>1.0408170643758161</v>
      </c>
      <c r="G538" s="1102">
        <v>1.0036443592494715</v>
      </c>
      <c r="H538" s="1102">
        <v>0.96271166039209632</v>
      </c>
      <c r="I538" s="1102">
        <v>0.97243107215988245</v>
      </c>
      <c r="K538">
        <v>1.5847390287634433</v>
      </c>
      <c r="L538">
        <v>0</v>
      </c>
      <c r="M538">
        <v>1.4631895116824717E-3</v>
      </c>
      <c r="N538">
        <v>0.14014639297228743</v>
      </c>
      <c r="O538">
        <v>0.12405101661413379</v>
      </c>
      <c r="P538">
        <v>1.6238591280723996E-2</v>
      </c>
      <c r="Q538">
        <v>9.1007532771923173E-4</v>
      </c>
      <c r="R538">
        <v>1.4597435667525558E-3</v>
      </c>
      <c r="S538">
        <v>0.11340473339244224</v>
      </c>
      <c r="T538">
        <v>0.85802246684680517</v>
      </c>
      <c r="U538">
        <v>0</v>
      </c>
      <c r="V538">
        <v>0.20781282543561366</v>
      </c>
      <c r="W538">
        <v>9.1345131218531883E-2</v>
      </c>
      <c r="X538">
        <v>2.883830083575168E-2</v>
      </c>
      <c r="Y538">
        <v>3.9729407843630037E-3</v>
      </c>
    </row>
    <row r="539" spans="1:25" x14ac:dyDescent="0.25">
      <c r="A539" s="1098"/>
      <c r="B539" s="1457">
        <v>289</v>
      </c>
      <c r="C539" s="1102">
        <v>0.9922924659086787</v>
      </c>
      <c r="D539" s="1102">
        <v>0.96760753786124487</v>
      </c>
      <c r="E539" s="1102">
        <v>1.0417342366508657</v>
      </c>
      <c r="F539" s="1102">
        <v>0.97790637636467415</v>
      </c>
      <c r="G539" s="1102">
        <v>1.0161471901974657</v>
      </c>
      <c r="H539" s="1102">
        <v>1.0121451411815181</v>
      </c>
      <c r="I539" s="1102">
        <v>1.0408909504997725</v>
      </c>
      <c r="K539">
        <v>1.5661035420586895</v>
      </c>
      <c r="L539">
        <v>0</v>
      </c>
      <c r="M539">
        <v>1.4830947922823653E-3</v>
      </c>
      <c r="N539">
        <v>0.15478338016802723</v>
      </c>
      <c r="O539">
        <v>0.12153131288350226</v>
      </c>
      <c r="P539">
        <v>1.6027696378252836E-2</v>
      </c>
      <c r="Q539">
        <v>9.5791527657870085E-4</v>
      </c>
      <c r="R539">
        <v>1.4797741077351781E-3</v>
      </c>
      <c r="S539">
        <v>0.12877788165671847</v>
      </c>
      <c r="T539">
        <v>0.80435014669375193</v>
      </c>
      <c r="U539">
        <v>0</v>
      </c>
      <c r="V539">
        <v>0.20691037328785197</v>
      </c>
      <c r="W539">
        <v>9.9230990857323551E-2</v>
      </c>
      <c r="X539">
        <v>2.9509708227377002E-2</v>
      </c>
      <c r="Y539">
        <v>4.0274573138516416E-3</v>
      </c>
    </row>
    <row r="540" spans="1:25" x14ac:dyDescent="0.25">
      <c r="A540" s="1098"/>
      <c r="B540" s="1457">
        <v>290</v>
      </c>
      <c r="C540" s="1102">
        <v>0.99989740763608104</v>
      </c>
      <c r="D540" s="1102">
        <v>1.0293161422748258</v>
      </c>
      <c r="E540" s="1102">
        <v>0.99083293124021421</v>
      </c>
      <c r="F540" s="1102">
        <v>1.019483481594027</v>
      </c>
      <c r="G540" s="1102">
        <v>1.0124555841476934</v>
      </c>
      <c r="H540" s="1102">
        <v>1.0221551901221237</v>
      </c>
      <c r="I540" s="1102">
        <v>1.0001034536886113</v>
      </c>
      <c r="K540">
        <v>1.5756201756962303</v>
      </c>
      <c r="L540">
        <v>0</v>
      </c>
      <c r="M540">
        <v>1.6015320067748276E-3</v>
      </c>
      <c r="N540">
        <v>0.14334631811556142</v>
      </c>
      <c r="O540">
        <v>0.12148740216606339</v>
      </c>
      <c r="P540">
        <v>1.58111917257109E-2</v>
      </c>
      <c r="Q540">
        <v>8.8013288834029656E-4</v>
      </c>
      <c r="R540">
        <v>1.597958120694178E-3</v>
      </c>
      <c r="S540">
        <v>0.11932824087305731</v>
      </c>
      <c r="T540">
        <v>0.84194662174352641</v>
      </c>
      <c r="U540">
        <v>0</v>
      </c>
      <c r="V540">
        <v>0.20631244811999203</v>
      </c>
      <c r="W540">
        <v>9.4685128687578141E-2</v>
      </c>
      <c r="X540">
        <v>2.7477150024702558E-2</v>
      </c>
      <c r="Y540">
        <v>4.3491152377766367E-3</v>
      </c>
    </row>
    <row r="541" spans="1:25" x14ac:dyDescent="0.25">
      <c r="A541" s="1098"/>
      <c r="B541" s="1457">
        <v>291</v>
      </c>
      <c r="C541" s="1102">
        <v>0.98750211014689471</v>
      </c>
      <c r="D541" s="1102">
        <v>0.99074597483788207</v>
      </c>
      <c r="E541" s="1102">
        <v>0.99032699616076092</v>
      </c>
      <c r="F541" s="1102">
        <v>0.97907744058574631</v>
      </c>
      <c r="G541" s="1102">
        <v>1.0412948608172319</v>
      </c>
      <c r="H541" s="1102">
        <v>0.9912725679852965</v>
      </c>
      <c r="I541" s="1102">
        <v>1.0297371159383253</v>
      </c>
      <c r="K541">
        <v>1.5473931404889785</v>
      </c>
      <c r="L541">
        <v>0</v>
      </c>
      <c r="M541">
        <v>1.6022849013914184E-3</v>
      </c>
      <c r="N541">
        <v>0.14318530674729579</v>
      </c>
      <c r="O541">
        <v>0.12096744641093927</v>
      </c>
      <c r="P541">
        <v>1.5441293695270447E-2</v>
      </c>
      <c r="Q541">
        <v>9.0442235265618756E-4</v>
      </c>
      <c r="R541">
        <v>1.5986065957924011E-3</v>
      </c>
      <c r="S541">
        <v>0.12437101450306418</v>
      </c>
      <c r="T541">
        <v>0.80860989820727736</v>
      </c>
      <c r="U541">
        <v>0</v>
      </c>
      <c r="V541">
        <v>0.20770970760662455</v>
      </c>
      <c r="W541">
        <v>9.4607431876418832E-2</v>
      </c>
      <c r="X541">
        <v>2.7249417221804365E-2</v>
      </c>
      <c r="Y541">
        <v>4.3508801732242402E-3</v>
      </c>
    </row>
    <row r="542" spans="1:25" x14ac:dyDescent="0.25">
      <c r="A542" s="1098"/>
      <c r="B542" s="1457">
        <v>292</v>
      </c>
      <c r="C542" s="1102">
        <v>1.0412701399732665</v>
      </c>
      <c r="D542" s="1102">
        <v>0.99853093666334158</v>
      </c>
      <c r="E542" s="1102">
        <v>1.0070601642169053</v>
      </c>
      <c r="F542" s="1102">
        <v>0.98306287648847956</v>
      </c>
      <c r="G542" s="1102">
        <v>0.99058186223154077</v>
      </c>
      <c r="H542" s="1102">
        <v>1.028857280681658</v>
      </c>
      <c r="I542" s="1102">
        <v>1.0008124417808728</v>
      </c>
      <c r="K542">
        <v>1.532031215638803</v>
      </c>
      <c r="L542">
        <v>0</v>
      </c>
      <c r="M542">
        <v>1.5230887907179437E-3</v>
      </c>
      <c r="N542">
        <v>0.14317952704787626</v>
      </c>
      <c r="O542">
        <v>0.11819229090434279</v>
      </c>
      <c r="P542">
        <v>1.5477437695131494E-2</v>
      </c>
      <c r="Q542">
        <v>8.7001370363802967E-4</v>
      </c>
      <c r="R542">
        <v>1.5197299330770369E-3</v>
      </c>
      <c r="S542">
        <v>0.11732436071365038</v>
      </c>
      <c r="T542">
        <v>0.81081481915003761</v>
      </c>
      <c r="U542">
        <v>0</v>
      </c>
      <c r="V542">
        <v>0.20102119546151898</v>
      </c>
      <c r="W542">
        <v>9.3666446898646172E-2</v>
      </c>
      <c r="X542">
        <v>2.7352279022602854E-2</v>
      </c>
      <c r="Y542">
        <v>4.1362038989978967E-3</v>
      </c>
    </row>
    <row r="543" spans="1:25" x14ac:dyDescent="0.25">
      <c r="A543" s="1098"/>
      <c r="B543" s="1457">
        <v>293</v>
      </c>
      <c r="C543" s="1102">
        <v>1.0409587341311053</v>
      </c>
      <c r="D543" s="1102">
        <v>0.97383474479432541</v>
      </c>
      <c r="E543" s="1102">
        <v>1.0085929905701536</v>
      </c>
      <c r="F543" s="1102">
        <v>0.96627214307881804</v>
      </c>
      <c r="G543" s="1102">
        <v>1.0069630016582154</v>
      </c>
      <c r="H543" s="1102">
        <v>1.0143187454211795</v>
      </c>
      <c r="I543" s="1102">
        <v>1.0066116607426643</v>
      </c>
      <c r="K543">
        <v>1.5196962459686654</v>
      </c>
      <c r="L543">
        <v>0</v>
      </c>
      <c r="M543">
        <v>1.5166186551816029E-3</v>
      </c>
      <c r="N543">
        <v>0.14322906645717426</v>
      </c>
      <c r="O543">
        <v>0.11809410778017909</v>
      </c>
      <c r="P543">
        <v>1.5329518321125656E-2</v>
      </c>
      <c r="Q543">
        <v>8.8042796390342543E-4</v>
      </c>
      <c r="R543">
        <v>1.5132357527541443E-3</v>
      </c>
      <c r="S543">
        <v>0.11858015860769056</v>
      </c>
      <c r="T543">
        <v>0.7968686851655522</v>
      </c>
      <c r="U543">
        <v>0</v>
      </c>
      <c r="V543">
        <v>0.20164410859294776</v>
      </c>
      <c r="W543">
        <v>9.3614056544942245E-2</v>
      </c>
      <c r="X543">
        <v>2.7340970556611138E-2</v>
      </c>
      <c r="Y543">
        <v>4.1185288809649527E-3</v>
      </c>
    </row>
    <row r="544" spans="1:25" x14ac:dyDescent="0.25">
      <c r="A544" s="1098"/>
      <c r="B544" s="1457">
        <v>294</v>
      </c>
      <c r="C544" s="1102">
        <v>1.0021525765150132</v>
      </c>
      <c r="D544" s="1102">
        <v>1.0229766229247186</v>
      </c>
      <c r="E544" s="1102">
        <v>1.0269056444774991</v>
      </c>
      <c r="F544" s="1102">
        <v>0.98759228365665885</v>
      </c>
      <c r="G544" s="1102">
        <v>1.0037011729033083</v>
      </c>
      <c r="H544" s="1102">
        <v>1.0037942116957126</v>
      </c>
      <c r="I544" s="1102">
        <v>0.96130984810060038</v>
      </c>
      <c r="K544">
        <v>1.5388485775445182</v>
      </c>
      <c r="L544">
        <v>0</v>
      </c>
      <c r="M544">
        <v>1.4578527040860843E-3</v>
      </c>
      <c r="N544">
        <v>0.14549422992157748</v>
      </c>
      <c r="O544">
        <v>0.11932899035503099</v>
      </c>
      <c r="P544">
        <v>1.5730327651607236E-2</v>
      </c>
      <c r="Q544">
        <v>9.1371287142240451E-4</v>
      </c>
      <c r="R544">
        <v>1.4545360899960971E-3</v>
      </c>
      <c r="S544">
        <v>0.11338455474757717</v>
      </c>
      <c r="T544">
        <v>0.81326753164745991</v>
      </c>
      <c r="U544">
        <v>0</v>
      </c>
      <c r="V544">
        <v>0.20433242483821007</v>
      </c>
      <c r="W544">
        <v>9.4079370536853765E-2</v>
      </c>
      <c r="X544">
        <v>2.8361983839594051E-2</v>
      </c>
      <c r="Y544">
        <v>3.9587677492761751E-3</v>
      </c>
    </row>
    <row r="545" spans="1:25" x14ac:dyDescent="0.25">
      <c r="A545" s="1098"/>
      <c r="B545" s="1457">
        <v>295</v>
      </c>
      <c r="C545" s="1102">
        <v>1.0056798386356811</v>
      </c>
      <c r="D545" s="1102">
        <v>1.0167403898073246</v>
      </c>
      <c r="E545" s="1102">
        <v>0.96843758543687375</v>
      </c>
      <c r="F545" s="1102">
        <v>0.96936274988405402</v>
      </c>
      <c r="G545" s="1102">
        <v>1.0188748284768725</v>
      </c>
      <c r="H545" s="1102">
        <v>0.98531205569164781</v>
      </c>
      <c r="I545" s="1102">
        <v>0.97268289135111607</v>
      </c>
      <c r="K545">
        <v>1.5085343815694632</v>
      </c>
      <c r="L545">
        <v>0</v>
      </c>
      <c r="M545">
        <v>1.6134940307019523E-3</v>
      </c>
      <c r="N545">
        <v>0.13494343147335716</v>
      </c>
      <c r="O545">
        <v>0.11830102757398413</v>
      </c>
      <c r="P545">
        <v>1.4897423566996436E-2</v>
      </c>
      <c r="Q545">
        <v>8.589836239635732E-4</v>
      </c>
      <c r="R545">
        <v>1.609753938807803E-3</v>
      </c>
      <c r="S545">
        <v>0.113144445078914</v>
      </c>
      <c r="T545">
        <v>0.80200149106762231</v>
      </c>
      <c r="U545">
        <v>0</v>
      </c>
      <c r="V545">
        <v>0.20385583335355953</v>
      </c>
      <c r="W545">
        <v>9.0348649894222227E-2</v>
      </c>
      <c r="X545">
        <v>2.5805616462546688E-2</v>
      </c>
      <c r="Y545">
        <v>4.381219566191529E-3</v>
      </c>
    </row>
    <row r="546" spans="1:25" x14ac:dyDescent="0.25">
      <c r="A546" s="1098"/>
      <c r="B546" s="1457">
        <v>296</v>
      </c>
      <c r="C546" s="1102">
        <v>1.0238133563703482</v>
      </c>
      <c r="D546" s="1102">
        <v>1.0427563249263598</v>
      </c>
      <c r="E546" s="1102">
        <v>0.99640718022279473</v>
      </c>
      <c r="F546" s="1102">
        <v>0.9884049127695953</v>
      </c>
      <c r="G546" s="1102">
        <v>1.001294411280548</v>
      </c>
      <c r="H546" s="1102">
        <v>1.0060067238468917</v>
      </c>
      <c r="I546" s="1102">
        <v>0.9592628602561788</v>
      </c>
      <c r="K546">
        <v>1.5200263567757439</v>
      </c>
      <c r="L546">
        <v>0</v>
      </c>
      <c r="M546">
        <v>1.5096240329499208E-3</v>
      </c>
      <c r="N546">
        <v>0.137410129530221</v>
      </c>
      <c r="O546">
        <v>0.11757201594690178</v>
      </c>
      <c r="P546">
        <v>1.5332426162385091E-2</v>
      </c>
      <c r="Q546">
        <v>8.6009772948452128E-4</v>
      </c>
      <c r="R546">
        <v>1.5061915758849732E-3</v>
      </c>
      <c r="S546">
        <v>0.10971117593080558</v>
      </c>
      <c r="T546">
        <v>0.81591534985675174</v>
      </c>
      <c r="U546">
        <v>0</v>
      </c>
      <c r="V546">
        <v>0.20188043144037704</v>
      </c>
      <c r="W546">
        <v>9.0462352758723164E-2</v>
      </c>
      <c r="X546">
        <v>2.6786452923518802E-2</v>
      </c>
      <c r="Y546">
        <v>4.0993569536393482E-3</v>
      </c>
    </row>
    <row r="547" spans="1:25" x14ac:dyDescent="0.25">
      <c r="A547" s="1098"/>
      <c r="B547" s="1457">
        <v>297</v>
      </c>
      <c r="C547" s="1102">
        <v>1.0305878543970941</v>
      </c>
      <c r="D547" s="1102">
        <v>0.99122572532160658</v>
      </c>
      <c r="E547" s="1102">
        <v>1.012515774008131</v>
      </c>
      <c r="F547" s="1102">
        <v>1.0138075508254423</v>
      </c>
      <c r="G547" s="1102">
        <v>1.0061653846647229</v>
      </c>
      <c r="H547" s="1102">
        <v>0.98160896040785106</v>
      </c>
      <c r="I547" s="1102">
        <v>0.97929916029973374</v>
      </c>
      <c r="K547">
        <v>1.5537604823946971</v>
      </c>
      <c r="L547">
        <v>0</v>
      </c>
      <c r="M547">
        <v>1.4600225491334213E-3</v>
      </c>
      <c r="N547">
        <v>0.13951632533138852</v>
      </c>
      <c r="O547">
        <v>0.12114893842193263</v>
      </c>
      <c r="P547">
        <v>1.5871261329524787E-2</v>
      </c>
      <c r="Q547">
        <v>8.8659210064219191E-4</v>
      </c>
      <c r="R547">
        <v>1.4566572519786956E-3</v>
      </c>
      <c r="S547">
        <v>0.11304600867462213</v>
      </c>
      <c r="T547">
        <v>0.83580917266301791</v>
      </c>
      <c r="U547">
        <v>0</v>
      </c>
      <c r="V547">
        <v>0.20437967536739116</v>
      </c>
      <c r="W547">
        <v>9.0976824305107507E-2</v>
      </c>
      <c r="X547">
        <v>2.8164508645271751E-2</v>
      </c>
      <c r="Y547">
        <v>3.9645408529519468E-3</v>
      </c>
    </row>
    <row r="548" spans="1:25" x14ac:dyDescent="0.25">
      <c r="A548" s="1098"/>
      <c r="B548" s="1457">
        <v>298</v>
      </c>
      <c r="C548" s="1102">
        <v>1.0056623433636238</v>
      </c>
      <c r="D548" s="1102">
        <v>1.0099263901502407</v>
      </c>
      <c r="E548" s="1102">
        <v>0.97481704368192068</v>
      </c>
      <c r="F548" s="1102">
        <v>1.0272667824841772</v>
      </c>
      <c r="G548" s="1102">
        <v>1.0312489594687184</v>
      </c>
      <c r="H548" s="1102">
        <v>1.0231773910666921</v>
      </c>
      <c r="I548" s="1102">
        <v>1.0180665766833545</v>
      </c>
      <c r="K548">
        <v>1.5872159395972212</v>
      </c>
      <c r="L548">
        <v>0</v>
      </c>
      <c r="M548">
        <v>1.6671592133671201E-3</v>
      </c>
      <c r="N548">
        <v>0.14216479373656696</v>
      </c>
      <c r="O548">
        <v>0.122613863236939</v>
      </c>
      <c r="P548">
        <v>1.5777959162794064E-2</v>
      </c>
      <c r="Q548">
        <v>8.6711567653978503E-4</v>
      </c>
      <c r="R548">
        <v>1.6634580628962737E-3</v>
      </c>
      <c r="S548">
        <v>0.12228452835062284</v>
      </c>
      <c r="T548">
        <v>0.84946973046596286</v>
      </c>
      <c r="U548">
        <v>0</v>
      </c>
      <c r="V548">
        <v>0.20761452832296143</v>
      </c>
      <c r="W548">
        <v>9.4815184627711477E-2</v>
      </c>
      <c r="X548">
        <v>2.7084552679192193E-2</v>
      </c>
      <c r="Y548">
        <v>4.5273844884005975E-3</v>
      </c>
    </row>
    <row r="549" spans="1:25" x14ac:dyDescent="0.25">
      <c r="A549" s="1098"/>
      <c r="B549" s="1457">
        <v>299</v>
      </c>
      <c r="C549" s="1102">
        <v>0.95610971017019131</v>
      </c>
      <c r="D549" s="1102">
        <v>0.99143360907965272</v>
      </c>
      <c r="E549" s="1102">
        <v>0.99405581604512361</v>
      </c>
      <c r="F549" s="1102">
        <v>0.98886702623513711</v>
      </c>
      <c r="G549" s="1102">
        <v>1.0134043468139049</v>
      </c>
      <c r="H549" s="1102">
        <v>1.014126115625436</v>
      </c>
      <c r="I549" s="1102">
        <v>0.98162315150866408</v>
      </c>
      <c r="K549">
        <v>1.5740647911133119</v>
      </c>
      <c r="L549">
        <v>0</v>
      </c>
      <c r="M549">
        <v>1.676562228907182E-3</v>
      </c>
      <c r="N549">
        <v>0.1515285790045367</v>
      </c>
      <c r="O549">
        <v>0.12330158539827391</v>
      </c>
      <c r="P549">
        <v>1.5615514478942532E-2</v>
      </c>
      <c r="Q549">
        <v>9.3749093610987725E-4</v>
      </c>
      <c r="R549">
        <v>1.6727934337696594E-3</v>
      </c>
      <c r="S549">
        <v>0.12413560431024755</v>
      </c>
      <c r="T549">
        <v>0.81645067157370466</v>
      </c>
      <c r="U549">
        <v>0</v>
      </c>
      <c r="V549">
        <v>0.20974562024052604</v>
      </c>
      <c r="W549">
        <v>9.989710597242836E-2</v>
      </c>
      <c r="X549">
        <v>2.7903595703164596E-2</v>
      </c>
      <c r="Y549">
        <v>4.5527922905137744E-3</v>
      </c>
    </row>
    <row r="550" spans="1:25" x14ac:dyDescent="0.25">
      <c r="A550" s="1098"/>
      <c r="B550" s="1457">
        <v>300</v>
      </c>
      <c r="C550" s="1102">
        <v>0.98233458994658529</v>
      </c>
      <c r="D550" s="1102">
        <v>0.9892896212956469</v>
      </c>
      <c r="E550" s="1102">
        <v>0.95125962937193742</v>
      </c>
      <c r="F550" s="1102">
        <v>1.0028738596806794</v>
      </c>
      <c r="G550" s="1102">
        <v>0.98371983997644707</v>
      </c>
      <c r="H550" s="1102">
        <v>1.0080050445034472</v>
      </c>
      <c r="I550" s="1102">
        <v>0.99055444975314877</v>
      </c>
      <c r="K550">
        <v>1.5665191094119619</v>
      </c>
      <c r="L550">
        <v>0</v>
      </c>
      <c r="M550">
        <v>1.7796209975690354E-3</v>
      </c>
      <c r="N550">
        <v>0.141297378872416</v>
      </c>
      <c r="O550">
        <v>0.1231088535032574</v>
      </c>
      <c r="P550">
        <v>1.5231709167422622E-2</v>
      </c>
      <c r="Q550">
        <v>8.7304529435072253E-4</v>
      </c>
      <c r="R550">
        <v>1.7756103620150047E-3</v>
      </c>
      <c r="S550">
        <v>0.12175964663027797</v>
      </c>
      <c r="T550">
        <v>0.83088642655050049</v>
      </c>
      <c r="U550">
        <v>0</v>
      </c>
      <c r="V550">
        <v>0.20678597076421226</v>
      </c>
      <c r="W550">
        <v>9.5605183598635693E-2</v>
      </c>
      <c r="X550">
        <v>2.6142279590835052E-2</v>
      </c>
      <c r="Y550">
        <v>4.8326260756063142E-3</v>
      </c>
    </row>
    <row r="551" spans="1:25" x14ac:dyDescent="0.25">
      <c r="A551" s="1098"/>
      <c r="B551" s="1457">
        <v>301</v>
      </c>
      <c r="C551" s="1102">
        <v>1.0155993076862515</v>
      </c>
      <c r="D551" s="1102">
        <v>1.0013507001364388</v>
      </c>
      <c r="E551" s="1102">
        <v>1.0210252793939685</v>
      </c>
      <c r="F551" s="1102">
        <v>1.0309790282366129</v>
      </c>
      <c r="G551" s="1102">
        <v>0.99135241884444647</v>
      </c>
      <c r="H551" s="1102">
        <v>0.98759691025688301</v>
      </c>
      <c r="I551" s="1102">
        <v>0.99066432386481806</v>
      </c>
      <c r="K551">
        <v>1.5787096303653463</v>
      </c>
      <c r="L551">
        <v>0</v>
      </c>
      <c r="M551">
        <v>1.4562907905513868E-3</v>
      </c>
      <c r="N551">
        <v>0.14278075952385402</v>
      </c>
      <c r="O551">
        <v>0.12260587828630094</v>
      </c>
      <c r="P551">
        <v>1.6213409992063346E-2</v>
      </c>
      <c r="Q551">
        <v>9.0389643476438081E-4</v>
      </c>
      <c r="R551">
        <v>1.4529493404533058E-3</v>
      </c>
      <c r="S551">
        <v>0.1158362390813539</v>
      </c>
      <c r="T551">
        <v>0.84939138702949313</v>
      </c>
      <c r="U551">
        <v>0</v>
      </c>
      <c r="V551">
        <v>0.20551822848489851</v>
      </c>
      <c r="W551">
        <v>9.2641971212506058E-2</v>
      </c>
      <c r="X551">
        <v>2.8866752630117051E-2</v>
      </c>
      <c r="Y551">
        <v>3.9544491400925422E-3</v>
      </c>
    </row>
    <row r="552" spans="1:25" x14ac:dyDescent="0.25">
      <c r="A552" s="1098"/>
      <c r="B552" s="1457">
        <v>302</v>
      </c>
      <c r="C552" s="1102">
        <v>1.0174014366485946</v>
      </c>
      <c r="D552" s="1102">
        <v>0.98704921576474236</v>
      </c>
      <c r="E552" s="1102">
        <v>0.98773449668500468</v>
      </c>
      <c r="F552" s="1102">
        <v>1.0325134566333642</v>
      </c>
      <c r="G552" s="1102">
        <v>0.96036079360157212</v>
      </c>
      <c r="H552" s="1102">
        <v>0.97287315612818659</v>
      </c>
      <c r="I552" s="1102">
        <v>0.98740060611259617</v>
      </c>
      <c r="K552">
        <v>1.5723650413221055</v>
      </c>
      <c r="L552">
        <v>0</v>
      </c>
      <c r="M552">
        <v>1.5475072454913732E-3</v>
      </c>
      <c r="N552">
        <v>0.13720665242899052</v>
      </c>
      <c r="O552">
        <v>0.12336476353357059</v>
      </c>
      <c r="P552">
        <v>1.5839351924484778E-2</v>
      </c>
      <c r="Q552">
        <v>8.767831142756392E-4</v>
      </c>
      <c r="R552">
        <v>1.5439124484777831E-3</v>
      </c>
      <c r="S552">
        <v>0.11505931804687428</v>
      </c>
      <c r="T552">
        <v>0.85291980315824278</v>
      </c>
      <c r="U552">
        <v>0</v>
      </c>
      <c r="V552">
        <v>0.20443107704248764</v>
      </c>
      <c r="W552">
        <v>9.0798144384775639E-2</v>
      </c>
      <c r="X552">
        <v>2.7670721751263411E-2</v>
      </c>
      <c r="Y552">
        <v>4.2020207341546684E-3</v>
      </c>
    </row>
    <row r="553" spans="1:25" x14ac:dyDescent="0.25">
      <c r="A553" s="1098"/>
      <c r="B553" s="1457">
        <v>303</v>
      </c>
      <c r="C553" s="1102">
        <v>0.97382688508909221</v>
      </c>
      <c r="D553" s="1102">
        <v>1.0058423092664466</v>
      </c>
      <c r="E553" s="1102">
        <v>0.98137238942187799</v>
      </c>
      <c r="F553" s="1102">
        <v>0.99993577970459435</v>
      </c>
      <c r="G553" s="1102">
        <v>1.0008577339957785</v>
      </c>
      <c r="H553" s="1102">
        <v>1.0381388306625943</v>
      </c>
      <c r="I553" s="1102">
        <v>1.0342166430664699</v>
      </c>
      <c r="K553">
        <v>1.5836265122029367</v>
      </c>
      <c r="L553">
        <v>0</v>
      </c>
      <c r="M553">
        <v>1.7197540779278807E-3</v>
      </c>
      <c r="N553">
        <v>0.14959147460256259</v>
      </c>
      <c r="O553">
        <v>0.12252936733868941</v>
      </c>
      <c r="P553">
        <v>1.5645394263525455E-2</v>
      </c>
      <c r="Q553">
        <v>9.0310424153550281E-4</v>
      </c>
      <c r="R553">
        <v>1.7159772603274742E-3</v>
      </c>
      <c r="S553">
        <v>0.12948679362368401</v>
      </c>
      <c r="T553">
        <v>0.82643176609267699</v>
      </c>
      <c r="U553">
        <v>0</v>
      </c>
      <c r="V553">
        <v>0.20770313630717918</v>
      </c>
      <c r="W553">
        <v>9.9373599909773541E-2</v>
      </c>
      <c r="X553">
        <v>2.7295328210049461E-2</v>
      </c>
      <c r="Y553">
        <v>4.6703244308595451E-3</v>
      </c>
    </row>
    <row r="554" spans="1:25" x14ac:dyDescent="0.25">
      <c r="A554" s="1098"/>
      <c r="B554" s="1457">
        <v>304</v>
      </c>
      <c r="C554" s="1102">
        <v>0.9917274341511958</v>
      </c>
      <c r="D554" s="1102">
        <v>1.0090761758190692</v>
      </c>
      <c r="E554" s="1102">
        <v>0.9607736565972016</v>
      </c>
      <c r="F554" s="1102">
        <v>1.0027801201182975</v>
      </c>
      <c r="G554" s="1102">
        <v>1.0134462699179141</v>
      </c>
      <c r="H554" s="1102">
        <v>1.0288606496707378</v>
      </c>
      <c r="I554" s="1102">
        <v>0.97347180270211275</v>
      </c>
      <c r="K554">
        <v>1.5632506851543113</v>
      </c>
      <c r="L554">
        <v>0</v>
      </c>
      <c r="M554">
        <v>1.7458992393937049E-3</v>
      </c>
      <c r="N554">
        <v>0.1426812659996731</v>
      </c>
      <c r="O554">
        <v>0.12170951508342266</v>
      </c>
      <c r="P554">
        <v>1.5295559220578851E-2</v>
      </c>
      <c r="Q554">
        <v>8.6666216061541586E-4</v>
      </c>
      <c r="R554">
        <v>1.7420344176057043E-3</v>
      </c>
      <c r="S554">
        <v>0.11882129231388708</v>
      </c>
      <c r="T554">
        <v>0.83016543124084563</v>
      </c>
      <c r="U554">
        <v>0</v>
      </c>
      <c r="V554">
        <v>0.20673136085834215</v>
      </c>
      <c r="W554">
        <v>9.597792438123344E-2</v>
      </c>
      <c r="X554">
        <v>2.6264295294269963E-2</v>
      </c>
      <c r="Y554">
        <v>4.7412434232312981E-3</v>
      </c>
    </row>
    <row r="555" spans="1:25" x14ac:dyDescent="0.25">
      <c r="A555" s="1098"/>
      <c r="B555" s="1457">
        <v>305</v>
      </c>
      <c r="C555" s="1102">
        <v>1.0040742112778986</v>
      </c>
      <c r="D555" s="1102">
        <v>0.97838671033492908</v>
      </c>
      <c r="E555" s="1102">
        <v>0.98735637835909817</v>
      </c>
      <c r="F555" s="1102">
        <v>1.0157801650714304</v>
      </c>
      <c r="G555" s="1102">
        <v>1.0079290782503221</v>
      </c>
      <c r="H555" s="1102">
        <v>0.98896586672881914</v>
      </c>
      <c r="I555" s="1102">
        <v>0.99015220717207275</v>
      </c>
      <c r="K555">
        <v>1.5721819654462215</v>
      </c>
      <c r="L555">
        <v>0</v>
      </c>
      <c r="M555">
        <v>1.5997285356600939E-3</v>
      </c>
      <c r="N555">
        <v>0.14167979913119697</v>
      </c>
      <c r="O555">
        <v>0.12327854656620847</v>
      </c>
      <c r="P555">
        <v>1.5732813917410219E-2</v>
      </c>
      <c r="Q555">
        <v>8.9120706808615692E-4</v>
      </c>
      <c r="R555">
        <v>1.5960702957864307E-3</v>
      </c>
      <c r="S555">
        <v>0.11863515689827295</v>
      </c>
      <c r="T555">
        <v>0.83912258162778863</v>
      </c>
      <c r="U555">
        <v>0</v>
      </c>
      <c r="V555">
        <v>0.20709005534227606</v>
      </c>
      <c r="W555">
        <v>9.3779584198740371E-2</v>
      </c>
      <c r="X555">
        <v>2.7631901735415586E-2</v>
      </c>
      <c r="Y555">
        <v>4.343977200699063E-3</v>
      </c>
    </row>
    <row r="556" spans="1:25" x14ac:dyDescent="0.25">
      <c r="A556" s="1098"/>
      <c r="B556" s="1457">
        <v>306</v>
      </c>
      <c r="C556" s="1102">
        <v>0.97855907418451471</v>
      </c>
      <c r="D556" s="1102">
        <v>1.0046010442818256</v>
      </c>
      <c r="E556" s="1102">
        <v>1.0032751345896491</v>
      </c>
      <c r="F556" s="1102">
        <v>0.96403475488411305</v>
      </c>
      <c r="G556" s="1102">
        <v>0.98177661992429222</v>
      </c>
      <c r="H556" s="1102">
        <v>0.99685320201280703</v>
      </c>
      <c r="I556" s="1102">
        <v>1.0129597684165514</v>
      </c>
      <c r="K556">
        <v>1.5316643625126485</v>
      </c>
      <c r="L556">
        <v>0</v>
      </c>
      <c r="M556">
        <v>1.5676440428549639E-3</v>
      </c>
      <c r="N556">
        <v>0.14568029894047899</v>
      </c>
      <c r="O556">
        <v>0.11971734413074341</v>
      </c>
      <c r="P556">
        <v>1.5346572452177196E-2</v>
      </c>
      <c r="Q556">
        <v>9.1991983587933943E-4</v>
      </c>
      <c r="R556">
        <v>1.5640504602722983E-3</v>
      </c>
      <c r="S556">
        <v>0.12277355252176636</v>
      </c>
      <c r="T556">
        <v>0.79536099305721097</v>
      </c>
      <c r="U556">
        <v>0</v>
      </c>
      <c r="V556">
        <v>0.20461958139770317</v>
      </c>
      <c r="W556">
        <v>9.551618464918489E-2</v>
      </c>
      <c r="X556">
        <v>2.7476679346320795E-2</v>
      </c>
      <c r="Y556">
        <v>4.2568297637655354E-3</v>
      </c>
    </row>
    <row r="557" spans="1:25" x14ac:dyDescent="0.25">
      <c r="A557" s="1098"/>
      <c r="B557" s="1457">
        <v>307</v>
      </c>
      <c r="C557" s="1102">
        <v>0.97606223087242017</v>
      </c>
      <c r="D557" s="1102">
        <v>0.9961955637899127</v>
      </c>
      <c r="E557" s="1102">
        <v>1.0197033803492979</v>
      </c>
      <c r="F557" s="1102">
        <v>0.97493783256951361</v>
      </c>
      <c r="G557" s="1102">
        <v>1.004770210170933</v>
      </c>
      <c r="H557" s="1102">
        <v>0.96587236275338406</v>
      </c>
      <c r="I557" s="1102">
        <v>1.0144937261812292</v>
      </c>
      <c r="K557">
        <v>1.539703246187736</v>
      </c>
      <c r="L557">
        <v>0</v>
      </c>
      <c r="M557">
        <v>1.4796965531303804E-3</v>
      </c>
      <c r="N557">
        <v>0.14448854606047729</v>
      </c>
      <c r="O557">
        <v>0.12094755548382821</v>
      </c>
      <c r="P557">
        <v>1.5654522548335163E-2</v>
      </c>
      <c r="Q557">
        <v>9.4117717174485582E-4</v>
      </c>
      <c r="R557">
        <v>1.4762029700995537E-3</v>
      </c>
      <c r="S557">
        <v>0.12143137725815499</v>
      </c>
      <c r="T557">
        <v>0.8033050269971872</v>
      </c>
      <c r="U557">
        <v>0</v>
      </c>
      <c r="V557">
        <v>0.206729875832289</v>
      </c>
      <c r="W557">
        <v>9.382256444690508E-2</v>
      </c>
      <c r="X557">
        <v>2.8368356117412907E-2</v>
      </c>
      <c r="Y557">
        <v>4.017737854432676E-3</v>
      </c>
    </row>
    <row r="558" spans="1:25" x14ac:dyDescent="0.25">
      <c r="A558" s="1098"/>
      <c r="B558" s="1457">
        <v>308</v>
      </c>
      <c r="C558" s="1102">
        <v>0.9989492554037871</v>
      </c>
      <c r="D558" s="1102">
        <v>1.0017916273449603</v>
      </c>
      <c r="E558" s="1102">
        <v>1.0118382099441146</v>
      </c>
      <c r="F558" s="1102">
        <v>1.0167031452204003</v>
      </c>
      <c r="G558" s="1102">
        <v>0.95944925903777123</v>
      </c>
      <c r="H558" s="1102">
        <v>0.99929103139126008</v>
      </c>
      <c r="I558" s="1102">
        <v>0.98358742655307285</v>
      </c>
      <c r="K558">
        <v>1.5725594220865937</v>
      </c>
      <c r="L558">
        <v>0</v>
      </c>
      <c r="M558">
        <v>1.5232368776191471E-3</v>
      </c>
      <c r="N558">
        <v>0.14526422192499377</v>
      </c>
      <c r="O558">
        <v>0.12248532107895849</v>
      </c>
      <c r="P558">
        <v>1.5964332155129598E-2</v>
      </c>
      <c r="Q558">
        <v>9.1016555101065529E-4</v>
      </c>
      <c r="R558">
        <v>1.5197748174423154E-3</v>
      </c>
      <c r="S558">
        <v>0.11761992349777819</v>
      </c>
      <c r="T558">
        <v>0.83824158047256503</v>
      </c>
      <c r="U558">
        <v>0</v>
      </c>
      <c r="V558">
        <v>0.20471255865721485</v>
      </c>
      <c r="W558">
        <v>9.4762744108167998E-2</v>
      </c>
      <c r="X558">
        <v>2.8465710641508581E-2</v>
      </c>
      <c r="Y558">
        <v>4.1363260594440591E-3</v>
      </c>
    </row>
    <row r="559" spans="1:25" x14ac:dyDescent="0.25">
      <c r="A559" s="1098"/>
      <c r="B559" s="1457">
        <v>309</v>
      </c>
      <c r="C559" s="1102">
        <v>1.0302277671673306</v>
      </c>
      <c r="D559" s="1102">
        <v>0.98602229237134953</v>
      </c>
      <c r="E559" s="1102">
        <v>1.0182115668887191</v>
      </c>
      <c r="F559" s="1102">
        <v>0.99995261281283598</v>
      </c>
      <c r="G559" s="1102">
        <v>1.0309112633960937</v>
      </c>
      <c r="H559" s="1102">
        <v>0.99634023222545298</v>
      </c>
      <c r="I559" s="1102">
        <v>0.98464821930937307</v>
      </c>
      <c r="K559">
        <v>1.5488951784623448</v>
      </c>
      <c r="L559">
        <v>0</v>
      </c>
      <c r="M559">
        <v>1.4678301283385497E-3</v>
      </c>
      <c r="N559">
        <v>0.14269900189564866</v>
      </c>
      <c r="O559">
        <v>0.12041508321935336</v>
      </c>
      <c r="P559">
        <v>1.5811909054169446E-2</v>
      </c>
      <c r="Q559">
        <v>8.9399232569764163E-4</v>
      </c>
      <c r="R559">
        <v>1.4644962764997684E-3</v>
      </c>
      <c r="S559">
        <v>0.11512052584813794</v>
      </c>
      <c r="T559">
        <v>0.82401364575077396</v>
      </c>
      <c r="U559">
        <v>0</v>
      </c>
      <c r="V559">
        <v>0.20497336482636544</v>
      </c>
      <c r="W559">
        <v>9.2741512120325456E-2</v>
      </c>
      <c r="X559">
        <v>2.8243601180146245E-2</v>
      </c>
      <c r="Y559">
        <v>3.9858760935645677E-3</v>
      </c>
    </row>
    <row r="560" spans="1:25" x14ac:dyDescent="0.25">
      <c r="A560" s="1098"/>
      <c r="B560" s="1457">
        <v>310</v>
      </c>
      <c r="C560" s="1102">
        <v>1.0120094296901601</v>
      </c>
      <c r="D560" s="1102">
        <v>0.98337110498851232</v>
      </c>
      <c r="E560" s="1102">
        <v>1.0071797061527368</v>
      </c>
      <c r="F560" s="1102">
        <v>0.99240511363338302</v>
      </c>
      <c r="G560" s="1102">
        <v>1.0013698959378901</v>
      </c>
      <c r="H560" s="1102">
        <v>1.0129693944451887</v>
      </c>
      <c r="I560" s="1102">
        <v>1.0269906582143991</v>
      </c>
      <c r="K560">
        <v>1.5583479295914879</v>
      </c>
      <c r="L560">
        <v>0</v>
      </c>
      <c r="M560">
        <v>1.5538548012825342E-3</v>
      </c>
      <c r="N560">
        <v>0.14611977854026176</v>
      </c>
      <c r="O560">
        <v>0.12094180901963029</v>
      </c>
      <c r="P560">
        <v>1.5722215914438117E-2</v>
      </c>
      <c r="Q560">
        <v>9.0077475228771511E-4</v>
      </c>
      <c r="R560">
        <v>1.5503784770442258E-3</v>
      </c>
      <c r="S560">
        <v>0.12360494758189038</v>
      </c>
      <c r="T560">
        <v>0.81851234537280271</v>
      </c>
      <c r="U560">
        <v>0</v>
      </c>
      <c r="V560">
        <v>0.20479330034829382</v>
      </c>
      <c r="W560">
        <v>9.5583173269169625E-2</v>
      </c>
      <c r="X560">
        <v>2.7953441984564096E-2</v>
      </c>
      <c r="Y560">
        <v>4.2196191323867812E-3</v>
      </c>
    </row>
    <row r="561" spans="1:25" x14ac:dyDescent="0.25">
      <c r="A561" s="1098"/>
      <c r="B561" s="1457">
        <v>311</v>
      </c>
      <c r="C561" s="1102">
        <v>1.0342736135732482</v>
      </c>
      <c r="D561" s="1102">
        <v>1.0178301917273034</v>
      </c>
      <c r="E561" s="1102">
        <v>1.0261561834613744</v>
      </c>
      <c r="F561" s="1102">
        <v>0.97234896788084768</v>
      </c>
      <c r="G561" s="1102">
        <v>0.96116627173423608</v>
      </c>
      <c r="H561" s="1102">
        <v>1.0224950211799562</v>
      </c>
      <c r="I561" s="1102">
        <v>0.98335441539693036</v>
      </c>
      <c r="K561">
        <v>1.5164270433472584</v>
      </c>
      <c r="L561">
        <v>0</v>
      </c>
      <c r="M561">
        <v>1.446857434712146E-3</v>
      </c>
      <c r="N561">
        <v>0.14407758062179618</v>
      </c>
      <c r="O561">
        <v>0.11691234851930671</v>
      </c>
      <c r="P561">
        <v>1.5487460848782955E-2</v>
      </c>
      <c r="Q561">
        <v>8.8644450090574257E-4</v>
      </c>
      <c r="R561">
        <v>1.4436323035009095E-3</v>
      </c>
      <c r="S561">
        <v>0.11419886689010016</v>
      </c>
      <c r="T561">
        <v>0.80076237037714193</v>
      </c>
      <c r="U561">
        <v>0</v>
      </c>
      <c r="V561">
        <v>0.19916943935044906</v>
      </c>
      <c r="W561">
        <v>9.3203987342604003E-2</v>
      </c>
      <c r="X561">
        <v>2.7802678790514623E-2</v>
      </c>
      <c r="Y561">
        <v>3.9290912368685257E-3</v>
      </c>
    </row>
    <row r="562" spans="1:25" x14ac:dyDescent="0.25">
      <c r="A562" s="1098"/>
      <c r="B562" s="1457">
        <v>312</v>
      </c>
      <c r="C562" s="1102">
        <v>0.98637123027370832</v>
      </c>
      <c r="D562" s="1102">
        <v>1.0154430117892141</v>
      </c>
      <c r="E562" s="1102">
        <v>0.96666886709706956</v>
      </c>
      <c r="F562" s="1102">
        <v>1.0209164591263573</v>
      </c>
      <c r="G562" s="1102">
        <v>0.97719531941735671</v>
      </c>
      <c r="H562" s="1102">
        <v>0.98362570502985147</v>
      </c>
      <c r="I562" s="1102">
        <v>0.97682051780004209</v>
      </c>
      <c r="K562">
        <v>1.5674392307151299</v>
      </c>
      <c r="L562">
        <v>0</v>
      </c>
      <c r="M562">
        <v>1.6536061362356913E-3</v>
      </c>
      <c r="N562">
        <v>0.13755969538650015</v>
      </c>
      <c r="O562">
        <v>0.12295714740045927</v>
      </c>
      <c r="P562">
        <v>1.5516318756838999E-2</v>
      </c>
      <c r="Q562">
        <v>8.7461249054662891E-4</v>
      </c>
      <c r="R562">
        <v>1.6497769313462099E-3</v>
      </c>
      <c r="S562">
        <v>0.11599603532352104</v>
      </c>
      <c r="T562">
        <v>0.84477550317929162</v>
      </c>
      <c r="U562">
        <v>0</v>
      </c>
      <c r="V562">
        <v>0.20631291533224788</v>
      </c>
      <c r="W562">
        <v>9.2199709132239877E-2</v>
      </c>
      <c r="X562">
        <v>2.6760973960066433E-2</v>
      </c>
      <c r="Y562">
        <v>4.4901489583051282E-3</v>
      </c>
    </row>
    <row r="563" spans="1:25" x14ac:dyDescent="0.25">
      <c r="A563" s="1098"/>
      <c r="B563" s="1457">
        <v>313</v>
      </c>
      <c r="C563" s="1102">
        <v>1.01529170478013</v>
      </c>
      <c r="D563" s="1102">
        <v>1.0452915667218368</v>
      </c>
      <c r="E563" s="1102">
        <v>1.0305843712736726</v>
      </c>
      <c r="F563" s="1102">
        <v>0.99826817125988121</v>
      </c>
      <c r="G563" s="1102">
        <v>0.973291266923068</v>
      </c>
      <c r="H563" s="1102">
        <v>1.0274449332647746</v>
      </c>
      <c r="I563" s="1102">
        <v>0.9996778559012981</v>
      </c>
      <c r="K563">
        <v>1.5481872003534822</v>
      </c>
      <c r="L563">
        <v>0</v>
      </c>
      <c r="M563">
        <v>1.446323236999177E-3</v>
      </c>
      <c r="N563">
        <v>0.14596042299035786</v>
      </c>
      <c r="O563">
        <v>0.11846762758439874</v>
      </c>
      <c r="P563">
        <v>1.5904558284930391E-2</v>
      </c>
      <c r="Q563">
        <v>8.9750201975320829E-4</v>
      </c>
      <c r="R563">
        <v>1.4431024594883102E-3</v>
      </c>
      <c r="S563">
        <v>0.11683442969919781</v>
      </c>
      <c r="T563">
        <v>0.8218199501818525</v>
      </c>
      <c r="U563">
        <v>0</v>
      </c>
      <c r="V563">
        <v>0.20180094833112375</v>
      </c>
      <c r="W563">
        <v>9.4179294859321971E-2</v>
      </c>
      <c r="X563">
        <v>2.8398038003927224E-2</v>
      </c>
      <c r="Y563">
        <v>3.9276491761292623E-3</v>
      </c>
    </row>
    <row r="564" spans="1:25" x14ac:dyDescent="0.25">
      <c r="A564" s="1098"/>
      <c r="B564" s="1457">
        <v>314</v>
      </c>
      <c r="C564" s="1102">
        <v>1.0205934275567683</v>
      </c>
      <c r="D564" s="1102">
        <v>0.9855808823855976</v>
      </c>
      <c r="E564" s="1102">
        <v>1.0175797586309152</v>
      </c>
      <c r="F564" s="1102">
        <v>1.00125043039393</v>
      </c>
      <c r="G564" s="1102">
        <v>0.95855774415218631</v>
      </c>
      <c r="H564" s="1102">
        <v>1.0246876483768739</v>
      </c>
      <c r="I564" s="1102">
        <v>0.97407532804635677</v>
      </c>
      <c r="K564">
        <v>1.5593073580253802</v>
      </c>
      <c r="L564">
        <v>0</v>
      </c>
      <c r="M564">
        <v>1.5253457137366071E-3</v>
      </c>
      <c r="N564">
        <v>0.14801726660032219</v>
      </c>
      <c r="O564">
        <v>0.12100975430868234</v>
      </c>
      <c r="P564">
        <v>1.5814276167137039E-2</v>
      </c>
      <c r="Q564">
        <v>9.0200773722532931E-4</v>
      </c>
      <c r="R564">
        <v>1.5219753614521877E-3</v>
      </c>
      <c r="S564">
        <v>0.11711126997551656</v>
      </c>
      <c r="T564">
        <v>0.82512451044505597</v>
      </c>
      <c r="U564">
        <v>0</v>
      </c>
      <c r="V564">
        <v>0.20257400203498363</v>
      </c>
      <c r="W564">
        <v>9.6233529892570127E-2</v>
      </c>
      <c r="X564">
        <v>2.8381796001342791E-2</v>
      </c>
      <c r="Y564">
        <v>4.1423152148297926E-3</v>
      </c>
    </row>
    <row r="565" spans="1:25" x14ac:dyDescent="0.25">
      <c r="A565" s="1098"/>
      <c r="B565" s="1457">
        <v>315</v>
      </c>
      <c r="C565" s="1102">
        <v>1.0106863162806505</v>
      </c>
      <c r="D565" s="1102">
        <v>1.0038031071541775</v>
      </c>
      <c r="E565" s="1102">
        <v>0.99348130310404803</v>
      </c>
      <c r="F565" s="1102">
        <v>0.99484498702983315</v>
      </c>
      <c r="G565" s="1102">
        <v>0.95279046589022087</v>
      </c>
      <c r="H565" s="1102">
        <v>0.97414433193351635</v>
      </c>
      <c r="I565" s="1102">
        <v>1.0209943086351509</v>
      </c>
      <c r="K565">
        <v>1.5379268671216206</v>
      </c>
      <c r="L565">
        <v>0</v>
      </c>
      <c r="M565">
        <v>1.5217007315363699E-3</v>
      </c>
      <c r="N565">
        <v>0.13728163153668133</v>
      </c>
      <c r="O565">
        <v>0.12032500562082875</v>
      </c>
      <c r="P565">
        <v>1.5496259400820309E-2</v>
      </c>
      <c r="Q565">
        <v>8.8195191869384546E-4</v>
      </c>
      <c r="R565">
        <v>1.5181488623079232E-3</v>
      </c>
      <c r="S565">
        <v>0.11842135931510697</v>
      </c>
      <c r="T565">
        <v>0.82142417567529258</v>
      </c>
      <c r="U565">
        <v>0</v>
      </c>
      <c r="V565">
        <v>0.20220586856796019</v>
      </c>
      <c r="W565">
        <v>9.0535689585345594E-2</v>
      </c>
      <c r="X565">
        <v>2.7226576624555639E-2</v>
      </c>
      <c r="Y565">
        <v>4.1319007455642076E-3</v>
      </c>
    </row>
    <row r="566" spans="1:25" x14ac:dyDescent="0.25">
      <c r="A566" s="1098"/>
      <c r="B566" s="1457">
        <v>316</v>
      </c>
      <c r="C566" s="1102">
        <v>1.0052354390239662</v>
      </c>
      <c r="D566" s="1102">
        <v>1.0026226761677273</v>
      </c>
      <c r="E566" s="1102">
        <v>0.98145603250619196</v>
      </c>
      <c r="F566" s="1102">
        <v>1.033554021597662</v>
      </c>
      <c r="G566" s="1102">
        <v>1.0447954799206174</v>
      </c>
      <c r="H566" s="1102">
        <v>1.0165844399852797</v>
      </c>
      <c r="I566" s="1102">
        <v>0.9910621840415712</v>
      </c>
      <c r="K566">
        <v>1.5920202728932571</v>
      </c>
      <c r="L566">
        <v>0</v>
      </c>
      <c r="M566">
        <v>1.6419945007483279E-3</v>
      </c>
      <c r="N566">
        <v>0.14285881001393533</v>
      </c>
      <c r="O566">
        <v>0.12337556385946363</v>
      </c>
      <c r="P566">
        <v>1.5895502024235519E-2</v>
      </c>
      <c r="Q566">
        <v>8.7608620193658669E-4</v>
      </c>
      <c r="R566">
        <v>1.6383316282582597E-3</v>
      </c>
      <c r="S566">
        <v>0.11914030771717944</v>
      </c>
      <c r="T566">
        <v>0.85421097472189078</v>
      </c>
      <c r="U566">
        <v>0</v>
      </c>
      <c r="V566">
        <v>0.20881514238108015</v>
      </c>
      <c r="W566">
        <v>9.4896304022402719E-2</v>
      </c>
      <c r="X566">
        <v>2.7496246207380441E-2</v>
      </c>
      <c r="Y566">
        <v>4.4589986162428766E-3</v>
      </c>
    </row>
    <row r="567" spans="1:25" x14ac:dyDescent="0.25">
      <c r="A567" s="1098"/>
      <c r="B567" s="1457">
        <v>317</v>
      </c>
      <c r="C567" s="1102">
        <v>1.0052594530191996</v>
      </c>
      <c r="D567" s="1102">
        <v>1.0400759815364851</v>
      </c>
      <c r="E567" s="1102">
        <v>1.0302201511608648</v>
      </c>
      <c r="F567" s="1102">
        <v>0.98973215051824526</v>
      </c>
      <c r="G567" s="1102">
        <v>1.0255224403223813</v>
      </c>
      <c r="H567" s="1102">
        <v>1.0237230251757137</v>
      </c>
      <c r="I567" s="1102">
        <v>1.0093176649611812</v>
      </c>
      <c r="K567">
        <v>1.5483189198698721</v>
      </c>
      <c r="L567">
        <v>0</v>
      </c>
      <c r="M567">
        <v>1.4588012160827745E-3</v>
      </c>
      <c r="N567">
        <v>0.14705678152982601</v>
      </c>
      <c r="O567">
        <v>0.1185969099076508</v>
      </c>
      <c r="P567">
        <v>1.5874601308427293E-2</v>
      </c>
      <c r="Q567">
        <v>9.0793693150313865E-4</v>
      </c>
      <c r="R567">
        <v>1.4555393060505354E-3</v>
      </c>
      <c r="S567">
        <v>0.11909910429982848</v>
      </c>
      <c r="T567">
        <v>0.81481615066740865</v>
      </c>
      <c r="U567">
        <v>0</v>
      </c>
      <c r="V567">
        <v>0.20468776518929105</v>
      </c>
      <c r="W567">
        <v>9.4906764500059249E-2</v>
      </c>
      <c r="X567">
        <v>2.841466927324203E-2</v>
      </c>
      <c r="Y567">
        <v>3.9614981726662727E-3</v>
      </c>
    </row>
    <row r="568" spans="1:25" x14ac:dyDescent="0.25">
      <c r="A568" s="1098"/>
      <c r="B568" s="1457">
        <v>318</v>
      </c>
      <c r="C568" s="1102">
        <v>1.0082083721924093</v>
      </c>
      <c r="D568" s="1102">
        <v>1.0014609549927664</v>
      </c>
      <c r="E568" s="1102">
        <v>0.98578078590033735</v>
      </c>
      <c r="F568" s="1102">
        <v>0.96428436846359167</v>
      </c>
      <c r="G568" s="1102">
        <v>0.97726670879577271</v>
      </c>
      <c r="H568" s="1102">
        <v>1.0056313649713566</v>
      </c>
      <c r="I568" s="1102">
        <v>1.0118934106786295</v>
      </c>
      <c r="K568">
        <v>1.5181800728620323</v>
      </c>
      <c r="L568">
        <v>0</v>
      </c>
      <c r="M568">
        <v>1.5980462483779936E-3</v>
      </c>
      <c r="N568">
        <v>0.14086096164765427</v>
      </c>
      <c r="O568">
        <v>0.11841544694888247</v>
      </c>
      <c r="P568">
        <v>1.5092518175487043E-2</v>
      </c>
      <c r="Q568">
        <v>8.7786995363534407E-4</v>
      </c>
      <c r="R568">
        <v>1.5944250300863531E-3</v>
      </c>
      <c r="S568">
        <v>0.12010113285298488</v>
      </c>
      <c r="T568">
        <v>0.79668353922531054</v>
      </c>
      <c r="U568">
        <v>0</v>
      </c>
      <c r="V568">
        <v>0.20197638942533055</v>
      </c>
      <c r="W568">
        <v>9.3325871465818014E-2</v>
      </c>
      <c r="X568">
        <v>2.6510465055395737E-2</v>
      </c>
      <c r="Y568">
        <v>4.3394993298251439E-3</v>
      </c>
    </row>
    <row r="569" spans="1:25" x14ac:dyDescent="0.25">
      <c r="A569" s="1098"/>
      <c r="B569" s="1457">
        <v>319</v>
      </c>
      <c r="C569" s="1102">
        <v>0.98785110627181327</v>
      </c>
      <c r="D569" s="1102">
        <v>1.0134000913451582</v>
      </c>
      <c r="E569" s="1102">
        <v>0.99382083798268395</v>
      </c>
      <c r="F569" s="1102">
        <v>1.0077285857757881</v>
      </c>
      <c r="G569" s="1102">
        <v>0.99578339645699721</v>
      </c>
      <c r="H569" s="1102">
        <v>0.99792580656282448</v>
      </c>
      <c r="I569" s="1102">
        <v>0.97431398956688486</v>
      </c>
      <c r="K569">
        <v>1.5631212703121911</v>
      </c>
      <c r="L569">
        <v>0</v>
      </c>
      <c r="M569">
        <v>1.5841050802084245E-3</v>
      </c>
      <c r="N569">
        <v>0.14306547385686277</v>
      </c>
      <c r="O569">
        <v>0.12197348148192712</v>
      </c>
      <c r="P569">
        <v>1.5679312578800373E-2</v>
      </c>
      <c r="Q569">
        <v>8.9922888119506035E-4</v>
      </c>
      <c r="R569">
        <v>1.5804874570026516E-3</v>
      </c>
      <c r="S569">
        <v>0.11675755911344037</v>
      </c>
      <c r="T569">
        <v>0.83203925537174761</v>
      </c>
      <c r="U569">
        <v>0</v>
      </c>
      <c r="V569">
        <v>0.20645258727491381</v>
      </c>
      <c r="W569">
        <v>9.4330934714930342E-2</v>
      </c>
      <c r="X569">
        <v>2.7625488811167564E-2</v>
      </c>
      <c r="Y569">
        <v>4.3015658504110396E-3</v>
      </c>
    </row>
    <row r="570" spans="1:25" x14ac:dyDescent="0.25">
      <c r="A570" s="1098"/>
      <c r="B570" s="1457">
        <v>320</v>
      </c>
      <c r="C570" s="1102">
        <v>0.99320559945841902</v>
      </c>
      <c r="D570" s="1102">
        <v>0.97953776198235898</v>
      </c>
      <c r="E570" s="1102">
        <v>0.99668395469087856</v>
      </c>
      <c r="F570" s="1102">
        <v>1.0090988730716268</v>
      </c>
      <c r="G570" s="1102">
        <v>0.9997060703839471</v>
      </c>
      <c r="H570" s="1102">
        <v>0.96781357115650224</v>
      </c>
      <c r="I570" s="1102">
        <v>0.99895876785638593</v>
      </c>
      <c r="K570">
        <v>1.5655539540413579</v>
      </c>
      <c r="L570">
        <v>0</v>
      </c>
      <c r="M570">
        <v>1.5492722171964342E-3</v>
      </c>
      <c r="N570">
        <v>0.1411275939065485</v>
      </c>
      <c r="O570">
        <v>0.12329505203244749</v>
      </c>
      <c r="P570">
        <v>1.5769201342873188E-2</v>
      </c>
      <c r="Q570">
        <v>9.0932461619109466E-4</v>
      </c>
      <c r="R570">
        <v>1.5456464308936477E-3</v>
      </c>
      <c r="S570">
        <v>0.11912114898696433</v>
      </c>
      <c r="T570">
        <v>0.83297947547037821</v>
      </c>
      <c r="U570">
        <v>0</v>
      </c>
      <c r="V570">
        <v>0.20727776791187391</v>
      </c>
      <c r="W570">
        <v>9.2894377885162152E-2</v>
      </c>
      <c r="X570">
        <v>2.7976897612537358E-2</v>
      </c>
      <c r="Y570">
        <v>4.206740062683503E-3</v>
      </c>
    </row>
    <row r="571" spans="1:25" x14ac:dyDescent="0.25">
      <c r="A571" s="1098"/>
      <c r="B571" s="1457">
        <v>321</v>
      </c>
      <c r="C571" s="1102">
        <v>1.0320864764899098</v>
      </c>
      <c r="D571" s="1102">
        <v>1.0194542702781788</v>
      </c>
      <c r="E571" s="1102">
        <v>1.0113525869148978</v>
      </c>
      <c r="F571" s="1102">
        <v>1.0118942752624243</v>
      </c>
      <c r="G571" s="1102">
        <v>1.0065472890174922</v>
      </c>
      <c r="H571" s="1102">
        <v>1.0185024093469268</v>
      </c>
      <c r="I571" s="1102">
        <v>0.99462381325580562</v>
      </c>
      <c r="K571">
        <v>1.556380968061311</v>
      </c>
      <c r="L571">
        <v>0</v>
      </c>
      <c r="M571">
        <v>1.4922025798912129E-3</v>
      </c>
      <c r="N571">
        <v>0.14210195062424993</v>
      </c>
      <c r="O571">
        <v>0.11971027877900368</v>
      </c>
      <c r="P571">
        <v>1.5856820991604306E-2</v>
      </c>
      <c r="Q571">
        <v>8.7436803434531873E-4</v>
      </c>
      <c r="R571">
        <v>1.4888716608937279E-3</v>
      </c>
      <c r="S571">
        <v>0.11552590252954753</v>
      </c>
      <c r="T571">
        <v>0.83430906504523938</v>
      </c>
      <c r="U571">
        <v>0</v>
      </c>
      <c r="V571">
        <v>0.20333939292967906</v>
      </c>
      <c r="W571">
        <v>9.2726360508634281E-2</v>
      </c>
      <c r="X571">
        <v>2.7887941683463972E-2</v>
      </c>
      <c r="Y571">
        <v>4.0522178545416201E-3</v>
      </c>
    </row>
    <row r="572" spans="1:25" x14ac:dyDescent="0.25">
      <c r="A572" s="1098"/>
      <c r="B572" s="1457">
        <v>322</v>
      </c>
      <c r="C572" s="1102">
        <v>0.99406947397621959</v>
      </c>
      <c r="D572" s="1102">
        <v>1.0022401886625858</v>
      </c>
      <c r="E572" s="1102">
        <v>1.0258335848635849</v>
      </c>
      <c r="F572" s="1102">
        <v>1.0111774521961023</v>
      </c>
      <c r="G572" s="1102">
        <v>1.0420126868600947</v>
      </c>
      <c r="H572" s="1102">
        <v>1.0335129844900031</v>
      </c>
      <c r="I572" s="1102">
        <v>1.0097343339512435</v>
      </c>
      <c r="K572">
        <v>1.5897389678218687</v>
      </c>
      <c r="L572">
        <v>0</v>
      </c>
      <c r="M572">
        <v>1.5361334102598299E-3</v>
      </c>
      <c r="N572">
        <v>0.15282345848156009</v>
      </c>
      <c r="O572">
        <v>0.12229034967978411</v>
      </c>
      <c r="P572">
        <v>1.6195856109033669E-2</v>
      </c>
      <c r="Q572">
        <v>9.2770179184803285E-4</v>
      </c>
      <c r="R572">
        <v>1.5327547908627664E-3</v>
      </c>
      <c r="S572">
        <v>0.12402684731652648</v>
      </c>
      <c r="T572">
        <v>0.83276020486943692</v>
      </c>
      <c r="U572">
        <v>0</v>
      </c>
      <c r="V572">
        <v>0.20857322875653275</v>
      </c>
      <c r="W572">
        <v>9.8880280842679261E-2</v>
      </c>
      <c r="X572">
        <v>2.9092765325615492E-2</v>
      </c>
      <c r="Y572">
        <v>4.1716532682474373E-3</v>
      </c>
    </row>
    <row r="573" spans="1:25" x14ac:dyDescent="0.25">
      <c r="A573" s="1098"/>
      <c r="B573" s="1457">
        <v>323</v>
      </c>
      <c r="C573" s="1102">
        <v>1.0339741521049677</v>
      </c>
      <c r="D573" s="1102">
        <v>0.99778331244694529</v>
      </c>
      <c r="E573" s="1102">
        <v>0.97854173262320887</v>
      </c>
      <c r="F573" s="1102">
        <v>0.98744741638986944</v>
      </c>
      <c r="G573" s="1102">
        <v>0.99286881454546527</v>
      </c>
      <c r="H573" s="1102">
        <v>1.026525688896712</v>
      </c>
      <c r="I573" s="1102">
        <v>1.0053591224727654</v>
      </c>
      <c r="K573">
        <v>1.5357841639626129</v>
      </c>
      <c r="L573">
        <v>0</v>
      </c>
      <c r="M573">
        <v>1.6239156478590378E-3</v>
      </c>
      <c r="N573">
        <v>0.14004840749516298</v>
      </c>
      <c r="O573">
        <v>0.11895620962116123</v>
      </c>
      <c r="P573">
        <v>1.5250204329570433E-2</v>
      </c>
      <c r="Q573">
        <v>8.5078362109626071E-4</v>
      </c>
      <c r="R573">
        <v>1.6203261182047377E-3</v>
      </c>
      <c r="S573">
        <v>0.11849331072924953</v>
      </c>
      <c r="T573">
        <v>0.81629664866166118</v>
      </c>
      <c r="U573">
        <v>0</v>
      </c>
      <c r="V573">
        <v>0.20189426010125056</v>
      </c>
      <c r="W573">
        <v>9.3193298438951924E-2</v>
      </c>
      <c r="X573">
        <v>2.6394636940771994E-2</v>
      </c>
      <c r="Y573">
        <v>4.4099935533919834E-3</v>
      </c>
    </row>
    <row r="574" spans="1:25" x14ac:dyDescent="0.25">
      <c r="A574" s="1098"/>
      <c r="B574" s="1457">
        <v>324</v>
      </c>
      <c r="C574" s="1102">
        <v>0.96975192750156292</v>
      </c>
      <c r="D574" s="1102">
        <v>1.0134170601189687</v>
      </c>
      <c r="E574" s="1102">
        <v>1.0041613417099573</v>
      </c>
      <c r="F574" s="1102">
        <v>1.0311408078003883</v>
      </c>
      <c r="G574" s="1102">
        <v>1.0233603749636015</v>
      </c>
      <c r="H574" s="1102">
        <v>0.99789518519354359</v>
      </c>
      <c r="I574" s="1102">
        <v>1.0034375706603202</v>
      </c>
      <c r="K574">
        <v>1.6020138554838725</v>
      </c>
      <c r="L574">
        <v>0</v>
      </c>
      <c r="M574">
        <v>1.5799936860083498E-3</v>
      </c>
      <c r="N574">
        <v>0.14722288168622064</v>
      </c>
      <c r="O574">
        <v>0.12453972456099842</v>
      </c>
      <c r="P574">
        <v>1.6190390640605807E-2</v>
      </c>
      <c r="Q574">
        <v>9.258844642299484E-4</v>
      </c>
      <c r="R574">
        <v>1.5763867587460702E-3</v>
      </c>
      <c r="S574">
        <v>0.12254072283825578</v>
      </c>
      <c r="T574">
        <v>0.85066552230398818</v>
      </c>
      <c r="U574">
        <v>0</v>
      </c>
      <c r="V574">
        <v>0.21051466490359236</v>
      </c>
      <c r="W574">
        <v>9.6476908468964714E-2</v>
      </c>
      <c r="X574">
        <v>2.8650357442726235E-2</v>
      </c>
      <c r="Y574">
        <v>4.2904051015514432E-3</v>
      </c>
    </row>
    <row r="575" spans="1:25" x14ac:dyDescent="0.25">
      <c r="A575" s="1098"/>
      <c r="B575" s="1457">
        <v>325</v>
      </c>
      <c r="C575" s="1102">
        <v>0.97062622215607686</v>
      </c>
      <c r="D575" s="1102">
        <v>1.0074449692501746</v>
      </c>
      <c r="E575" s="1102">
        <v>1.0096145548870097</v>
      </c>
      <c r="F575" s="1102">
        <v>1.0330571167990426</v>
      </c>
      <c r="G575" s="1102">
        <v>0.96733310764545855</v>
      </c>
      <c r="H575" s="1102">
        <v>1.0016577930102064</v>
      </c>
      <c r="I575" s="1102">
        <v>1.0395228817582616</v>
      </c>
      <c r="K575">
        <v>1.6092886483986193</v>
      </c>
      <c r="L575">
        <v>0</v>
      </c>
      <c r="M575">
        <v>1.5722678343825813E-3</v>
      </c>
      <c r="N575">
        <v>0.14893711446497288</v>
      </c>
      <c r="O575">
        <v>0.12488249166732907</v>
      </c>
      <c r="P575">
        <v>1.6310857563877408E-2</v>
      </c>
      <c r="Q575">
        <v>9.3247814197402947E-4</v>
      </c>
      <c r="R575">
        <v>1.5686962989796666E-3</v>
      </c>
      <c r="S575">
        <v>0.12762856632153269</v>
      </c>
      <c r="T575">
        <v>0.85187579394104107</v>
      </c>
      <c r="U575">
        <v>0</v>
      </c>
      <c r="V575">
        <v>0.20820572012518332</v>
      </c>
      <c r="W575">
        <v>9.7286154847697676E-2</v>
      </c>
      <c r="X575">
        <v>2.8963568655187389E-2</v>
      </c>
      <c r="Y575">
        <v>4.2694742052266739E-3</v>
      </c>
    </row>
    <row r="576" spans="1:25" x14ac:dyDescent="0.25">
      <c r="A576" s="1098"/>
      <c r="B576" s="1457">
        <v>326</v>
      </c>
      <c r="C576" s="1102">
        <v>1.0135589892622419</v>
      </c>
      <c r="D576" s="1102">
        <v>0.96787664303955767</v>
      </c>
      <c r="E576" s="1102">
        <v>1.0096259554320053</v>
      </c>
      <c r="F576" s="1102">
        <v>1.0419873822057104</v>
      </c>
      <c r="G576" s="1102">
        <v>1.0090283801226487</v>
      </c>
      <c r="H576" s="1102">
        <v>1.0276342468516209</v>
      </c>
      <c r="I576" s="1102">
        <v>1.0111762782958598</v>
      </c>
      <c r="K576">
        <v>1.6155594324338707</v>
      </c>
      <c r="L576">
        <v>0</v>
      </c>
      <c r="M576">
        <v>1.5862711999114474E-3</v>
      </c>
      <c r="N576">
        <v>0.15028093669035897</v>
      </c>
      <c r="O576">
        <v>0.12503726298166368</v>
      </c>
      <c r="P576">
        <v>1.636284858732626E-2</v>
      </c>
      <c r="Q576">
        <v>9.0741778492132324E-4</v>
      </c>
      <c r="R576">
        <v>1.582795772731361E-3</v>
      </c>
      <c r="S576">
        <v>0.12418218003485196</v>
      </c>
      <c r="T576">
        <v>0.85923905634365993</v>
      </c>
      <c r="U576">
        <v>0</v>
      </c>
      <c r="V576">
        <v>0.20807056927597717</v>
      </c>
      <c r="W576">
        <v>9.8163283305208654E-2</v>
      </c>
      <c r="X576">
        <v>2.9011504532193529E-2</v>
      </c>
      <c r="Y576">
        <v>4.3078483248885106E-3</v>
      </c>
    </row>
    <row r="577" spans="1:25" x14ac:dyDescent="0.25">
      <c r="A577" s="1098"/>
      <c r="B577" s="1457">
        <v>327</v>
      </c>
      <c r="C577" s="1102">
        <v>1.037466944512373</v>
      </c>
      <c r="D577" s="1102">
        <v>0.97286444577924025</v>
      </c>
      <c r="E577" s="1102">
        <v>1.0245942548212308</v>
      </c>
      <c r="F577" s="1102">
        <v>1.0228652728963492</v>
      </c>
      <c r="G577" s="1102">
        <v>1.030353842792632</v>
      </c>
      <c r="H577" s="1102">
        <v>0.96596852757031026</v>
      </c>
      <c r="I577" s="1102">
        <v>1.004122841639977</v>
      </c>
      <c r="K577">
        <v>1.565670275617786</v>
      </c>
      <c r="L577">
        <v>0</v>
      </c>
      <c r="M577">
        <v>1.408345903295754E-3</v>
      </c>
      <c r="N577">
        <v>0.13956918020668865</v>
      </c>
      <c r="O577">
        <v>0.12222394714367948</v>
      </c>
      <c r="P577">
        <v>1.6158860721165562E-2</v>
      </c>
      <c r="Q577">
        <v>8.9839646431112328E-4</v>
      </c>
      <c r="R577">
        <v>1.4050613955192295E-3</v>
      </c>
      <c r="S577">
        <v>0.11532713528923708</v>
      </c>
      <c r="T577">
        <v>0.84246841861739952</v>
      </c>
      <c r="U577">
        <v>0</v>
      </c>
      <c r="V577">
        <v>0.20596725640735228</v>
      </c>
      <c r="W577">
        <v>9.0369692183776315E-2</v>
      </c>
      <c r="X577">
        <v>2.8866559151713943E-2</v>
      </c>
      <c r="Y577">
        <v>3.8241139402387932E-3</v>
      </c>
    </row>
    <row r="578" spans="1:25" x14ac:dyDescent="0.25">
      <c r="A578" s="1098"/>
      <c r="B578" s="1457">
        <v>328</v>
      </c>
      <c r="C578" s="1102">
        <v>1.0180413823387446</v>
      </c>
      <c r="D578" s="1102">
        <v>0.9998312455144176</v>
      </c>
      <c r="E578" s="1102">
        <v>1.0415325579929513</v>
      </c>
      <c r="F578" s="1102">
        <v>1.0120448970491642</v>
      </c>
      <c r="G578" s="1102">
        <v>0.98221945286900225</v>
      </c>
      <c r="H578" s="1102">
        <v>0.99240893566887145</v>
      </c>
      <c r="I578" s="1102">
        <v>1.0028381016486678</v>
      </c>
      <c r="K578">
        <v>1.5647136296748057</v>
      </c>
      <c r="L578">
        <v>0</v>
      </c>
      <c r="M578">
        <v>1.3983275514859888E-3</v>
      </c>
      <c r="N578">
        <v>0.14584121634174183</v>
      </c>
      <c r="O578">
        <v>0.12118779835495828</v>
      </c>
      <c r="P578">
        <v>1.6219529086456186E-2</v>
      </c>
      <c r="Q578">
        <v>9.2134343518556058E-4</v>
      </c>
      <c r="R578">
        <v>1.3951316474839954E-3</v>
      </c>
      <c r="S578">
        <v>0.11740784429340852</v>
      </c>
      <c r="T578">
        <v>0.83244305262814478</v>
      </c>
      <c r="U578">
        <v>0</v>
      </c>
      <c r="V578">
        <v>0.2040192620529884</v>
      </c>
      <c r="W578">
        <v>9.3509053346739035E-2</v>
      </c>
      <c r="X578">
        <v>2.9370637599755778E-2</v>
      </c>
      <c r="Y578">
        <v>3.7970884394274455E-3</v>
      </c>
    </row>
    <row r="579" spans="1:25" x14ac:dyDescent="0.25">
      <c r="A579" s="1098"/>
      <c r="B579" s="1457">
        <v>329</v>
      </c>
      <c r="C579" s="1102">
        <v>0.9839936806530718</v>
      </c>
      <c r="D579" s="1102">
        <v>0.95930161682664805</v>
      </c>
      <c r="E579" s="1102">
        <v>0.9784878691192157</v>
      </c>
      <c r="F579" s="1102">
        <v>0.98712030831885889</v>
      </c>
      <c r="G579" s="1102">
        <v>0.97889699372272709</v>
      </c>
      <c r="H579" s="1102">
        <v>0.95900276636172688</v>
      </c>
      <c r="I579" s="1102">
        <v>1.0328345718894658</v>
      </c>
      <c r="K579">
        <v>1.5517736499952819</v>
      </c>
      <c r="L579">
        <v>0</v>
      </c>
      <c r="M579">
        <v>1.6240889603179485E-3</v>
      </c>
      <c r="N579">
        <v>0.14001959852559154</v>
      </c>
      <c r="O579">
        <v>0.12318525629900962</v>
      </c>
      <c r="P579">
        <v>1.5394755834293316E-2</v>
      </c>
      <c r="Q579">
        <v>9.0812239026419501E-4</v>
      </c>
      <c r="R579">
        <v>1.6202568703056793E-3</v>
      </c>
      <c r="S579">
        <v>0.12488272774518254</v>
      </c>
      <c r="T579">
        <v>0.81602978389265901</v>
      </c>
      <c r="U579">
        <v>0</v>
      </c>
      <c r="V579">
        <v>0.20658287109784754</v>
      </c>
      <c r="W579">
        <v>9.3177161922679108E-2</v>
      </c>
      <c r="X579">
        <v>2.718739929432868E-2</v>
      </c>
      <c r="Y579">
        <v>4.4098050834383094E-3</v>
      </c>
    </row>
    <row r="580" spans="1:25" x14ac:dyDescent="0.25">
      <c r="A580" s="1098"/>
      <c r="B580" s="1457">
        <v>330</v>
      </c>
      <c r="C580" s="1102">
        <v>0.9904440728016809</v>
      </c>
      <c r="D580" s="1102">
        <v>1.0009630258730051</v>
      </c>
      <c r="E580" s="1102">
        <v>1.0124470759232793</v>
      </c>
      <c r="F580" s="1102">
        <v>1.033101138588902</v>
      </c>
      <c r="G580" s="1102">
        <v>0.99727782045441038</v>
      </c>
      <c r="H580" s="1102">
        <v>1.0195717389768431</v>
      </c>
      <c r="I580" s="1102">
        <v>1.0233546317541364</v>
      </c>
      <c r="K580">
        <v>1.6068362866214558</v>
      </c>
      <c r="L580">
        <v>0</v>
      </c>
      <c r="M580">
        <v>1.5671727493936926E-3</v>
      </c>
      <c r="N580">
        <v>0.14973614619665351</v>
      </c>
      <c r="O580">
        <v>0.12410663661758348</v>
      </c>
      <c r="P580">
        <v>1.6306878677076243E-2</v>
      </c>
      <c r="Q580">
        <v>9.1886139010806292E-4</v>
      </c>
      <c r="R580">
        <v>1.5636842207047996E-3</v>
      </c>
      <c r="S580">
        <v>0.12520028561223501</v>
      </c>
      <c r="T580">
        <v>0.8517199620889081</v>
      </c>
      <c r="U580">
        <v>0</v>
      </c>
      <c r="V580">
        <v>0.20801880533993775</v>
      </c>
      <c r="W580">
        <v>9.7644987487454676E-2</v>
      </c>
      <c r="X580">
        <v>2.8931378759794329E-2</v>
      </c>
      <c r="Y580">
        <v>4.2558329803936441E-3</v>
      </c>
    </row>
    <row r="581" spans="1:25" x14ac:dyDescent="0.25">
      <c r="A581" s="1098"/>
      <c r="B581" s="1457">
        <v>331</v>
      </c>
      <c r="C581" s="1102">
        <v>1.0363981838973366</v>
      </c>
      <c r="D581" s="1102">
        <v>1.0008663793080066</v>
      </c>
      <c r="E581" s="1102">
        <v>0.9534989044974006</v>
      </c>
      <c r="F581" s="1102">
        <v>1.0174773608655752</v>
      </c>
      <c r="G581" s="1102">
        <v>1.0248208339887046</v>
      </c>
      <c r="H581" s="1102">
        <v>0.99731999864475895</v>
      </c>
      <c r="I581" s="1102">
        <v>1.0084179350942466</v>
      </c>
      <c r="K581">
        <v>1.553146618614893</v>
      </c>
      <c r="L581">
        <v>0</v>
      </c>
      <c r="M581">
        <v>1.6585403534252097E-3</v>
      </c>
      <c r="N581">
        <v>0.13257864575931613</v>
      </c>
      <c r="O581">
        <v>0.12085581925800627</v>
      </c>
      <c r="P581">
        <v>1.5313379306137621E-2</v>
      </c>
      <c r="Q581">
        <v>8.2562509414511973E-4</v>
      </c>
      <c r="R581">
        <v>1.654773983033007E-3</v>
      </c>
      <c r="S581">
        <v>0.11624077471008143</v>
      </c>
      <c r="T581">
        <v>0.84283160257927114</v>
      </c>
      <c r="U581">
        <v>0</v>
      </c>
      <c r="V581">
        <v>0.20455462927162998</v>
      </c>
      <c r="W581">
        <v>8.9581980202497802E-2</v>
      </c>
      <c r="X581">
        <v>2.586417951847992E-2</v>
      </c>
      <c r="Y581">
        <v>4.503749285718942E-3</v>
      </c>
    </row>
    <row r="582" spans="1:25" x14ac:dyDescent="0.25">
      <c r="A582" s="1098"/>
      <c r="B582" s="1457">
        <v>332</v>
      </c>
      <c r="C582" s="1102">
        <v>0.97011872155619894</v>
      </c>
      <c r="D582" s="1102">
        <v>0.97330399601469098</v>
      </c>
      <c r="E582" s="1102">
        <v>1.0280587329440469</v>
      </c>
      <c r="F582" s="1102">
        <v>0.97835305698990294</v>
      </c>
      <c r="G582" s="1102">
        <v>0.99726092147203571</v>
      </c>
      <c r="H582" s="1102">
        <v>0.95517718736847224</v>
      </c>
      <c r="I582" s="1102">
        <v>1.0044905046182657</v>
      </c>
      <c r="K582">
        <v>1.549045367678642</v>
      </c>
      <c r="L582">
        <v>0</v>
      </c>
      <c r="M582">
        <v>1.4656464684684365E-3</v>
      </c>
      <c r="N582">
        <v>0.14676619384518813</v>
      </c>
      <c r="O582">
        <v>0.12250800576842698</v>
      </c>
      <c r="P582">
        <v>1.5802034333779021E-2</v>
      </c>
      <c r="Q582">
        <v>9.6400054264326974E-4</v>
      </c>
      <c r="R582">
        <v>1.4621598240384737E-3</v>
      </c>
      <c r="S582">
        <v>0.12176856765941443</v>
      </c>
      <c r="T582">
        <v>0.805585695723958</v>
      </c>
      <c r="U582">
        <v>0</v>
      </c>
      <c r="V582">
        <v>0.2078196208256114</v>
      </c>
      <c r="W582">
        <v>9.4838221004345982E-2</v>
      </c>
      <c r="X582">
        <v>2.9016997579528837E-2</v>
      </c>
      <c r="Y582">
        <v>3.9795170401762722E-3</v>
      </c>
    </row>
    <row r="583" spans="1:25" x14ac:dyDescent="0.25">
      <c r="A583" s="1098"/>
      <c r="B583" s="1457">
        <v>333</v>
      </c>
      <c r="C583" s="1102">
        <v>0.99525271732894316</v>
      </c>
      <c r="D583" s="1102">
        <v>0.98989853846352571</v>
      </c>
      <c r="E583" s="1102">
        <v>1.0229483900634861</v>
      </c>
      <c r="F583" s="1102">
        <v>0.97541137751363816</v>
      </c>
      <c r="G583" s="1102">
        <v>1.0166778532145133</v>
      </c>
      <c r="H583" s="1102">
        <v>0.99051506177035487</v>
      </c>
      <c r="I583" s="1102">
        <v>1.0005015255063445</v>
      </c>
      <c r="K583">
        <v>1.5400313612037726</v>
      </c>
      <c r="L583">
        <v>0</v>
      </c>
      <c r="M583">
        <v>1.485712807416882E-3</v>
      </c>
      <c r="N583">
        <v>0.14651256052548961</v>
      </c>
      <c r="O583">
        <v>0.12025659236029036</v>
      </c>
      <c r="P583">
        <v>1.5661771731815925E-2</v>
      </c>
      <c r="Q583">
        <v>9.2845698599795573E-4</v>
      </c>
      <c r="R583">
        <v>1.4823010045410545E-3</v>
      </c>
      <c r="S583">
        <v>0.1199863425192899</v>
      </c>
      <c r="T583">
        <v>0.80348843885018872</v>
      </c>
      <c r="U583">
        <v>0</v>
      </c>
      <c r="V583">
        <v>0.20582991758097102</v>
      </c>
      <c r="W583">
        <v>9.495658473697853E-2</v>
      </c>
      <c r="X583">
        <v>2.8379773021659321E-2</v>
      </c>
      <c r="Y583">
        <v>4.0343346939659278E-3</v>
      </c>
    </row>
    <row r="584" spans="1:25" x14ac:dyDescent="0.25">
      <c r="A584" s="1098"/>
      <c r="B584" s="1457">
        <v>334</v>
      </c>
      <c r="C584" s="1102">
        <v>0.9563771582193541</v>
      </c>
      <c r="D584" s="1102">
        <v>0.98779130459336073</v>
      </c>
      <c r="E584" s="1102">
        <v>1.0163806484727878</v>
      </c>
      <c r="F584" s="1102">
        <v>0.99516143213919506</v>
      </c>
      <c r="G584" s="1102">
        <v>1.0083306096870988</v>
      </c>
      <c r="H584" s="1102">
        <v>1.0208193647937305</v>
      </c>
      <c r="I584" s="1102">
        <v>0.98084598032297854</v>
      </c>
      <c r="K584">
        <v>1.5869052268411949</v>
      </c>
      <c r="L584">
        <v>0</v>
      </c>
      <c r="M584">
        <v>1.6149372665260587E-3</v>
      </c>
      <c r="N584">
        <v>0.15614179639414688</v>
      </c>
      <c r="O584">
        <v>0.12384131697082966</v>
      </c>
      <c r="P584">
        <v>1.5942180049736642E-2</v>
      </c>
      <c r="Q584">
        <v>9.6052700926193733E-4</v>
      </c>
      <c r="R584">
        <v>1.611334859801015E-3</v>
      </c>
      <c r="S584">
        <v>0.12490853030475005</v>
      </c>
      <c r="T584">
        <v>0.82018472375066376</v>
      </c>
      <c r="U584">
        <v>0</v>
      </c>
      <c r="V584">
        <v>0.20998025358757549</v>
      </c>
      <c r="W584">
        <v>0.10158711074499861</v>
      </c>
      <c r="X584">
        <v>2.8976868123970514E-2</v>
      </c>
      <c r="Y584">
        <v>4.3855223119845868E-3</v>
      </c>
    </row>
    <row r="585" spans="1:25" x14ac:dyDescent="0.25">
      <c r="A585" s="1098"/>
      <c r="B585" s="1457">
        <v>335</v>
      </c>
      <c r="C585" s="1102">
        <v>0.96501843234678053</v>
      </c>
      <c r="D585" s="1102">
        <v>1.012472422119697</v>
      </c>
      <c r="E585" s="1102">
        <v>1.0158244388380573</v>
      </c>
      <c r="F585" s="1102">
        <v>0.99318571057648608</v>
      </c>
      <c r="G585" s="1102">
        <v>0.98059560241564625</v>
      </c>
      <c r="H585" s="1102">
        <v>1.0044901764246543</v>
      </c>
      <c r="I585" s="1102">
        <v>1.0080143837903071</v>
      </c>
      <c r="K585">
        <v>1.5693694548517838</v>
      </c>
      <c r="L585">
        <v>0</v>
      </c>
      <c r="M585">
        <v>1.5557658997622911E-3</v>
      </c>
      <c r="N585">
        <v>0.15016184221010273</v>
      </c>
      <c r="O585">
        <v>0.12213523852047088</v>
      </c>
      <c r="P585">
        <v>1.5862200580024906E-2</v>
      </c>
      <c r="Q585">
        <v>9.420363294542429E-4</v>
      </c>
      <c r="R585">
        <v>1.5522267296661126E-3</v>
      </c>
      <c r="S585">
        <v>0.12407154600776676</v>
      </c>
      <c r="T585">
        <v>0.81859256835783556</v>
      </c>
      <c r="U585">
        <v>0</v>
      </c>
      <c r="V585">
        <v>0.20708726216410914</v>
      </c>
      <c r="W585">
        <v>9.7728398822247459E-2</v>
      </c>
      <c r="X585">
        <v>2.8567251563120406E-2</v>
      </c>
      <c r="Y585">
        <v>4.2246494667472437E-3</v>
      </c>
    </row>
    <row r="586" spans="1:25" x14ac:dyDescent="0.25">
      <c r="A586" s="1098"/>
      <c r="B586" s="1457">
        <v>336</v>
      </c>
      <c r="C586" s="1102">
        <v>1.0107252439892771</v>
      </c>
      <c r="D586" s="1102">
        <v>1.023280433679759</v>
      </c>
      <c r="E586" s="1102">
        <v>0.95947033784111024</v>
      </c>
      <c r="F586" s="1102">
        <v>1.0035023105415319</v>
      </c>
      <c r="G586" s="1102">
        <v>1.0076174360597721</v>
      </c>
      <c r="H586" s="1102">
        <v>0.97406422389123626</v>
      </c>
      <c r="I586" s="1102">
        <v>1.008921558613225</v>
      </c>
      <c r="K586">
        <v>1.5375759178370976</v>
      </c>
      <c r="L586">
        <v>0</v>
      </c>
      <c r="M586">
        <v>1.6156464239096564E-3</v>
      </c>
      <c r="N586">
        <v>0.13149942384870172</v>
      </c>
      <c r="O586">
        <v>0.12017761799464705</v>
      </c>
      <c r="P586">
        <v>1.5217698050119344E-2</v>
      </c>
      <c r="Q586">
        <v>8.4446418673622431E-4</v>
      </c>
      <c r="R586">
        <v>1.6118652464972654E-3</v>
      </c>
      <c r="S586">
        <v>0.11565956406744504</v>
      </c>
      <c r="T586">
        <v>0.83085132687272212</v>
      </c>
      <c r="U586">
        <v>0</v>
      </c>
      <c r="V586">
        <v>0.20449001074896311</v>
      </c>
      <c r="W586">
        <v>8.8526942799137878E-2</v>
      </c>
      <c r="X586">
        <v>2.5925684596307664E-2</v>
      </c>
      <c r="Y586">
        <v>4.3869658497298529E-3</v>
      </c>
    </row>
    <row r="587" spans="1:25" x14ac:dyDescent="0.25">
      <c r="A587" s="1098"/>
      <c r="B587" s="1457">
        <v>337</v>
      </c>
      <c r="C587" s="1102">
        <v>1.0174799291754504</v>
      </c>
      <c r="D587" s="1102">
        <v>1.0034109969871212</v>
      </c>
      <c r="E587" s="1102">
        <v>1.0068090386579678</v>
      </c>
      <c r="F587" s="1102">
        <v>1.0015867324955698</v>
      </c>
      <c r="G587" s="1102">
        <v>1.0377489070774411</v>
      </c>
      <c r="H587" s="1102">
        <v>1.0235625027628641</v>
      </c>
      <c r="I587" s="1102">
        <v>0.98879821113743016</v>
      </c>
      <c r="K587">
        <v>1.5593132443025386</v>
      </c>
      <c r="L587">
        <v>0</v>
      </c>
      <c r="M587">
        <v>1.54679154904213E-3</v>
      </c>
      <c r="N587">
        <v>0.14529549515306467</v>
      </c>
      <c r="O587">
        <v>0.12043357861619353</v>
      </c>
      <c r="P587">
        <v>1.5757708399899706E-2</v>
      </c>
      <c r="Q587">
        <v>8.8839082406603131E-4</v>
      </c>
      <c r="R587">
        <v>1.5433590636350018E-3</v>
      </c>
      <c r="S587">
        <v>0.11785233858685767</v>
      </c>
      <c r="T587">
        <v>0.82610955240886708</v>
      </c>
      <c r="U587">
        <v>0</v>
      </c>
      <c r="V587">
        <v>0.20586089756255899</v>
      </c>
      <c r="W587">
        <v>9.5064800052828968E-2</v>
      </c>
      <c r="X587">
        <v>2.785340058057402E-2</v>
      </c>
      <c r="Y587">
        <v>4.2005146030358815E-3</v>
      </c>
    </row>
    <row r="588" spans="1:25" x14ac:dyDescent="0.25">
      <c r="A588" s="1098"/>
      <c r="B588" s="1457">
        <v>338</v>
      </c>
      <c r="C588" s="1102">
        <v>0.97201653419765888</v>
      </c>
      <c r="D588" s="1102">
        <v>0.9906511125174442</v>
      </c>
      <c r="E588" s="1102">
        <v>0.96694795854930415</v>
      </c>
      <c r="F588" s="1102">
        <v>1.0153769858885973</v>
      </c>
      <c r="G588" s="1102">
        <v>1.0323997412830572</v>
      </c>
      <c r="H588" s="1102">
        <v>1.030901805140144</v>
      </c>
      <c r="I588" s="1102">
        <v>1.0258915923230034</v>
      </c>
      <c r="K588">
        <v>1.6004839389358829</v>
      </c>
      <c r="L588">
        <v>0</v>
      </c>
      <c r="M588">
        <v>1.7797783726084798E-3</v>
      </c>
      <c r="N588">
        <v>0.14819750133958523</v>
      </c>
      <c r="O588">
        <v>0.12444060127188078</v>
      </c>
      <c r="P588">
        <v>1.5691778311508416E-2</v>
      </c>
      <c r="Q588">
        <v>8.9661142802039588E-4</v>
      </c>
      <c r="R588">
        <v>1.7758562679449467E-3</v>
      </c>
      <c r="S588">
        <v>0.12930756829541246</v>
      </c>
      <c r="T588">
        <v>0.84017275677434111</v>
      </c>
      <c r="U588">
        <v>0</v>
      </c>
      <c r="V588">
        <v>0.2105315605635272</v>
      </c>
      <c r="W588">
        <v>9.9312809601430532E-2</v>
      </c>
      <c r="X588">
        <v>2.7103378104354845E-2</v>
      </c>
      <c r="Y588">
        <v>4.8332953504847493E-3</v>
      </c>
    </row>
    <row r="589" spans="1:25" x14ac:dyDescent="0.25">
      <c r="A589" s="1098"/>
      <c r="B589" s="1457">
        <v>339</v>
      </c>
      <c r="C589" s="1102">
        <v>0.98849668888509112</v>
      </c>
      <c r="D589" s="1102">
        <v>0.98555727722239317</v>
      </c>
      <c r="E589" s="1102">
        <v>1.0057306658466676</v>
      </c>
      <c r="F589" s="1102">
        <v>1.0271398078084135</v>
      </c>
      <c r="G589" s="1102">
        <v>1.0216400953759099</v>
      </c>
      <c r="H589" s="1102">
        <v>0.97208800349356983</v>
      </c>
      <c r="I589" s="1102">
        <v>0.98906771427849294</v>
      </c>
      <c r="K589">
        <v>1.5866378511118282</v>
      </c>
      <c r="L589">
        <v>0</v>
      </c>
      <c r="M589">
        <v>1.5306948027571804E-3</v>
      </c>
      <c r="N589">
        <v>0.1433000693950375</v>
      </c>
      <c r="O589">
        <v>0.12451105331603034</v>
      </c>
      <c r="P589">
        <v>1.6092662606462041E-2</v>
      </c>
      <c r="Q589">
        <v>9.2000363024064826E-4</v>
      </c>
      <c r="R589">
        <v>1.527128234574551E-3</v>
      </c>
      <c r="S589">
        <v>0.1185087426995368</v>
      </c>
      <c r="T589">
        <v>0.84725864522051941</v>
      </c>
      <c r="U589">
        <v>0</v>
      </c>
      <c r="V589">
        <v>0.20943994826719547</v>
      </c>
      <c r="W589">
        <v>9.3819036265541486E-2</v>
      </c>
      <c r="X589">
        <v>2.8634916642621609E-2</v>
      </c>
      <c r="Y589">
        <v>4.1563396368246965E-3</v>
      </c>
    </row>
    <row r="590" spans="1:25" x14ac:dyDescent="0.25">
      <c r="A590" s="1098"/>
      <c r="B590" s="1457">
        <v>340</v>
      </c>
      <c r="C590" s="1102">
        <v>1.0385778029892159</v>
      </c>
      <c r="D590" s="1102">
        <v>1.0238411349158685</v>
      </c>
      <c r="E590" s="1102">
        <v>0.99769809465849535</v>
      </c>
      <c r="F590" s="1102">
        <v>1.0030227556209868</v>
      </c>
      <c r="G590" s="1102">
        <v>1.0080701731905815</v>
      </c>
      <c r="H590" s="1102">
        <v>1.009055160230163</v>
      </c>
      <c r="I590" s="1102">
        <v>0.98585735722743861</v>
      </c>
      <c r="K590">
        <v>1.5375394531114841</v>
      </c>
      <c r="L590">
        <v>0</v>
      </c>
      <c r="M590">
        <v>1.5073559025485482E-3</v>
      </c>
      <c r="N590">
        <v>0.13774250512539415</v>
      </c>
      <c r="O590">
        <v>0.11864213551767926</v>
      </c>
      <c r="P590">
        <v>1.5557409750891095E-2</v>
      </c>
      <c r="Q590">
        <v>8.5524756050037306E-4</v>
      </c>
      <c r="R590">
        <v>1.5039564845343628E-3</v>
      </c>
      <c r="S590">
        <v>0.11275602902319035</v>
      </c>
      <c r="T590">
        <v>0.82789658889817008</v>
      </c>
      <c r="U590">
        <v>0</v>
      </c>
      <c r="V590">
        <v>0.20229484640410489</v>
      </c>
      <c r="W590">
        <v>9.0611457999776199E-2</v>
      </c>
      <c r="X590">
        <v>2.7093358478010431E-2</v>
      </c>
      <c r="Y590">
        <v>4.0932737717806521E-3</v>
      </c>
    </row>
    <row r="591" spans="1:25" x14ac:dyDescent="0.25">
      <c r="A591" s="1098"/>
      <c r="B591" s="1457">
        <v>341</v>
      </c>
      <c r="C591" s="1102">
        <v>0.99037262042108865</v>
      </c>
      <c r="D591" s="1102">
        <v>0.99157608349787196</v>
      </c>
      <c r="E591" s="1102">
        <v>1.03498248795946</v>
      </c>
      <c r="F591" s="1102">
        <v>0.96838885350588233</v>
      </c>
      <c r="G591" s="1102">
        <v>0.98235761819110878</v>
      </c>
      <c r="H591" s="1102">
        <v>0.98389513908052417</v>
      </c>
      <c r="I591" s="1102">
        <v>0.99094074116602071</v>
      </c>
      <c r="K591">
        <v>1.5317824262808848</v>
      </c>
      <c r="L591">
        <v>0</v>
      </c>
      <c r="M591">
        <v>1.4435939862202385E-3</v>
      </c>
      <c r="N591">
        <v>0.14761601868482363</v>
      </c>
      <c r="O591">
        <v>0.1198990792557451</v>
      </c>
      <c r="P591">
        <v>1.5668992923923531E-2</v>
      </c>
      <c r="Q591">
        <v>9.4392709431952138E-4</v>
      </c>
      <c r="R591">
        <v>1.440252530779429E-3</v>
      </c>
      <c r="S591">
        <v>0.11872790677537313</v>
      </c>
      <c r="T591">
        <v>0.79694528391479513</v>
      </c>
      <c r="U591">
        <v>0</v>
      </c>
      <c r="V591">
        <v>0.20430185664169825</v>
      </c>
      <c r="W591">
        <v>9.5005221090054673E-2</v>
      </c>
      <c r="X591">
        <v>2.875758874592917E-2</v>
      </c>
      <c r="Y591">
        <v>3.9198926096624346E-3</v>
      </c>
    </row>
    <row r="592" spans="1:25" x14ac:dyDescent="0.25">
      <c r="A592" s="1098"/>
      <c r="B592" s="1457">
        <v>342</v>
      </c>
      <c r="C592" s="1102">
        <v>1.0093481603463328</v>
      </c>
      <c r="D592" s="1102">
        <v>1.0086041084596293</v>
      </c>
      <c r="E592" s="1102">
        <v>1.005993067957933</v>
      </c>
      <c r="F592" s="1102">
        <v>0.97943323814909744</v>
      </c>
      <c r="G592" s="1102">
        <v>0.98110608291964818</v>
      </c>
      <c r="H592" s="1102">
        <v>1.047724381799241</v>
      </c>
      <c r="I592" s="1102">
        <v>1.0377266073224702</v>
      </c>
      <c r="K592">
        <v>1.5506232393867525</v>
      </c>
      <c r="L592">
        <v>0</v>
      </c>
      <c r="M592">
        <v>1.5904703849423797E-3</v>
      </c>
      <c r="N592">
        <v>0.14903735152351963</v>
      </c>
      <c r="O592">
        <v>0.11906842102733839</v>
      </c>
      <c r="P592">
        <v>1.5567595850598482E-2</v>
      </c>
      <c r="Q592">
        <v>8.929476620624674E-4</v>
      </c>
      <c r="R592">
        <v>1.5870115279468992E-3</v>
      </c>
      <c r="S592">
        <v>0.12606457922737371</v>
      </c>
      <c r="T592">
        <v>0.80788992470893073</v>
      </c>
      <c r="U592">
        <v>0</v>
      </c>
      <c r="V592">
        <v>0.20267344687467304</v>
      </c>
      <c r="W592">
        <v>9.7560107935610596E-2</v>
      </c>
      <c r="X592">
        <v>2.7553001212778878E-2</v>
      </c>
      <c r="Y592">
        <v>4.3193222208618752E-3</v>
      </c>
    </row>
    <row r="593" spans="1:25" x14ac:dyDescent="0.25">
      <c r="A593" s="1098"/>
      <c r="B593" s="1457">
        <v>343</v>
      </c>
      <c r="C593" s="1102">
        <v>0.9905161753612638</v>
      </c>
      <c r="D593" s="1102">
        <v>0.99773823941950601</v>
      </c>
      <c r="E593" s="1102">
        <v>0.99230665261542661</v>
      </c>
      <c r="F593" s="1102">
        <v>0.96789161106146415</v>
      </c>
      <c r="G593" s="1102">
        <v>1.0140782162076092</v>
      </c>
      <c r="H593" s="1102">
        <v>1.0315862224861478</v>
      </c>
      <c r="I593" s="1102">
        <v>0.98084297052908009</v>
      </c>
      <c r="K593">
        <v>1.5387354013703962</v>
      </c>
      <c r="L593">
        <v>0</v>
      </c>
      <c r="M593">
        <v>1.6479196303303997E-3</v>
      </c>
      <c r="N593">
        <v>0.14816007943615908</v>
      </c>
      <c r="O593">
        <v>0.11970551506249802</v>
      </c>
      <c r="P593">
        <v>1.5256971951705904E-2</v>
      </c>
      <c r="Q593">
        <v>9.0099330181756844E-4</v>
      </c>
      <c r="R593">
        <v>1.6442777843746707E-3</v>
      </c>
      <c r="S593">
        <v>0.12072165399152242</v>
      </c>
      <c r="T593">
        <v>0.79924461138907976</v>
      </c>
      <c r="U593">
        <v>0</v>
      </c>
      <c r="V593">
        <v>0.20543192110924791</v>
      </c>
      <c r="W593">
        <v>9.7778527539540819E-2</v>
      </c>
      <c r="X593">
        <v>2.7063587341737458E-2</v>
      </c>
      <c r="Y593">
        <v>4.4751820930419087E-3</v>
      </c>
    </row>
    <row r="594" spans="1:25" x14ac:dyDescent="0.25">
      <c r="A594" s="1098"/>
      <c r="B594" s="1457">
        <v>344</v>
      </c>
      <c r="C594" s="1102">
        <v>1.0371870090660709</v>
      </c>
      <c r="D594" s="1102">
        <v>1.0048337347798846</v>
      </c>
      <c r="E594" s="1102">
        <v>0.98546073687159075</v>
      </c>
      <c r="F594" s="1102">
        <v>1.0321689610558982</v>
      </c>
      <c r="G594" s="1102">
        <v>1.0192493450711251</v>
      </c>
      <c r="H594" s="1102">
        <v>1.0249297660071572</v>
      </c>
      <c r="I594" s="1102">
        <v>1.0386780634702917</v>
      </c>
      <c r="K594">
        <v>1.5825413507978143</v>
      </c>
      <c r="L594">
        <v>0</v>
      </c>
      <c r="M594">
        <v>1.5925404339712209E-3</v>
      </c>
      <c r="N594">
        <v>0.14024787600579386</v>
      </c>
      <c r="O594">
        <v>0.12155426930461642</v>
      </c>
      <c r="P594">
        <v>1.5906673916138911E-2</v>
      </c>
      <c r="Q594">
        <v>8.519107924409347E-4</v>
      </c>
      <c r="R594">
        <v>1.5890227928279774E-3</v>
      </c>
      <c r="S594">
        <v>0.12169755802262973</v>
      </c>
      <c r="T594">
        <v>0.85279117266414772</v>
      </c>
      <c r="U594">
        <v>0</v>
      </c>
      <c r="V594">
        <v>0.20492395535337055</v>
      </c>
      <c r="W594">
        <v>9.293755731121725E-2</v>
      </c>
      <c r="X594">
        <v>2.7309098847746693E-2</v>
      </c>
      <c r="Y594">
        <v>4.3247962208548775E-3</v>
      </c>
    </row>
    <row r="595" spans="1:25" x14ac:dyDescent="0.25">
      <c r="A595" s="1098"/>
      <c r="B595" s="1457">
        <v>345</v>
      </c>
      <c r="C595" s="1102">
        <v>1.0272754690672532</v>
      </c>
      <c r="D595" s="1102">
        <v>0.98448403094405568</v>
      </c>
      <c r="E595" s="1102">
        <v>1.0214827595816529</v>
      </c>
      <c r="F595" s="1102">
        <v>0.9643448229652325</v>
      </c>
      <c r="G595" s="1102">
        <v>1.0054895340141548</v>
      </c>
      <c r="H595" s="1102">
        <v>0.96694773746309681</v>
      </c>
      <c r="I595" s="1102">
        <v>0.98618967619774545</v>
      </c>
      <c r="K595">
        <v>1.505169736620362</v>
      </c>
      <c r="L595">
        <v>0</v>
      </c>
      <c r="M595">
        <v>1.4159277472210244E-3</v>
      </c>
      <c r="N595">
        <v>0.13900782640234693</v>
      </c>
      <c r="O595">
        <v>0.11811691753914566</v>
      </c>
      <c r="P595">
        <v>1.5377319547136298E-2</v>
      </c>
      <c r="Q595">
        <v>9.0013747928754625E-4</v>
      </c>
      <c r="R595">
        <v>1.4126049181319915E-3</v>
      </c>
      <c r="S595">
        <v>0.11326030979899385</v>
      </c>
      <c r="T595">
        <v>0.79446472831130144</v>
      </c>
      <c r="U595">
        <v>0</v>
      </c>
      <c r="V595">
        <v>0.2022645861756934</v>
      </c>
      <c r="W595">
        <v>9.0169825146103139E-2</v>
      </c>
      <c r="X595">
        <v>2.7766764127371939E-2</v>
      </c>
      <c r="Y595">
        <v>3.8446449220691679E-3</v>
      </c>
    </row>
    <row r="596" spans="1:25" x14ac:dyDescent="0.25">
      <c r="A596" s="1098"/>
      <c r="B596" s="1457">
        <v>346</v>
      </c>
      <c r="C596" s="1102">
        <v>1.0102120379308668</v>
      </c>
      <c r="D596" s="1102">
        <v>1.025604342820595</v>
      </c>
      <c r="E596" s="1102">
        <v>0.98076406827553564</v>
      </c>
      <c r="F596" s="1102">
        <v>1.0064380067856507</v>
      </c>
      <c r="G596" s="1102">
        <v>0.97384379602426485</v>
      </c>
      <c r="H596" s="1102">
        <v>1.0244443385041855</v>
      </c>
      <c r="I596" s="1102">
        <v>1.0149656298778564</v>
      </c>
      <c r="K596">
        <v>1.5579461148828173</v>
      </c>
      <c r="L596">
        <v>0</v>
      </c>
      <c r="M596">
        <v>1.6251484456893059E-3</v>
      </c>
      <c r="N596">
        <v>0.14109816732213373</v>
      </c>
      <c r="O596">
        <v>0.12024629609570703</v>
      </c>
      <c r="P596">
        <v>1.5525360255077858E-2</v>
      </c>
      <c r="Q596">
        <v>8.63277504995855E-4</v>
      </c>
      <c r="R596">
        <v>1.621531336375176E-3</v>
      </c>
      <c r="S596">
        <v>0.12026605158799687</v>
      </c>
      <c r="T596">
        <v>0.831846548597302</v>
      </c>
      <c r="U596">
        <v>0</v>
      </c>
      <c r="V596">
        <v>0.20312865744266007</v>
      </c>
      <c r="W596">
        <v>9.3765903321613719E-2</v>
      </c>
      <c r="X596">
        <v>2.6796196104692836E-2</v>
      </c>
      <c r="Y596">
        <v>4.4132737599518537E-3</v>
      </c>
    </row>
    <row r="597" spans="1:25" x14ac:dyDescent="0.25">
      <c r="A597" s="1098"/>
      <c r="B597" s="1457">
        <v>347</v>
      </c>
      <c r="C597" s="1102">
        <v>0.9834816902296315</v>
      </c>
      <c r="D597" s="1102">
        <v>0.96557299800236007</v>
      </c>
      <c r="E597" s="1102">
        <v>0.97379374081192016</v>
      </c>
      <c r="F597" s="1102">
        <v>0.99025487998322348</v>
      </c>
      <c r="G597" s="1102">
        <v>1.0125394544276047</v>
      </c>
      <c r="H597" s="1102">
        <v>1.0181193016616028</v>
      </c>
      <c r="I597" s="1102">
        <v>0.96089239578187424</v>
      </c>
      <c r="K597">
        <v>1.5646714126770156</v>
      </c>
      <c r="L597">
        <v>0</v>
      </c>
      <c r="M597">
        <v>1.7359059458224996E-3</v>
      </c>
      <c r="N597">
        <v>0.14756863272227966</v>
      </c>
      <c r="O597">
        <v>0.12316177380430995</v>
      </c>
      <c r="P597">
        <v>1.5339655515084758E-2</v>
      </c>
      <c r="Q597">
        <v>9.0177386833409324E-4</v>
      </c>
      <c r="R597">
        <v>1.7320445652218549E-3</v>
      </c>
      <c r="S597">
        <v>0.12046019550292693</v>
      </c>
      <c r="T597">
        <v>0.81893149996493764</v>
      </c>
      <c r="U597">
        <v>0</v>
      </c>
      <c r="V597">
        <v>0.20810269150158248</v>
      </c>
      <c r="W597">
        <v>9.8480320180147893E-2</v>
      </c>
      <c r="X597">
        <v>2.7014676659816501E-2</v>
      </c>
      <c r="Y597">
        <v>4.714054338196415E-3</v>
      </c>
    </row>
    <row r="598" spans="1:25" x14ac:dyDescent="0.25">
      <c r="A598" s="1098"/>
      <c r="B598" s="1457">
        <v>348</v>
      </c>
      <c r="C598" s="1102">
        <v>0.995996424337528</v>
      </c>
      <c r="D598" s="1102">
        <v>0.9998271263222418</v>
      </c>
      <c r="E598" s="1102">
        <v>1.0129143321280825</v>
      </c>
      <c r="F598" s="1102">
        <v>1.0279086120909906</v>
      </c>
      <c r="G598" s="1102">
        <v>1.0092364981759085</v>
      </c>
      <c r="H598" s="1102">
        <v>1.0065056434474902</v>
      </c>
      <c r="I598" s="1102">
        <v>1.04718402198994</v>
      </c>
      <c r="K598">
        <v>1.5984021901401975</v>
      </c>
      <c r="L598">
        <v>0</v>
      </c>
      <c r="M598">
        <v>1.5379979518317102E-3</v>
      </c>
      <c r="N598">
        <v>0.14715183554860717</v>
      </c>
      <c r="O598">
        <v>0.12350272492073222</v>
      </c>
      <c r="P598">
        <v>1.6267321640384989E-2</v>
      </c>
      <c r="Q598">
        <v>9.1459413187319988E-4</v>
      </c>
      <c r="R598">
        <v>1.5345306633973716E-3</v>
      </c>
      <c r="S598">
        <v>0.12639946978628266</v>
      </c>
      <c r="T598">
        <v>0.84740757592529503</v>
      </c>
      <c r="U598">
        <v>0</v>
      </c>
      <c r="V598">
        <v>0.20784791888845394</v>
      </c>
      <c r="W598">
        <v>9.5933342822644693E-2</v>
      </c>
      <c r="X598">
        <v>2.8804387156486699E-2</v>
      </c>
      <c r="Y598">
        <v>4.1764866078704095E-3</v>
      </c>
    </row>
    <row r="599" spans="1:25" x14ac:dyDescent="0.25">
      <c r="A599" s="1098"/>
      <c r="B599" s="1457">
        <v>349</v>
      </c>
      <c r="C599" s="1102">
        <v>1.0156442354630459</v>
      </c>
      <c r="D599" s="1102">
        <v>1.0247358605337411</v>
      </c>
      <c r="E599" s="1102">
        <v>1.0079222371174423</v>
      </c>
      <c r="F599" s="1102">
        <v>1.0256599278732661</v>
      </c>
      <c r="G599" s="1102">
        <v>1.0440714976272083</v>
      </c>
      <c r="H599" s="1102">
        <v>0.97189814285966936</v>
      </c>
      <c r="I599" s="1102">
        <v>1.0237303636268855</v>
      </c>
      <c r="K599">
        <v>1.5661739775750121</v>
      </c>
      <c r="L599">
        <v>0</v>
      </c>
      <c r="M599">
        <v>1.4528476529635473E-3</v>
      </c>
      <c r="N599">
        <v>0.1369137103962329</v>
      </c>
      <c r="O599">
        <v>0.12125599077838903</v>
      </c>
      <c r="P599">
        <v>1.6041254212522671E-2</v>
      </c>
      <c r="Q599">
        <v>8.8355657765636845E-4</v>
      </c>
      <c r="R599">
        <v>1.4494456417975296E-3</v>
      </c>
      <c r="S599">
        <v>0.11675735358268327</v>
      </c>
      <c r="T599">
        <v>0.84589004277279056</v>
      </c>
      <c r="U599">
        <v>0</v>
      </c>
      <c r="V599">
        <v>0.2069056887471257</v>
      </c>
      <c r="W599">
        <v>8.9521810112673267E-2</v>
      </c>
      <c r="X599">
        <v>2.8063059178759217E-2</v>
      </c>
      <c r="Y599">
        <v>3.944913227345471E-3</v>
      </c>
    </row>
    <row r="600" spans="1:25" x14ac:dyDescent="0.25">
      <c r="A600" s="1098"/>
      <c r="B600" s="1457">
        <v>350</v>
      </c>
      <c r="C600" s="1102">
        <v>0.97719443982531817</v>
      </c>
      <c r="D600" s="1102">
        <v>0.98900678219918459</v>
      </c>
      <c r="E600" s="1102">
        <v>1.0158715355700443</v>
      </c>
      <c r="F600" s="1102">
        <v>1.0062147272839759</v>
      </c>
      <c r="G600" s="1102">
        <v>1.0081155461605795</v>
      </c>
      <c r="H600" s="1102">
        <v>0.99222864455389059</v>
      </c>
      <c r="I600" s="1102">
        <v>0.969339725810761</v>
      </c>
      <c r="K600">
        <v>1.5754982576558378</v>
      </c>
      <c r="L600">
        <v>0</v>
      </c>
      <c r="M600">
        <v>1.5406899548637075E-3</v>
      </c>
      <c r="N600">
        <v>0.14872565000993751</v>
      </c>
      <c r="O600">
        <v>0.12345229402101969</v>
      </c>
      <c r="P600">
        <v>1.5957631940514496E-2</v>
      </c>
      <c r="Q600">
        <v>9.3911088623354559E-4</v>
      </c>
      <c r="R600">
        <v>1.5371622917862318E-3</v>
      </c>
      <c r="S600">
        <v>0.11866626553465891</v>
      </c>
      <c r="T600">
        <v>0.82932809665221618</v>
      </c>
      <c r="U600">
        <v>0</v>
      </c>
      <c r="V600">
        <v>0.20864111685270384</v>
      </c>
      <c r="W600">
        <v>9.6791019807768511E-2</v>
      </c>
      <c r="X600">
        <v>2.8816950581031679E-2</v>
      </c>
      <c r="Y600">
        <v>4.1836490328288215E-3</v>
      </c>
    </row>
    <row r="601" spans="1:25" x14ac:dyDescent="0.25">
      <c r="A601" s="1098"/>
      <c r="B601" s="1457">
        <v>351</v>
      </c>
      <c r="C601" s="1102">
        <v>1.0099077667309824</v>
      </c>
      <c r="D601" s="1102">
        <v>0.9923250754551225</v>
      </c>
      <c r="E601" s="1102">
        <v>0.96402100159886139</v>
      </c>
      <c r="F601" s="1102">
        <v>1.0127283209976219</v>
      </c>
      <c r="G601" s="1102">
        <v>1.0063409839024156</v>
      </c>
      <c r="H601" s="1102">
        <v>1.0098971874383726</v>
      </c>
      <c r="I601" s="1102">
        <v>0.9814087344647332</v>
      </c>
      <c r="K601">
        <v>1.564411130553051</v>
      </c>
      <c r="L601">
        <v>0</v>
      </c>
      <c r="M601">
        <v>1.6910748723926196E-3</v>
      </c>
      <c r="N601">
        <v>0.1395628783975261</v>
      </c>
      <c r="O601">
        <v>0.1221990135138908</v>
      </c>
      <c r="P601">
        <v>1.5411908514977717E-2</v>
      </c>
      <c r="Q601">
        <v>8.5972666235935487E-4</v>
      </c>
      <c r="R601">
        <v>1.6872796243467612E-3</v>
      </c>
      <c r="S601">
        <v>0.11751617659551244</v>
      </c>
      <c r="T601">
        <v>0.83818010074173421</v>
      </c>
      <c r="U601">
        <v>0</v>
      </c>
      <c r="V601">
        <v>0.20589958262858951</v>
      </c>
      <c r="W601">
        <v>9.3693779221104473E-2</v>
      </c>
      <c r="X601">
        <v>2.6499540599506006E-2</v>
      </c>
      <c r="Y601">
        <v>4.5922189258932027E-3</v>
      </c>
    </row>
    <row r="602" spans="1:25" x14ac:dyDescent="0.25">
      <c r="A602" s="1098"/>
      <c r="B602" s="1457">
        <v>352</v>
      </c>
      <c r="C602" s="1102">
        <v>0.99222506164917468</v>
      </c>
      <c r="D602" s="1102">
        <v>1.027666057959534</v>
      </c>
      <c r="E602" s="1102">
        <v>1.030844744338157</v>
      </c>
      <c r="F602" s="1102">
        <v>1.0224339665435676</v>
      </c>
      <c r="G602" s="1102">
        <v>1.0023621994811449</v>
      </c>
      <c r="H602" s="1102">
        <v>0.99134191873176603</v>
      </c>
      <c r="I602" s="1102">
        <v>1.006848294089435</v>
      </c>
      <c r="K602">
        <v>1.5790384655082628</v>
      </c>
      <c r="L602">
        <v>0</v>
      </c>
      <c r="M602">
        <v>1.4412381469281546E-3</v>
      </c>
      <c r="N602">
        <v>0.14555062690934084</v>
      </c>
      <c r="O602">
        <v>0.12204060576635445</v>
      </c>
      <c r="P602">
        <v>1.6281441516336374E-2</v>
      </c>
      <c r="Q602">
        <v>9.2488044961110951E-4</v>
      </c>
      <c r="R602">
        <v>1.4379218005203E-3</v>
      </c>
      <c r="S602">
        <v>0.11878509970772672</v>
      </c>
      <c r="T602">
        <v>0.84169702688229342</v>
      </c>
      <c r="U602">
        <v>0</v>
      </c>
      <c r="V602">
        <v>0.2067779473887425</v>
      </c>
      <c r="W602">
        <v>9.3900693332565927E-2</v>
      </c>
      <c r="X602">
        <v>2.9169910771477708E-2</v>
      </c>
      <c r="Y602">
        <v>3.9135491302221079E-3</v>
      </c>
    </row>
    <row r="603" spans="1:25" x14ac:dyDescent="0.25">
      <c r="A603" s="1098"/>
      <c r="B603" s="1457">
        <v>353</v>
      </c>
      <c r="C603" s="1102">
        <v>0.97698542098459007</v>
      </c>
      <c r="D603" s="1102">
        <v>0.97668808484615699</v>
      </c>
      <c r="E603" s="1102">
        <v>1.008995880201373</v>
      </c>
      <c r="F603" s="1102">
        <v>0.98405913176951376</v>
      </c>
      <c r="G603" s="1102">
        <v>1.0309552561677311</v>
      </c>
      <c r="H603" s="1102">
        <v>0.96538676930525824</v>
      </c>
      <c r="I603" s="1102">
        <v>1.0004944937971265</v>
      </c>
      <c r="K603">
        <v>1.5519520058141925</v>
      </c>
      <c r="L603">
        <v>0</v>
      </c>
      <c r="M603">
        <v>1.5289709316934645E-3</v>
      </c>
      <c r="N603">
        <v>0.14455367029041186</v>
      </c>
      <c r="O603">
        <v>0.12245748518250547</v>
      </c>
      <c r="P603">
        <v>1.5668717897147289E-2</v>
      </c>
      <c r="Q603">
        <v>9.3737113172080407E-4</v>
      </c>
      <c r="R603">
        <v>1.5253737430572527E-3</v>
      </c>
      <c r="S603">
        <v>0.12106327883275785</v>
      </c>
      <c r="T603">
        <v>0.8115112613243386</v>
      </c>
      <c r="U603">
        <v>0</v>
      </c>
      <c r="V603">
        <v>0.20889271974695861</v>
      </c>
      <c r="W603">
        <v>9.4457348697900914E-2</v>
      </c>
      <c r="X603">
        <v>2.8262185409805188E-2</v>
      </c>
      <c r="Y603">
        <v>4.151564489282584E-3</v>
      </c>
    </row>
    <row r="604" spans="1:25" x14ac:dyDescent="0.25">
      <c r="A604" s="1098"/>
      <c r="B604" s="1457">
        <v>354</v>
      </c>
      <c r="C604" s="1102">
        <v>0.99517444517356801</v>
      </c>
      <c r="D604" s="1102">
        <v>0.98377757615411854</v>
      </c>
      <c r="E604" s="1102">
        <v>1.0093793210286559</v>
      </c>
      <c r="F604" s="1102">
        <v>1.0186475723544119</v>
      </c>
      <c r="G604" s="1102">
        <v>0.9647288269007579</v>
      </c>
      <c r="H604" s="1102">
        <v>0.99119904366855371</v>
      </c>
      <c r="I604" s="1102">
        <v>0.99592228097194591</v>
      </c>
      <c r="K604">
        <v>1.5804601100013369</v>
      </c>
      <c r="L604">
        <v>0</v>
      </c>
      <c r="M604">
        <v>1.5399697840495601E-3</v>
      </c>
      <c r="N604">
        <v>0.14577211051594172</v>
      </c>
      <c r="O604">
        <v>0.12363270176101224</v>
      </c>
      <c r="P604">
        <v>1.601142369311535E-2</v>
      </c>
      <c r="Q604">
        <v>9.1794327272301307E-4</v>
      </c>
      <c r="R604">
        <v>1.5364513472650061E-3</v>
      </c>
      <c r="S604">
        <v>0.12018545304526297</v>
      </c>
      <c r="T604">
        <v>0.84000919273439167</v>
      </c>
      <c r="U604">
        <v>0</v>
      </c>
      <c r="V604">
        <v>0.20591897064374662</v>
      </c>
      <c r="W604">
        <v>9.523197921309394E-2</v>
      </c>
      <c r="X604">
        <v>2.8602139482626205E-2</v>
      </c>
      <c r="Y604">
        <v>4.1817140762048441E-3</v>
      </c>
    </row>
    <row r="605" spans="1:25" x14ac:dyDescent="0.25">
      <c r="A605" s="1098"/>
      <c r="B605" s="1457">
        <v>355</v>
      </c>
      <c r="C605" s="1102">
        <v>0.99609925200470428</v>
      </c>
      <c r="D605" s="1102">
        <v>1.0074260088266345</v>
      </c>
      <c r="E605" s="1102">
        <v>1.0091011479247989</v>
      </c>
      <c r="F605" s="1102">
        <v>1.0280638062320959</v>
      </c>
      <c r="G605" s="1102">
        <v>1.0002195378429086</v>
      </c>
      <c r="H605" s="1102">
        <v>1.0216751398664838</v>
      </c>
      <c r="I605" s="1102">
        <v>0.99581645519691542</v>
      </c>
      <c r="K605">
        <v>1.5938928217404846</v>
      </c>
      <c r="L605">
        <v>0</v>
      </c>
      <c r="M605">
        <v>1.5666986637768187E-3</v>
      </c>
      <c r="N605">
        <v>0.14818680111623297</v>
      </c>
      <c r="O605">
        <v>0.12317527333911066</v>
      </c>
      <c r="P605">
        <v>1.6141491905536123E-2</v>
      </c>
      <c r="Q605">
        <v>9.0815778007084704E-4</v>
      </c>
      <c r="R605">
        <v>1.5632147226281119E-3</v>
      </c>
      <c r="S605">
        <v>0.12083720605754812</v>
      </c>
      <c r="T605">
        <v>0.84779291205679475</v>
      </c>
      <c r="U605">
        <v>0</v>
      </c>
      <c r="V605">
        <v>0.20719986338943311</v>
      </c>
      <c r="W605">
        <v>9.6825371671311555E-2</v>
      </c>
      <c r="X605">
        <v>2.8574673204193605E-2</v>
      </c>
      <c r="Y605">
        <v>4.2545551613989005E-3</v>
      </c>
    </row>
    <row r="606" spans="1:25" x14ac:dyDescent="0.25">
      <c r="A606" s="1098"/>
      <c r="B606" s="1457">
        <v>356</v>
      </c>
      <c r="C606" s="1102">
        <v>1.0116095086432353</v>
      </c>
      <c r="D606" s="1102">
        <v>0.9899450293808586</v>
      </c>
      <c r="E606" s="1102">
        <v>1.0036863742885795</v>
      </c>
      <c r="F606" s="1102">
        <v>1.011932767061495</v>
      </c>
      <c r="G606" s="1102">
        <v>0.99205729407494747</v>
      </c>
      <c r="H606" s="1102">
        <v>1.0230544160608688</v>
      </c>
      <c r="I606" s="1102">
        <v>1.0201740524707998</v>
      </c>
      <c r="K606">
        <v>1.5776112747492204</v>
      </c>
      <c r="L606">
        <v>0</v>
      </c>
      <c r="M606">
        <v>1.5777294039158393E-3</v>
      </c>
      <c r="N606">
        <v>0.14681122871303318</v>
      </c>
      <c r="O606">
        <v>0.12205348251503977</v>
      </c>
      <c r="P606">
        <v>1.5906027744883363E-2</v>
      </c>
      <c r="Q606">
        <v>8.9549254981354887E-4</v>
      </c>
      <c r="R606">
        <v>1.5742357158636407E-3</v>
      </c>
      <c r="S606">
        <v>0.1232708757883083</v>
      </c>
      <c r="T606">
        <v>0.8348510341622859</v>
      </c>
      <c r="U606">
        <v>0</v>
      </c>
      <c r="V606">
        <v>0.20521794991167405</v>
      </c>
      <c r="W606">
        <v>9.6234225971137205E-2</v>
      </c>
      <c r="X606">
        <v>2.808990040917949E-2</v>
      </c>
      <c r="Y606">
        <v>4.2845506719165665E-3</v>
      </c>
    </row>
    <row r="607" spans="1:25" x14ac:dyDescent="0.25">
      <c r="A607" s="1098"/>
      <c r="B607" s="1457">
        <v>357</v>
      </c>
      <c r="C607" s="1102">
        <v>1.0030308197728561</v>
      </c>
      <c r="D607" s="1102">
        <v>0.95761878137224943</v>
      </c>
      <c r="E607" s="1102">
        <v>0.98811178142665945</v>
      </c>
      <c r="F607" s="1102">
        <v>1.0062036510356998</v>
      </c>
      <c r="G607" s="1102">
        <v>0.98588626822542746</v>
      </c>
      <c r="H607" s="1102">
        <v>0.98533173375822736</v>
      </c>
      <c r="I607" s="1102">
        <v>1.0446293082501199</v>
      </c>
      <c r="K607">
        <v>1.5740232573327673</v>
      </c>
      <c r="L607">
        <v>0</v>
      </c>
      <c r="M607">
        <v>1.6111847386853467E-3</v>
      </c>
      <c r="N607">
        <v>0.14302044270735945</v>
      </c>
      <c r="O607">
        <v>0.12361275464392615</v>
      </c>
      <c r="P607">
        <v>1.5730969463061212E-2</v>
      </c>
      <c r="Q607">
        <v>9.005331175993142E-4</v>
      </c>
      <c r="R607">
        <v>1.6074969021419795E-3</v>
      </c>
      <c r="S607">
        <v>0.1265343636058818</v>
      </c>
      <c r="T607">
        <v>0.83116107226046609</v>
      </c>
      <c r="U607">
        <v>0</v>
      </c>
      <c r="V607">
        <v>0.20634263421067603</v>
      </c>
      <c r="W607">
        <v>9.4624065483680381E-2</v>
      </c>
      <c r="X607">
        <v>2.7725033020240444E-2</v>
      </c>
      <c r="Y607">
        <v>4.3750766564190939E-3</v>
      </c>
    </row>
    <row r="608" spans="1:25" x14ac:dyDescent="0.25">
      <c r="A608" s="1098"/>
      <c r="B608" s="1457">
        <v>358</v>
      </c>
      <c r="C608" s="1102">
        <v>1.0362921793582238</v>
      </c>
      <c r="D608" s="1102">
        <v>0.98778718881633409</v>
      </c>
      <c r="E608" s="1102">
        <v>0.99689930592447451</v>
      </c>
      <c r="F608" s="1102">
        <v>0.95693079654622792</v>
      </c>
      <c r="G608" s="1102">
        <v>1.0030507359529508</v>
      </c>
      <c r="H608" s="1102">
        <v>0.98670205160144464</v>
      </c>
      <c r="I608" s="1102">
        <v>1.0160735612149916</v>
      </c>
      <c r="K608">
        <v>1.4989041548718585</v>
      </c>
      <c r="L608">
        <v>0</v>
      </c>
      <c r="M608">
        <v>1.5045486629529869E-3</v>
      </c>
      <c r="N608">
        <v>0.13714823398112216</v>
      </c>
      <c r="O608">
        <v>0.11708126661403005</v>
      </c>
      <c r="P608">
        <v>1.5069661708640514E-2</v>
      </c>
      <c r="Q608">
        <v>8.6879265012508784E-4</v>
      </c>
      <c r="R608">
        <v>1.5010868120800679E-3</v>
      </c>
      <c r="S608">
        <v>0.11694897168611962</v>
      </c>
      <c r="T608">
        <v>0.78990273894907015</v>
      </c>
      <c r="U608">
        <v>0</v>
      </c>
      <c r="V608">
        <v>0.2009103681532948</v>
      </c>
      <c r="W608">
        <v>9.0263461737433132E-2</v>
      </c>
      <c r="X608">
        <v>2.6628657773548135E-2</v>
      </c>
      <c r="Y608">
        <v>4.0854634693473319E-3</v>
      </c>
    </row>
    <row r="609" spans="1:25" x14ac:dyDescent="0.25">
      <c r="A609" s="1098"/>
      <c r="B609" s="1457">
        <v>359</v>
      </c>
      <c r="C609" s="1102">
        <v>1.0223652050134611</v>
      </c>
      <c r="D609" s="1102">
        <v>0.96971523086012035</v>
      </c>
      <c r="E609" s="1102">
        <v>0.96670450468649172</v>
      </c>
      <c r="F609" s="1102">
        <v>1.0067016323979487</v>
      </c>
      <c r="G609" s="1102">
        <v>1.0163637533315231</v>
      </c>
      <c r="H609" s="1102">
        <v>1.0035386561430126</v>
      </c>
      <c r="I609" s="1102">
        <v>0.96906000099922829</v>
      </c>
      <c r="K609">
        <v>1.5565026178563135</v>
      </c>
      <c r="L609">
        <v>0</v>
      </c>
      <c r="M609">
        <v>1.6732885209873637E-3</v>
      </c>
      <c r="N609">
        <v>0.13922138754555946</v>
      </c>
      <c r="O609">
        <v>0.12216209039371483</v>
      </c>
      <c r="P609">
        <v>1.534937294536998E-2</v>
      </c>
      <c r="Q609">
        <v>8.5954948081955933E-4</v>
      </c>
      <c r="R609">
        <v>1.6695256828126149E-3</v>
      </c>
      <c r="S609">
        <v>0.11576629538543133</v>
      </c>
      <c r="T609">
        <v>0.83301078478927704</v>
      </c>
      <c r="U609">
        <v>0</v>
      </c>
      <c r="V609">
        <v>0.20571612733108705</v>
      </c>
      <c r="W609">
        <v>9.3311432904954458E-2</v>
      </c>
      <c r="X609">
        <v>2.6565441368651532E-2</v>
      </c>
      <c r="Y609">
        <v>4.5438985496225109E-3</v>
      </c>
    </row>
    <row r="610" spans="1:25" x14ac:dyDescent="0.25">
      <c r="A610" s="1098"/>
      <c r="B610" s="1457">
        <v>360</v>
      </c>
      <c r="C610" s="1102">
        <v>1.0137310683613991</v>
      </c>
      <c r="D610" s="1102">
        <v>1.0210646428953707</v>
      </c>
      <c r="E610" s="1102">
        <v>1.0169417598362342</v>
      </c>
      <c r="F610" s="1102">
        <v>1.0072030790098612</v>
      </c>
      <c r="G610" s="1102">
        <v>1.0180124467999603</v>
      </c>
      <c r="H610" s="1102">
        <v>1.0348365269472137</v>
      </c>
      <c r="I610" s="1102">
        <v>1.0121349790918086</v>
      </c>
      <c r="K610">
        <v>1.5686219911519506</v>
      </c>
      <c r="L610">
        <v>0</v>
      </c>
      <c r="M610">
        <v>1.5219760670309272E-3</v>
      </c>
      <c r="N610">
        <v>0.14740749588174501</v>
      </c>
      <c r="O610">
        <v>0.12021641068506501</v>
      </c>
      <c r="P610">
        <v>1.5959722892802428E-2</v>
      </c>
      <c r="Q610">
        <v>8.9476962543003134E-4</v>
      </c>
      <c r="R610">
        <v>1.5186261257741287E-3</v>
      </c>
      <c r="S610">
        <v>0.12073995585864596</v>
      </c>
      <c r="T610">
        <v>0.83007211458719288</v>
      </c>
      <c r="U610">
        <v>0</v>
      </c>
      <c r="V610">
        <v>0.2050660655269641</v>
      </c>
      <c r="W610">
        <v>9.5872943342792991E-2</v>
      </c>
      <c r="X610">
        <v>2.8262662993177264E-2</v>
      </c>
      <c r="Y610">
        <v>4.1331996993893613E-3</v>
      </c>
    </row>
    <row r="611" spans="1:25" x14ac:dyDescent="0.25">
      <c r="A611" s="1098"/>
      <c r="B611" s="1457">
        <v>361</v>
      </c>
      <c r="C611" s="1102">
        <v>1.012347329371865</v>
      </c>
      <c r="D611" s="1102">
        <v>1.0001512985875358</v>
      </c>
      <c r="E611" s="1102">
        <v>1.0104167172405196</v>
      </c>
      <c r="F611" s="1102">
        <v>0.98857528001559314</v>
      </c>
      <c r="G611" s="1102">
        <v>0.99673975995915753</v>
      </c>
      <c r="H611" s="1102">
        <v>0.98622930655119478</v>
      </c>
      <c r="I611" s="1102">
        <v>1.0446432780528609</v>
      </c>
      <c r="K611">
        <v>1.5430398354028083</v>
      </c>
      <c r="L611">
        <v>0</v>
      </c>
      <c r="M611">
        <v>1.4874700374784789E-3</v>
      </c>
      <c r="N611">
        <v>0.14124134168017374</v>
      </c>
      <c r="O611">
        <v>0.11991093213031155</v>
      </c>
      <c r="P611">
        <v>1.568183946548031E-2</v>
      </c>
      <c r="Q611">
        <v>8.9739297916522427E-4</v>
      </c>
      <c r="R611">
        <v>1.4840414444505894E-3</v>
      </c>
      <c r="S611">
        <v>0.12222191967476766</v>
      </c>
      <c r="T611">
        <v>0.81514325138688015</v>
      </c>
      <c r="U611">
        <v>0</v>
      </c>
      <c r="V611">
        <v>0.20386111295716733</v>
      </c>
      <c r="W611">
        <v>9.2215624514015881E-2</v>
      </c>
      <c r="X611">
        <v>2.7830777610209759E-2</v>
      </c>
      <c r="Y611">
        <v>4.0390715976638195E-3</v>
      </c>
    </row>
    <row r="612" spans="1:25" x14ac:dyDescent="0.25">
      <c r="A612" s="1098"/>
      <c r="B612" s="1457">
        <v>362</v>
      </c>
      <c r="C612" s="1102">
        <v>0.96734560355008792</v>
      </c>
      <c r="D612" s="1102">
        <v>1.01069239134491</v>
      </c>
      <c r="E612" s="1102">
        <v>1.0131805976915644</v>
      </c>
      <c r="F612" s="1102">
        <v>0.96636691934871077</v>
      </c>
      <c r="G612" s="1102">
        <v>0.99707385856331832</v>
      </c>
      <c r="H612" s="1102">
        <v>0.97687221814374436</v>
      </c>
      <c r="I612" s="1102">
        <v>0.99683226099246558</v>
      </c>
      <c r="K612">
        <v>1.5314880381509495</v>
      </c>
      <c r="L612">
        <v>0</v>
      </c>
      <c r="M612">
        <v>1.5161932232360795E-3</v>
      </c>
      <c r="N612">
        <v>0.14516933918091213</v>
      </c>
      <c r="O612">
        <v>0.12018336301332112</v>
      </c>
      <c r="P612">
        <v>1.5463660629353927E-2</v>
      </c>
      <c r="Q612">
        <v>9.3787716065525531E-4</v>
      </c>
      <c r="R612">
        <v>1.5126406085557993E-3</v>
      </c>
      <c r="S612">
        <v>0.12013167015116015</v>
      </c>
      <c r="T612">
        <v>0.79665574378825965</v>
      </c>
      <c r="U612">
        <v>0</v>
      </c>
      <c r="V612">
        <v>0.2062596401192765</v>
      </c>
      <c r="W612">
        <v>9.4626062432085808E-2</v>
      </c>
      <c r="X612">
        <v>2.7947325195959574E-2</v>
      </c>
      <c r="Y612">
        <v>4.1169090946462884E-3</v>
      </c>
    </row>
    <row r="613" spans="1:25" x14ac:dyDescent="0.25">
      <c r="A613" s="1098"/>
      <c r="B613" s="1457">
        <v>363</v>
      </c>
      <c r="C613" s="1102">
        <v>0.96979023873748471</v>
      </c>
      <c r="D613" s="1102">
        <v>0.9801952448113187</v>
      </c>
      <c r="E613" s="1102">
        <v>1.0029082054020921</v>
      </c>
      <c r="F613" s="1102">
        <v>0.97945496348089833</v>
      </c>
      <c r="G613" s="1102">
        <v>1.0363194407905731</v>
      </c>
      <c r="H613" s="1102">
        <v>1.0127898113023552</v>
      </c>
      <c r="I613" s="1102">
        <v>0.97057679277597875</v>
      </c>
      <c r="K613">
        <v>1.5614257693386742</v>
      </c>
      <c r="L613">
        <v>0</v>
      </c>
      <c r="M613">
        <v>1.6316558907145961E-3</v>
      </c>
      <c r="N613">
        <v>0.15146795889864334</v>
      </c>
      <c r="O613">
        <v>0.12236470502045232</v>
      </c>
      <c r="P613">
        <v>1.5568182958054349E-2</v>
      </c>
      <c r="Q613">
        <v>9.3705846565384811E-4</v>
      </c>
      <c r="R613">
        <v>1.6279911775074021E-3</v>
      </c>
      <c r="S613">
        <v>0.12176619134833601</v>
      </c>
      <c r="T613">
        <v>0.80810687108248569</v>
      </c>
      <c r="U613">
        <v>0</v>
      </c>
      <c r="V613">
        <v>0.20940708218552748</v>
      </c>
      <c r="W613">
        <v>9.9332507071195092E-2</v>
      </c>
      <c r="X613">
        <v>2.8048021703504369E-2</v>
      </c>
      <c r="Y613">
        <v>4.4308553180277162E-3</v>
      </c>
    </row>
    <row r="614" spans="1:25" x14ac:dyDescent="0.25">
      <c r="A614" s="1098"/>
      <c r="B614" s="1457">
        <v>364</v>
      </c>
      <c r="C614" s="1102">
        <v>0.980352994770891</v>
      </c>
      <c r="D614" s="1102">
        <v>1.0065283033600771</v>
      </c>
      <c r="E614" s="1102">
        <v>0.97906180320266689</v>
      </c>
      <c r="F614" s="1102">
        <v>1.0225973716968744</v>
      </c>
      <c r="G614" s="1102">
        <v>1.0091058486483395</v>
      </c>
      <c r="H614" s="1102">
        <v>0.99314346793946873</v>
      </c>
      <c r="I614" s="1102">
        <v>1.0336082936967101</v>
      </c>
      <c r="K614">
        <v>1.5879135564498963</v>
      </c>
      <c r="L614">
        <v>0</v>
      </c>
      <c r="M614">
        <v>1.6450952749914069E-3</v>
      </c>
      <c r="N614">
        <v>0.14208695691718898</v>
      </c>
      <c r="O614">
        <v>0.12375711459515816</v>
      </c>
      <c r="P614">
        <v>1.582304423004275E-2</v>
      </c>
      <c r="Q614">
        <v>8.9467904325212378E-4</v>
      </c>
      <c r="R614">
        <v>1.6413266589077266E-3</v>
      </c>
      <c r="S614">
        <v>0.12493674226592491</v>
      </c>
      <c r="T614">
        <v>0.84531871494894173</v>
      </c>
      <c r="U614">
        <v>0</v>
      </c>
      <c r="V614">
        <v>0.20865714694646939</v>
      </c>
      <c r="W614">
        <v>9.4520108186851179E-2</v>
      </c>
      <c r="X614">
        <v>2.7455667829791131E-2</v>
      </c>
      <c r="Y614">
        <v>4.4671501023591364E-3</v>
      </c>
    </row>
    <row r="615" spans="1:25" x14ac:dyDescent="0.25">
      <c r="A615" s="1098"/>
      <c r="B615" s="1457">
        <v>365</v>
      </c>
      <c r="C615" s="1102">
        <v>0.99961829010108727</v>
      </c>
      <c r="D615" s="1102">
        <v>1.0182068567481504</v>
      </c>
      <c r="E615" s="1102">
        <v>0.98601130507529655</v>
      </c>
      <c r="F615" s="1102">
        <v>1.0010095273037967</v>
      </c>
      <c r="G615" s="1102">
        <v>0.99005252512679542</v>
      </c>
      <c r="H615" s="1102">
        <v>1.0111551627511426</v>
      </c>
      <c r="I615" s="1102">
        <v>0.99627683718983429</v>
      </c>
      <c r="K615">
        <v>1.5547927741271139</v>
      </c>
      <c r="L615">
        <v>0</v>
      </c>
      <c r="M615">
        <v>1.6083256770148991E-3</v>
      </c>
      <c r="N615">
        <v>0.14186751565674779</v>
      </c>
      <c r="O615">
        <v>0.12071329026487994</v>
      </c>
      <c r="P615">
        <v>1.5521913502388454E-2</v>
      </c>
      <c r="Q615">
        <v>8.7977187592005405E-4</v>
      </c>
      <c r="R615">
        <v>1.6046992177289313E-3</v>
      </c>
      <c r="S615">
        <v>0.11869856113987558</v>
      </c>
      <c r="T615">
        <v>0.82701021499995941</v>
      </c>
      <c r="U615">
        <v>0</v>
      </c>
      <c r="V615">
        <v>0.20469060536807435</v>
      </c>
      <c r="W615">
        <v>9.3979731433379426E-2</v>
      </c>
      <c r="X615">
        <v>2.7067334063471577E-2</v>
      </c>
      <c r="Y615">
        <v>4.3674622817031954E-3</v>
      </c>
    </row>
    <row r="616" spans="1:25" x14ac:dyDescent="0.25">
      <c r="A616" s="1098"/>
      <c r="B616" s="1457">
        <v>366</v>
      </c>
      <c r="C616" s="1102">
        <v>1.0461085961523398</v>
      </c>
      <c r="D616" s="1102">
        <v>1.0101028865919106</v>
      </c>
      <c r="E616" s="1102">
        <v>1.0087232654292488</v>
      </c>
      <c r="F616" s="1102">
        <v>0.99568181420369106</v>
      </c>
      <c r="G616" s="1102">
        <v>0.9813870737694651</v>
      </c>
      <c r="H616" s="1102">
        <v>1.0359499778631061</v>
      </c>
      <c r="I616" s="1102">
        <v>1.010714851056008</v>
      </c>
      <c r="K616">
        <v>1.5422504875280909</v>
      </c>
      <c r="L616">
        <v>0</v>
      </c>
      <c r="M616">
        <v>1.5132033351161307E-3</v>
      </c>
      <c r="N616">
        <v>0.14296831486000675</v>
      </c>
      <c r="O616">
        <v>0.11832756142274835</v>
      </c>
      <c r="P616">
        <v>1.563738374720073E-2</v>
      </c>
      <c r="Q616">
        <v>8.6348902553111319E-4</v>
      </c>
      <c r="R616">
        <v>1.5098868614028158E-3</v>
      </c>
      <c r="S616">
        <v>0.11777184238820114</v>
      </c>
      <c r="T616">
        <v>0.82111382888700357</v>
      </c>
      <c r="U616">
        <v>0</v>
      </c>
      <c r="V616">
        <v>0.20054101001140287</v>
      </c>
      <c r="W616">
        <v>9.3436444485656675E-2</v>
      </c>
      <c r="X616">
        <v>2.7484514871384206E-2</v>
      </c>
      <c r="Y616">
        <v>4.1094143026683717E-3</v>
      </c>
    </row>
    <row r="617" spans="1:25" x14ac:dyDescent="0.25">
      <c r="A617" s="1098"/>
      <c r="B617" s="1457">
        <v>367</v>
      </c>
      <c r="C617" s="1102">
        <v>1.0013825859720378</v>
      </c>
      <c r="D617" s="1102">
        <v>0.98204054677516528</v>
      </c>
      <c r="E617" s="1102">
        <v>0.98515286021462767</v>
      </c>
      <c r="F617" s="1102">
        <v>1.0060260848158633</v>
      </c>
      <c r="G617" s="1102">
        <v>1.0090721847367563</v>
      </c>
      <c r="H617" s="1102">
        <v>1.0015225428809169</v>
      </c>
      <c r="I617" s="1102">
        <v>1.0003758204122188</v>
      </c>
      <c r="K617">
        <v>1.5676841201684375</v>
      </c>
      <c r="L617">
        <v>0</v>
      </c>
      <c r="M617">
        <v>1.6268317241691025E-3</v>
      </c>
      <c r="N617">
        <v>0.14312683134341206</v>
      </c>
      <c r="O617">
        <v>0.12256898391944301</v>
      </c>
      <c r="P617">
        <v>1.5625071759389045E-2</v>
      </c>
      <c r="Q617">
        <v>8.9021999990307856E-4</v>
      </c>
      <c r="R617">
        <v>1.6231523733720404E-3</v>
      </c>
      <c r="S617">
        <v>0.12084055736227983</v>
      </c>
      <c r="T617">
        <v>0.83121218813743403</v>
      </c>
      <c r="U617">
        <v>0</v>
      </c>
      <c r="V617">
        <v>0.20674232065128242</v>
      </c>
      <c r="W617">
        <v>9.4862904023986935E-2</v>
      </c>
      <c r="X617">
        <v>2.7401036633821447E-2</v>
      </c>
      <c r="Y617">
        <v>4.4176856882826169E-3</v>
      </c>
    </row>
    <row r="618" spans="1:25" x14ac:dyDescent="0.25">
      <c r="A618" s="1098"/>
      <c r="B618" s="1457">
        <v>368</v>
      </c>
      <c r="C618" s="1102">
        <v>1.0044468861982838</v>
      </c>
      <c r="D618" s="1102">
        <v>1.0036665993830807</v>
      </c>
      <c r="E618" s="1102">
        <v>1.0138874897089845</v>
      </c>
      <c r="F618" s="1102">
        <v>0.99484399208472685</v>
      </c>
      <c r="G618" s="1102">
        <v>1.0138441738021591</v>
      </c>
      <c r="H618" s="1102">
        <v>1.0188579053857827</v>
      </c>
      <c r="I618" s="1102">
        <v>1.0112405112127727</v>
      </c>
      <c r="K618">
        <v>1.5600088081950207</v>
      </c>
      <c r="L618">
        <v>0</v>
      </c>
      <c r="M618">
        <v>1.5344450984174796E-3</v>
      </c>
      <c r="N618">
        <v>0.1472469701135683</v>
      </c>
      <c r="O618">
        <v>0.12058523326058761</v>
      </c>
      <c r="P618">
        <v>1.5804286980510184E-2</v>
      </c>
      <c r="Q618">
        <v>9.0641789483402726E-4</v>
      </c>
      <c r="R618">
        <v>1.5310191843551509E-3</v>
      </c>
      <c r="S618">
        <v>0.12159353984536672</v>
      </c>
      <c r="T618">
        <v>0.82008562060393286</v>
      </c>
      <c r="U618">
        <v>0</v>
      </c>
      <c r="V618">
        <v>0.20551468551045748</v>
      </c>
      <c r="W618">
        <v>9.594044066643817E-2</v>
      </c>
      <c r="X618">
        <v>2.8168109713909047E-2</v>
      </c>
      <c r="Y618">
        <v>4.1669295194762387E-3</v>
      </c>
    </row>
    <row r="619" spans="1:25" x14ac:dyDescent="0.25">
      <c r="A619" s="1098"/>
      <c r="B619" s="1457">
        <v>369</v>
      </c>
      <c r="C619" s="1102">
        <v>0.99192095939035541</v>
      </c>
      <c r="D619" s="1102">
        <v>0.98216258198384532</v>
      </c>
      <c r="E619" s="1102">
        <v>1.0090157069097418</v>
      </c>
      <c r="F619" s="1102">
        <v>0.98205083568382157</v>
      </c>
      <c r="G619" s="1102">
        <v>0.97374579152525931</v>
      </c>
      <c r="H619" s="1102">
        <v>1.0056912470126689</v>
      </c>
      <c r="I619" s="1102">
        <v>0.99516883160107084</v>
      </c>
      <c r="K619">
        <v>1.5509535942113279</v>
      </c>
      <c r="L619">
        <v>0</v>
      </c>
      <c r="M619">
        <v>1.5653801256764724E-3</v>
      </c>
      <c r="N619">
        <v>0.1480187832310603</v>
      </c>
      <c r="O619">
        <v>0.12128191813960888</v>
      </c>
      <c r="P619">
        <v>1.559541313007325E-2</v>
      </c>
      <c r="Q619">
        <v>9.2121388924229107E-4</v>
      </c>
      <c r="R619">
        <v>1.5618451588312969E-3</v>
      </c>
      <c r="S619">
        <v>0.1215206271592205</v>
      </c>
      <c r="T619">
        <v>0.80985382619414314</v>
      </c>
      <c r="U619">
        <v>0</v>
      </c>
      <c r="V619">
        <v>0.20473756911151142</v>
      </c>
      <c r="W619">
        <v>9.6720465168981848E-2</v>
      </c>
      <c r="X619">
        <v>2.805648549410817E-2</v>
      </c>
      <c r="Y619">
        <v>4.250827660220554E-3</v>
      </c>
    </row>
    <row r="620" spans="1:25" x14ac:dyDescent="0.25">
      <c r="A620" s="1098"/>
      <c r="B620" s="1457">
        <v>370</v>
      </c>
      <c r="C620" s="1102">
        <v>1.020413220793055</v>
      </c>
      <c r="D620" s="1102">
        <v>1.0120664501324477</v>
      </c>
      <c r="E620" s="1102">
        <v>1.009076185430809</v>
      </c>
      <c r="F620" s="1102">
        <v>1.0037190485175453</v>
      </c>
      <c r="G620" s="1102">
        <v>1.0302344868253455</v>
      </c>
      <c r="H620" s="1102">
        <v>1.0049933342367041</v>
      </c>
      <c r="I620" s="1102">
        <v>0.99635578878165432</v>
      </c>
      <c r="K620">
        <v>1.5525198127117139</v>
      </c>
      <c r="L620">
        <v>0</v>
      </c>
      <c r="M620">
        <v>1.5004520310642623E-3</v>
      </c>
      <c r="N620">
        <v>0.14190462220002487</v>
      </c>
      <c r="O620">
        <v>0.12005079335841412</v>
      </c>
      <c r="P620">
        <v>1.5776551910861376E-2</v>
      </c>
      <c r="Q620">
        <v>8.8486763659062473E-4</v>
      </c>
      <c r="R620">
        <v>1.4970571738028499E-3</v>
      </c>
      <c r="S620">
        <v>0.11640810863331114</v>
      </c>
      <c r="T620">
        <v>0.82771865202413752</v>
      </c>
      <c r="U620">
        <v>0</v>
      </c>
      <c r="V620">
        <v>0.20514006402970952</v>
      </c>
      <c r="W620">
        <v>9.2721956875137859E-2</v>
      </c>
      <c r="X620">
        <v>2.7843094778461301E-2</v>
      </c>
      <c r="Y620">
        <v>4.0744961223266457E-3</v>
      </c>
    </row>
    <row r="621" spans="1:25" x14ac:dyDescent="0.25">
      <c r="A621" s="1098"/>
      <c r="B621" s="1457">
        <v>371</v>
      </c>
      <c r="C621" s="1102">
        <v>0.98115305825521648</v>
      </c>
      <c r="D621" s="1102">
        <v>0.98889964415437304</v>
      </c>
      <c r="E621" s="1102">
        <v>0.99899667027406025</v>
      </c>
      <c r="F621" s="1102">
        <v>0.9992902977915058</v>
      </c>
      <c r="G621" s="1102">
        <v>0.97064850504240208</v>
      </c>
      <c r="H621" s="1102">
        <v>1.0089647738394725</v>
      </c>
      <c r="I621" s="1102">
        <v>0.99258741362737768</v>
      </c>
      <c r="K621">
        <v>1.5707420290342693</v>
      </c>
      <c r="L621">
        <v>0</v>
      </c>
      <c r="M621">
        <v>1.6157138674897584E-3</v>
      </c>
      <c r="N621">
        <v>0.14822518691677017</v>
      </c>
      <c r="O621">
        <v>0.12279896796721448</v>
      </c>
      <c r="P621">
        <v>1.5713298910251187E-2</v>
      </c>
      <c r="Q621">
        <v>9.1920313309162046E-4</v>
      </c>
      <c r="R621">
        <v>1.6120749730849291E-3</v>
      </c>
      <c r="S621">
        <v>0.12232615887310022</v>
      </c>
      <c r="T621">
        <v>0.82473007953220301</v>
      </c>
      <c r="U621">
        <v>0</v>
      </c>
      <c r="V621">
        <v>0.20621028288206092</v>
      </c>
      <c r="W621">
        <v>9.7431978322389562E-2</v>
      </c>
      <c r="X621">
        <v>2.8002974735227556E-2</v>
      </c>
      <c r="Y621">
        <v>4.3875366563651229E-3</v>
      </c>
    </row>
    <row r="622" spans="1:25" x14ac:dyDescent="0.25">
      <c r="A622" s="1098"/>
      <c r="B622" s="1457">
        <v>372</v>
      </c>
      <c r="C622" s="1102">
        <v>0.9978610552595012</v>
      </c>
      <c r="D622" s="1102">
        <v>1.0336007283100672</v>
      </c>
      <c r="E622" s="1102">
        <v>1.0016190251142845</v>
      </c>
      <c r="F622" s="1102">
        <v>0.99720854411018955</v>
      </c>
      <c r="G622" s="1102">
        <v>1.0104784707037502</v>
      </c>
      <c r="H622" s="1102">
        <v>1.0098251374328586</v>
      </c>
      <c r="I622" s="1102">
        <v>0.99459880212262786</v>
      </c>
      <c r="K622">
        <v>1.55006253279329</v>
      </c>
      <c r="L622">
        <v>0</v>
      </c>
      <c r="M622">
        <v>1.5440008510050356E-3</v>
      </c>
      <c r="N622">
        <v>0.14277116318587638</v>
      </c>
      <c r="O622">
        <v>0.11983630076222476</v>
      </c>
      <c r="P622">
        <v>1.5638363732644437E-2</v>
      </c>
      <c r="Q622">
        <v>8.9038645947290781E-4</v>
      </c>
      <c r="R622">
        <v>1.5405046739313324E-3</v>
      </c>
      <c r="S622">
        <v>0.11754376015403697</v>
      </c>
      <c r="T622">
        <v>0.82283937219602699</v>
      </c>
      <c r="U622">
        <v>0</v>
      </c>
      <c r="V622">
        <v>0.20514419882422705</v>
      </c>
      <c r="W622">
        <v>9.3700798493917589E-2</v>
      </c>
      <c r="X622">
        <v>2.7508939266722876E-2</v>
      </c>
      <c r="Y622">
        <v>4.1927458952118069E-3</v>
      </c>
    </row>
    <row r="623" spans="1:25" x14ac:dyDescent="0.25">
      <c r="A623" s="1098"/>
      <c r="B623" s="1457">
        <v>373</v>
      </c>
      <c r="C623" s="1102">
        <v>1.0015062883516712</v>
      </c>
      <c r="D623" s="1102">
        <v>0.97632928518793949</v>
      </c>
      <c r="E623" s="1102">
        <v>1.0323694084767627</v>
      </c>
      <c r="F623" s="1102">
        <v>1.0038930837934084</v>
      </c>
      <c r="G623" s="1102">
        <v>1.0266616804723199</v>
      </c>
      <c r="H623" s="1102">
        <v>0.98098470248012404</v>
      </c>
      <c r="I623" s="1102">
        <v>1.0374660906893682</v>
      </c>
      <c r="K623">
        <v>1.5727564028208767</v>
      </c>
      <c r="L623">
        <v>0</v>
      </c>
      <c r="M623">
        <v>1.448989493137266E-3</v>
      </c>
      <c r="N623">
        <v>0.14700658476455697</v>
      </c>
      <c r="O623">
        <v>0.12253584973583997</v>
      </c>
      <c r="P623">
        <v>1.6172020634352361E-2</v>
      </c>
      <c r="Q623">
        <v>9.3674093542924907E-4</v>
      </c>
      <c r="R623">
        <v>1.4456464762699901E-3</v>
      </c>
      <c r="S623">
        <v>0.12411407350776647</v>
      </c>
      <c r="T623">
        <v>0.82633416162195672</v>
      </c>
      <c r="U623">
        <v>0</v>
      </c>
      <c r="V623">
        <v>0.2076752922829446</v>
      </c>
      <c r="W623">
        <v>9.4756198118008159E-2</v>
      </c>
      <c r="X623">
        <v>2.92942510857136E-2</v>
      </c>
      <c r="Y623">
        <v>3.9345731511740891E-3</v>
      </c>
    </row>
    <row r="624" spans="1:25" x14ac:dyDescent="0.25">
      <c r="A624" s="1098"/>
      <c r="B624" s="1457">
        <v>374</v>
      </c>
      <c r="C624" s="1102">
        <v>1.0377218004156021</v>
      </c>
      <c r="D624" s="1102">
        <v>1.0242941290842285</v>
      </c>
      <c r="E624" s="1102">
        <v>0.97425806681435401</v>
      </c>
      <c r="F624" s="1102">
        <v>0.95380826500534277</v>
      </c>
      <c r="G624" s="1102">
        <v>1.0053188868761274</v>
      </c>
      <c r="H624" s="1102">
        <v>0.96288998489593414</v>
      </c>
      <c r="I624" s="1102">
        <v>0.990436177330552</v>
      </c>
      <c r="K624">
        <v>1.4719066974099551</v>
      </c>
      <c r="L624">
        <v>0</v>
      </c>
      <c r="M624">
        <v>1.5051125137508412E-3</v>
      </c>
      <c r="N624">
        <v>0.12810993830089309</v>
      </c>
      <c r="O624">
        <v>0.11532999364381642</v>
      </c>
      <c r="P624">
        <v>1.4683121114678422E-2</v>
      </c>
      <c r="Q624">
        <v>8.3510129252835352E-4</v>
      </c>
      <c r="R624">
        <v>1.5015417958396116E-3</v>
      </c>
      <c r="S624">
        <v>0.1095768075520684</v>
      </c>
      <c r="T624">
        <v>0.78876088381961218</v>
      </c>
      <c r="U624">
        <v>0</v>
      </c>
      <c r="V624">
        <v>0.19966126430967715</v>
      </c>
      <c r="W624">
        <v>8.547042799727797E-2</v>
      </c>
      <c r="X624">
        <v>2.5396028312159088E-2</v>
      </c>
      <c r="Y624">
        <v>4.0867017851554544E-3</v>
      </c>
    </row>
    <row r="625" spans="1:25" x14ac:dyDescent="0.25">
      <c r="A625" s="1098"/>
      <c r="B625" s="1457">
        <v>375</v>
      </c>
      <c r="C625" s="1102">
        <v>0.98725828408979999</v>
      </c>
      <c r="D625" s="1102">
        <v>0.96702831920818388</v>
      </c>
      <c r="E625" s="1102">
        <v>0.97871282871125387</v>
      </c>
      <c r="F625" s="1102">
        <v>1.0016039774125227</v>
      </c>
      <c r="G625" s="1102">
        <v>1.0280564880098777</v>
      </c>
      <c r="H625" s="1102">
        <v>0.97309130264886212</v>
      </c>
      <c r="I625" s="1102">
        <v>0.98012024505122874</v>
      </c>
      <c r="K625">
        <v>1.5628403433619698</v>
      </c>
      <c r="L625">
        <v>0</v>
      </c>
      <c r="M625">
        <v>1.6366533470982862E-3</v>
      </c>
      <c r="N625">
        <v>0.14120378278135662</v>
      </c>
      <c r="O625">
        <v>0.12369477332564836</v>
      </c>
      <c r="P625">
        <v>1.5508905946486051E-2</v>
      </c>
      <c r="Q625">
        <v>9.024325659862494E-4</v>
      </c>
      <c r="R625">
        <v>1.6328479354495227E-3</v>
      </c>
      <c r="S625">
        <v>0.11879165367603108</v>
      </c>
      <c r="T625">
        <v>0.82798807197597957</v>
      </c>
      <c r="U625">
        <v>0</v>
      </c>
      <c r="V625">
        <v>0.20903425725697983</v>
      </c>
      <c r="W625">
        <v>9.3952409665375547E-2</v>
      </c>
      <c r="X625">
        <v>2.7323787767658429E-2</v>
      </c>
      <c r="Y625">
        <v>4.4440738121163418E-3</v>
      </c>
    </row>
    <row r="626" spans="1:25" x14ac:dyDescent="0.25">
      <c r="A626" s="1098"/>
      <c r="B626" s="1457">
        <v>376</v>
      </c>
      <c r="C626" s="1102">
        <v>1.0078637308505198</v>
      </c>
      <c r="D626" s="1102">
        <v>0.99019787299867024</v>
      </c>
      <c r="E626" s="1102">
        <v>0.97095792899846656</v>
      </c>
      <c r="F626" s="1102">
        <v>1.0214931928501034</v>
      </c>
      <c r="G626" s="1102">
        <v>0.99621511099742699</v>
      </c>
      <c r="H626" s="1102">
        <v>0.99655753960782278</v>
      </c>
      <c r="I626" s="1102">
        <v>1.0127827984163162</v>
      </c>
      <c r="K626">
        <v>1.5748755763901316</v>
      </c>
      <c r="L626">
        <v>0</v>
      </c>
      <c r="M626">
        <v>1.6511999659725245E-3</v>
      </c>
      <c r="N626">
        <v>0.13916122478333068</v>
      </c>
      <c r="O626">
        <v>0.12298993922686415</v>
      </c>
      <c r="P626">
        <v>1.562993842846291E-2</v>
      </c>
      <c r="Q626">
        <v>8.6854324922448767E-4</v>
      </c>
      <c r="R626">
        <v>1.647447853537258E-3</v>
      </c>
      <c r="S626">
        <v>0.12065891283524005</v>
      </c>
      <c r="T626">
        <v>0.8449591004557736</v>
      </c>
      <c r="U626">
        <v>0</v>
      </c>
      <c r="V626">
        <v>0.2061423449925899</v>
      </c>
      <c r="W626">
        <v>9.3029740039166836E-2</v>
      </c>
      <c r="X626">
        <v>2.6955774515622859E-2</v>
      </c>
      <c r="Y626">
        <v>4.4838099762894539E-3</v>
      </c>
    </row>
    <row r="627" spans="1:25" x14ac:dyDescent="0.25">
      <c r="A627" s="1098"/>
      <c r="B627" s="1457">
        <v>377</v>
      </c>
      <c r="C627" s="1102">
        <v>0.99656517211617901</v>
      </c>
      <c r="D627" s="1102">
        <v>1.0143219840592415</v>
      </c>
      <c r="E627" s="1102">
        <v>1.0202339247789269</v>
      </c>
      <c r="F627" s="1102">
        <v>1.006413362117875</v>
      </c>
      <c r="G627" s="1102">
        <v>1.0292172404396955</v>
      </c>
      <c r="H627" s="1102">
        <v>1.0136817439463868</v>
      </c>
      <c r="I627" s="1102">
        <v>1.0246580951098017</v>
      </c>
      <c r="K627">
        <v>1.5739478623325349</v>
      </c>
      <c r="L627">
        <v>0</v>
      </c>
      <c r="M627">
        <v>1.5099474207101225E-3</v>
      </c>
      <c r="N627">
        <v>0.14769546842432008</v>
      </c>
      <c r="O627">
        <v>0.12131483057563555</v>
      </c>
      <c r="P627">
        <v>1.6047034961181778E-2</v>
      </c>
      <c r="Q627">
        <v>9.1568703469964289E-4</v>
      </c>
      <c r="R627">
        <v>1.5065540526367546E-3</v>
      </c>
      <c r="S627">
        <v>0.12302061605549479</v>
      </c>
      <c r="T627">
        <v>0.82920454747804162</v>
      </c>
      <c r="U627">
        <v>0</v>
      </c>
      <c r="V627">
        <v>0.20716650445120449</v>
      </c>
      <c r="W627">
        <v>9.5875190979314726E-2</v>
      </c>
      <c r="X627">
        <v>2.8611032244847349E-2</v>
      </c>
      <c r="Y627">
        <v>4.1003434958672676E-3</v>
      </c>
    </row>
    <row r="628" spans="1:25" x14ac:dyDescent="0.25">
      <c r="A628" s="1098"/>
      <c r="B628" s="1457">
        <v>378</v>
      </c>
      <c r="C628" s="1102">
        <v>1.0164852526502239</v>
      </c>
      <c r="D628" s="1102">
        <v>0.98778950867750637</v>
      </c>
      <c r="E628" s="1102">
        <v>1.0317881219105527</v>
      </c>
      <c r="F628" s="1102">
        <v>1.0166288764316329</v>
      </c>
      <c r="G628" s="1102">
        <v>0.99059979105832663</v>
      </c>
      <c r="H628" s="1102">
        <v>0.95141110671949891</v>
      </c>
      <c r="I628" s="1102">
        <v>0.9967928589147288</v>
      </c>
      <c r="K628">
        <v>1.5583827634462293</v>
      </c>
      <c r="L628">
        <v>0</v>
      </c>
      <c r="M628">
        <v>1.3799741577473191E-3</v>
      </c>
      <c r="N628">
        <v>0.13974957319206963</v>
      </c>
      <c r="O628">
        <v>0.12214780354226099</v>
      </c>
      <c r="P628">
        <v>1.6141991671008812E-2</v>
      </c>
      <c r="Q628">
        <v>9.1809481620713904E-4</v>
      </c>
      <c r="R628">
        <v>1.3766917680514896E-3</v>
      </c>
      <c r="S628">
        <v>0.1145098171661275</v>
      </c>
      <c r="T628">
        <v>0.83685576870183132</v>
      </c>
      <c r="U628">
        <v>0</v>
      </c>
      <c r="V628">
        <v>0.20510769541177573</v>
      </c>
      <c r="W628">
        <v>9.010888821339455E-2</v>
      </c>
      <c r="X628">
        <v>2.9099511954932999E-2</v>
      </c>
      <c r="Y628">
        <v>3.7469011663167845E-3</v>
      </c>
    </row>
    <row r="629" spans="1:25" x14ac:dyDescent="0.25">
      <c r="A629" s="1098"/>
      <c r="B629" s="1457">
        <v>379</v>
      </c>
      <c r="C629" s="1102">
        <v>0.9895191245697581</v>
      </c>
      <c r="D629" s="1102">
        <v>1.0164237014256843</v>
      </c>
      <c r="E629" s="1102">
        <v>1.0115672846248653</v>
      </c>
      <c r="F629" s="1102">
        <v>0.99084492222576381</v>
      </c>
      <c r="G629" s="1102">
        <v>0.99699282201293726</v>
      </c>
      <c r="H629" s="1102">
        <v>0.99310851230326502</v>
      </c>
      <c r="I629" s="1102">
        <v>1.0002929348940763</v>
      </c>
      <c r="K629">
        <v>1.5488052389495377</v>
      </c>
      <c r="L629">
        <v>0</v>
      </c>
      <c r="M629">
        <v>1.5125907133640788E-3</v>
      </c>
      <c r="N629">
        <v>0.14412730535836654</v>
      </c>
      <c r="O629">
        <v>0.1205249780123616</v>
      </c>
      <c r="P629">
        <v>1.5697393328441868E-2</v>
      </c>
      <c r="Q629">
        <v>9.1327052167464867E-4</v>
      </c>
      <c r="R629">
        <v>1.509113915845719E-3</v>
      </c>
      <c r="S629">
        <v>0.11901688486569661</v>
      </c>
      <c r="T629">
        <v>0.81693986241359684</v>
      </c>
      <c r="U629">
        <v>0</v>
      </c>
      <c r="V629">
        <v>0.20543209396480935</v>
      </c>
      <c r="W629">
        <v>9.4036081189843926E-2</v>
      </c>
      <c r="X629">
        <v>2.801353549260106E-2</v>
      </c>
      <c r="Y629">
        <v>4.1073105996633887E-3</v>
      </c>
    </row>
    <row r="630" spans="1:25" x14ac:dyDescent="0.25">
      <c r="A630" s="1098"/>
      <c r="B630" s="1457">
        <v>380</v>
      </c>
      <c r="C630" s="1102">
        <v>1.0123811336631217</v>
      </c>
      <c r="D630" s="1102">
        <v>1.0061686345841043</v>
      </c>
      <c r="E630" s="1102">
        <v>0.98566604487956</v>
      </c>
      <c r="F630" s="1102">
        <v>1.0063331257401293</v>
      </c>
      <c r="G630" s="1102">
        <v>1.0206707096387979</v>
      </c>
      <c r="H630" s="1102">
        <v>1.0057272476945078</v>
      </c>
      <c r="I630" s="1102">
        <v>0.96861755157631424</v>
      </c>
      <c r="K630">
        <v>1.5537363884702495</v>
      </c>
      <c r="L630">
        <v>0</v>
      </c>
      <c r="M630">
        <v>1.5934394737582259E-3</v>
      </c>
      <c r="N630">
        <v>0.1404070793744378</v>
      </c>
      <c r="O630">
        <v>0.12095957800609371</v>
      </c>
      <c r="P630">
        <v>1.5532870809777678E-2</v>
      </c>
      <c r="Q630">
        <v>8.7250852552572626E-4</v>
      </c>
      <c r="R630">
        <v>1.5898390850174861E-3</v>
      </c>
      <c r="S630">
        <v>0.11444896547487411</v>
      </c>
      <c r="T630">
        <v>0.83143154036138589</v>
      </c>
      <c r="U630">
        <v>0</v>
      </c>
      <c r="V630">
        <v>0.20563638579792382</v>
      </c>
      <c r="W630">
        <v>9.3031572943844509E-2</v>
      </c>
      <c r="X630">
        <v>2.7092469666023928E-2</v>
      </c>
      <c r="Y630">
        <v>4.3270178991040732E-3</v>
      </c>
    </row>
    <row r="631" spans="1:25" x14ac:dyDescent="0.25">
      <c r="A631" s="1098"/>
      <c r="B631" s="1457">
        <v>381</v>
      </c>
      <c r="C631" s="1102">
        <v>1.0168920589663368</v>
      </c>
      <c r="D631" s="1102">
        <v>1.0007701233413346</v>
      </c>
      <c r="E631" s="1102">
        <v>1.0252026861253298</v>
      </c>
      <c r="F631" s="1102">
        <v>1.0077967310335614</v>
      </c>
      <c r="G631" s="1102">
        <v>1.0071298530266566</v>
      </c>
      <c r="H631" s="1102">
        <v>1.0227695021584124</v>
      </c>
      <c r="I631" s="1102">
        <v>1.0251744857447691</v>
      </c>
      <c r="K631">
        <v>1.5720862295618072</v>
      </c>
      <c r="L631">
        <v>0</v>
      </c>
      <c r="M631">
        <v>1.4913131585568026E-3</v>
      </c>
      <c r="N631">
        <v>0.14807959315784502</v>
      </c>
      <c r="O631">
        <v>0.12095734522886871</v>
      </c>
      <c r="P631">
        <v>1.6078283699820398E-2</v>
      </c>
      <c r="Q631">
        <v>9.0682819002105763E-4</v>
      </c>
      <c r="R631">
        <v>1.4880040827897625E-3</v>
      </c>
      <c r="S631">
        <v>0.12245867494422004</v>
      </c>
      <c r="T631">
        <v>0.8300174438121577</v>
      </c>
      <c r="U631">
        <v>0</v>
      </c>
      <c r="V631">
        <v>0.20496003846492869</v>
      </c>
      <c r="W631">
        <v>9.5846109369325028E-2</v>
      </c>
      <c r="X631">
        <v>2.8735365177447098E-2</v>
      </c>
      <c r="Y631">
        <v>4.0498565929396723E-3</v>
      </c>
    </row>
    <row r="632" spans="1:25" x14ac:dyDescent="0.25">
      <c r="A632" s="1098"/>
      <c r="B632" s="1457">
        <v>382</v>
      </c>
      <c r="C632" s="1102">
        <v>0.99451485350269286</v>
      </c>
      <c r="D632" s="1102">
        <v>0.96716250030673634</v>
      </c>
      <c r="E632" s="1102">
        <v>1.0330321918551735</v>
      </c>
      <c r="F632" s="1102">
        <v>1.0039212165771885</v>
      </c>
      <c r="G632" s="1102">
        <v>0.99196876125514788</v>
      </c>
      <c r="H632" s="1102">
        <v>1.0019469005169415</v>
      </c>
      <c r="I632" s="1102">
        <v>1.0153979586915389</v>
      </c>
      <c r="K632">
        <v>1.5820437007477475</v>
      </c>
      <c r="L632">
        <v>0</v>
      </c>
      <c r="M632">
        <v>1.4954793093626237E-3</v>
      </c>
      <c r="N632">
        <v>0.15203428841321942</v>
      </c>
      <c r="O632">
        <v>0.12332072451795888</v>
      </c>
      <c r="P632">
        <v>1.6178377314653485E-2</v>
      </c>
      <c r="Q632">
        <v>9.4753215876922949E-4</v>
      </c>
      <c r="R632">
        <v>1.4921047297446674E-3</v>
      </c>
      <c r="S632">
        <v>0.12470747239372022</v>
      </c>
      <c r="T632">
        <v>0.82631409713526316</v>
      </c>
      <c r="U632">
        <v>0</v>
      </c>
      <c r="V632">
        <v>0.20699996321683065</v>
      </c>
      <c r="W632">
        <v>9.7959295358792747E-2</v>
      </c>
      <c r="X632">
        <v>2.9524307615982754E-2</v>
      </c>
      <c r="Y632">
        <v>4.0610172021730171E-3</v>
      </c>
    </row>
    <row r="633" spans="1:25" x14ac:dyDescent="0.25">
      <c r="A633" s="1098"/>
      <c r="B633" s="1457">
        <v>383</v>
      </c>
      <c r="C633" s="1102">
        <v>1.0169297276932843</v>
      </c>
      <c r="D633" s="1102">
        <v>1.0226829175852674</v>
      </c>
      <c r="E633" s="1102">
        <v>0.98656845649921399</v>
      </c>
      <c r="F633" s="1102">
        <v>0.99830624872058393</v>
      </c>
      <c r="G633" s="1102">
        <v>1.0302598824090889</v>
      </c>
      <c r="H633" s="1102">
        <v>1.0060499820623066</v>
      </c>
      <c r="I633" s="1102">
        <v>1.0370336357575878</v>
      </c>
      <c r="K633">
        <v>1.5477166509220546</v>
      </c>
      <c r="L633">
        <v>0</v>
      </c>
      <c r="M633">
        <v>1.5688374919258256E-3</v>
      </c>
      <c r="N633">
        <v>0.13861620268153826</v>
      </c>
      <c r="O633">
        <v>0.11945715714847424</v>
      </c>
      <c r="P633">
        <v>1.552777805446676E-2</v>
      </c>
      <c r="Q633">
        <v>8.6378179655781536E-4</v>
      </c>
      <c r="R633">
        <v>1.5652831170949271E-3</v>
      </c>
      <c r="S633">
        <v>0.12080867669863958</v>
      </c>
      <c r="T633">
        <v>0.82473986695473889</v>
      </c>
      <c r="U633">
        <v>0</v>
      </c>
      <c r="V633">
        <v>0.20479885884774748</v>
      </c>
      <c r="W633">
        <v>9.179517493251968E-2</v>
      </c>
      <c r="X633">
        <v>2.6852523532909209E-2</v>
      </c>
      <c r="Y633">
        <v>4.2601846492915183E-3</v>
      </c>
    </row>
    <row r="634" spans="1:25" x14ac:dyDescent="0.25">
      <c r="A634" s="1098"/>
      <c r="B634" s="1457">
        <v>384</v>
      </c>
      <c r="C634" s="1102">
        <v>1.0011401607599064</v>
      </c>
      <c r="D634" s="1102">
        <v>0.97723646888576854</v>
      </c>
      <c r="E634" s="1102">
        <v>0.97774392375203789</v>
      </c>
      <c r="F634" s="1102">
        <v>1.0157734856703691</v>
      </c>
      <c r="G634" s="1102">
        <v>0.99716784167377903</v>
      </c>
      <c r="H634" s="1102">
        <v>1.0029316676721569</v>
      </c>
      <c r="I634" s="1102">
        <v>1.0199574709194263</v>
      </c>
      <c r="K634">
        <v>1.5802701768392722</v>
      </c>
      <c r="L634">
        <v>0</v>
      </c>
      <c r="M634">
        <v>1.6605003353939928E-3</v>
      </c>
      <c r="N634">
        <v>0.14285182372657196</v>
      </c>
      <c r="O634">
        <v>0.12351177162273369</v>
      </c>
      <c r="P634">
        <v>1.569299308220045E-2</v>
      </c>
      <c r="Q634">
        <v>8.8528904659281667E-4</v>
      </c>
      <c r="R634">
        <v>1.6567559269650106E-3</v>
      </c>
      <c r="S634">
        <v>0.1237579836425967</v>
      </c>
      <c r="T634">
        <v>0.83976712950022425</v>
      </c>
      <c r="U634">
        <v>0</v>
      </c>
      <c r="V634">
        <v>0.20687222415537512</v>
      </c>
      <c r="W634">
        <v>9.5104665196224986E-2</v>
      </c>
      <c r="X634">
        <v>2.7320897791427445E-2</v>
      </c>
      <c r="Y634">
        <v>4.5091434837542157E-3</v>
      </c>
    </row>
    <row r="635" spans="1:25" x14ac:dyDescent="0.25">
      <c r="A635" s="1098"/>
      <c r="B635" s="1457">
        <v>385</v>
      </c>
      <c r="C635" s="1102">
        <v>0.98976927643206392</v>
      </c>
      <c r="D635" s="1102">
        <v>1.0081839441298364</v>
      </c>
      <c r="E635" s="1102">
        <v>1.0418359215285844</v>
      </c>
      <c r="F635" s="1102">
        <v>1.022085679383776</v>
      </c>
      <c r="G635" s="1102">
        <v>0.99819596030518942</v>
      </c>
      <c r="H635" s="1102">
        <v>1.0128327474748409</v>
      </c>
      <c r="I635" s="1102">
        <v>1.0310649144478732</v>
      </c>
      <c r="K635">
        <v>1.5972497761943272</v>
      </c>
      <c r="L635">
        <v>0</v>
      </c>
      <c r="M635">
        <v>1.4581545501726727E-3</v>
      </c>
      <c r="N635">
        <v>0.15222612546009021</v>
      </c>
      <c r="O635">
        <v>0.12296669640374797</v>
      </c>
      <c r="P635">
        <v>1.6494746704654971E-2</v>
      </c>
      <c r="Q635">
        <v>9.4480328654996759E-4</v>
      </c>
      <c r="R635">
        <v>1.4548803520830372E-3</v>
      </c>
      <c r="S635">
        <v>0.12512190091174344</v>
      </c>
      <c r="T635">
        <v>0.84068190367564199</v>
      </c>
      <c r="U635">
        <v>0</v>
      </c>
      <c r="V635">
        <v>0.20738318704762942</v>
      </c>
      <c r="W635">
        <v>9.7585838066710701E-2</v>
      </c>
      <c r="X635">
        <v>2.9888144118455508E-2</v>
      </c>
      <c r="Y635">
        <v>3.9597047171908576E-3</v>
      </c>
    </row>
    <row r="636" spans="1:25" x14ac:dyDescent="0.25">
      <c r="A636" s="1098"/>
      <c r="B636" s="1457">
        <v>386</v>
      </c>
      <c r="C636" s="1102">
        <v>1.0082325384457891</v>
      </c>
      <c r="D636" s="1102">
        <v>1.0219834035984308</v>
      </c>
      <c r="E636" s="1102">
        <v>1.0025303815665185</v>
      </c>
      <c r="F636" s="1102">
        <v>0.99219130267373712</v>
      </c>
      <c r="G636" s="1102">
        <v>1.0049183357190272</v>
      </c>
      <c r="H636" s="1102">
        <v>1.0043512657279638</v>
      </c>
      <c r="I636" s="1102">
        <v>1.0050187300002975</v>
      </c>
      <c r="K636">
        <v>1.5427087635341385</v>
      </c>
      <c r="L636">
        <v>0</v>
      </c>
      <c r="M636">
        <v>1.5272640061628089E-3</v>
      </c>
      <c r="N636">
        <v>0.14161183050187715</v>
      </c>
      <c r="O636">
        <v>0.11945347992448224</v>
      </c>
      <c r="P636">
        <v>1.5582997528943082E-2</v>
      </c>
      <c r="Q636">
        <v>8.8605648257989128E-4</v>
      </c>
      <c r="R636">
        <v>1.5237946802368922E-3</v>
      </c>
      <c r="S636">
        <v>0.11795160531599795</v>
      </c>
      <c r="T636">
        <v>0.81863979996226977</v>
      </c>
      <c r="U636">
        <v>0</v>
      </c>
      <c r="V636">
        <v>0.20410444077466816</v>
      </c>
      <c r="W636">
        <v>9.2889681854809988E-2</v>
      </c>
      <c r="X636">
        <v>2.7445073713612544E-2</v>
      </c>
      <c r="Y636">
        <v>4.1472668008234806E-3</v>
      </c>
    </row>
    <row r="637" spans="1:25" x14ac:dyDescent="0.25">
      <c r="A637" s="1098"/>
      <c r="B637" s="1457">
        <v>387</v>
      </c>
      <c r="C637" s="1102">
        <v>1.0018333210486969</v>
      </c>
      <c r="D637" s="1102">
        <v>1.0396348651701235</v>
      </c>
      <c r="E637" s="1102">
        <v>1.0226002346393006</v>
      </c>
      <c r="F637" s="1102">
        <v>1.0299569525142627</v>
      </c>
      <c r="G637" s="1102">
        <v>0.97971751073872271</v>
      </c>
      <c r="H637" s="1102">
        <v>0.96605350751858399</v>
      </c>
      <c r="I637" s="1102">
        <v>1.0323121753483882</v>
      </c>
      <c r="K637">
        <v>1.5709944675772267</v>
      </c>
      <c r="L637">
        <v>0</v>
      </c>
      <c r="M637">
        <v>1.4074707215690752E-3</v>
      </c>
      <c r="N637">
        <v>0.13864182942073047</v>
      </c>
      <c r="O637">
        <v>0.12156659176594384</v>
      </c>
      <c r="P637">
        <v>1.623909048886716E-2</v>
      </c>
      <c r="Q637">
        <v>9.0412555536801143E-4</v>
      </c>
      <c r="R637">
        <v>1.4041447349213722E-3</v>
      </c>
      <c r="S637">
        <v>0.11784067615250882</v>
      </c>
      <c r="T637">
        <v>0.8484433902983487</v>
      </c>
      <c r="U637">
        <v>0</v>
      </c>
      <c r="V637">
        <v>0.20496293376573471</v>
      </c>
      <c r="W637">
        <v>8.9873732111390561E-2</v>
      </c>
      <c r="X637">
        <v>2.8703804912712086E-2</v>
      </c>
      <c r="Y637">
        <v>3.8216190922685093E-3</v>
      </c>
    </row>
    <row r="638" spans="1:25" x14ac:dyDescent="0.25">
      <c r="A638" s="1098"/>
      <c r="B638" s="1457">
        <v>388</v>
      </c>
      <c r="C638" s="1102">
        <v>1.0150533444629914</v>
      </c>
      <c r="D638" s="1102">
        <v>0.98596441717812433</v>
      </c>
      <c r="E638" s="1102">
        <v>1.000686840565687</v>
      </c>
      <c r="F638" s="1102">
        <v>0.98743439141569112</v>
      </c>
      <c r="G638" s="1102">
        <v>0.97378600117052583</v>
      </c>
      <c r="H638" s="1102">
        <v>0.98674546184762268</v>
      </c>
      <c r="I638" s="1102">
        <v>1.0348599119304731</v>
      </c>
      <c r="K638">
        <v>1.5413047297326605</v>
      </c>
      <c r="L638">
        <v>0</v>
      </c>
      <c r="M638">
        <v>1.5270313912848232E-3</v>
      </c>
      <c r="N638">
        <v>0.14080019029788279</v>
      </c>
      <c r="O638">
        <v>0.12034154054367763</v>
      </c>
      <c r="P638">
        <v>1.5546764636653847E-2</v>
      </c>
      <c r="Q638">
        <v>8.9112144367558123E-4</v>
      </c>
      <c r="R638">
        <v>1.523522166637304E-3</v>
      </c>
      <c r="S638">
        <v>0.12182018069420002</v>
      </c>
      <c r="T638">
        <v>0.81483503101917032</v>
      </c>
      <c r="U638">
        <v>0</v>
      </c>
      <c r="V638">
        <v>0.20294956082676846</v>
      </c>
      <c r="W638">
        <v>9.2458412672478368E-2</v>
      </c>
      <c r="X638">
        <v>2.7518911714160422E-2</v>
      </c>
      <c r="Y638">
        <v>4.146525108639487E-3</v>
      </c>
    </row>
    <row r="639" spans="1:25" x14ac:dyDescent="0.25">
      <c r="A639" s="1098"/>
      <c r="B639" s="1457">
        <v>389</v>
      </c>
      <c r="C639" s="1102">
        <v>0.99558844012930969</v>
      </c>
      <c r="D639" s="1102">
        <v>0.99738965968723581</v>
      </c>
      <c r="E639" s="1102">
        <v>1.0188671235382709</v>
      </c>
      <c r="F639" s="1102">
        <v>1.0248276583361478</v>
      </c>
      <c r="G639" s="1102">
        <v>0.97476151136517619</v>
      </c>
      <c r="H639" s="1102">
        <v>1.0373114002080088</v>
      </c>
      <c r="I639" s="1102">
        <v>0.99966328473281041</v>
      </c>
      <c r="K639">
        <v>1.5999059911365645</v>
      </c>
      <c r="L639">
        <v>0</v>
      </c>
      <c r="M639">
        <v>1.5679845800108034E-3</v>
      </c>
      <c r="N639">
        <v>0.15275046361276887</v>
      </c>
      <c r="O639">
        <v>0.12340130145059373</v>
      </c>
      <c r="P639">
        <v>1.6233754386905715E-2</v>
      </c>
      <c r="Q639">
        <v>9.2148492451276753E-4</v>
      </c>
      <c r="R639">
        <v>1.5645551953098198E-3</v>
      </c>
      <c r="S639">
        <v>0.12334049702778223</v>
      </c>
      <c r="T639">
        <v>0.8444680460884828</v>
      </c>
      <c r="U639">
        <v>0</v>
      </c>
      <c r="V639">
        <v>0.20625474682850914</v>
      </c>
      <c r="W639">
        <v>9.9235946310731529E-2</v>
      </c>
      <c r="X639">
        <v>2.9044976404827266E-2</v>
      </c>
      <c r="Y639">
        <v>4.2582034861518066E-3</v>
      </c>
    </row>
    <row r="640" spans="1:25" x14ac:dyDescent="0.25">
      <c r="A640" s="1098"/>
      <c r="B640" s="1457">
        <v>390</v>
      </c>
      <c r="C640" s="1102">
        <v>1.0260442652305655</v>
      </c>
      <c r="D640" s="1102">
        <v>0.98886592482382796</v>
      </c>
      <c r="E640" s="1102">
        <v>1.015878639579586</v>
      </c>
      <c r="F640" s="1102">
        <v>1.0023601865639218</v>
      </c>
      <c r="G640" s="1102">
        <v>0.98446882464888441</v>
      </c>
      <c r="H640" s="1102">
        <v>1.002304744136381</v>
      </c>
      <c r="I640" s="1102">
        <v>1.0221809488631397</v>
      </c>
      <c r="K640">
        <v>1.5563697352292651</v>
      </c>
      <c r="L640">
        <v>0</v>
      </c>
      <c r="M640">
        <v>1.4872503834432668E-3</v>
      </c>
      <c r="N640">
        <v>0.14357450479926825</v>
      </c>
      <c r="O640">
        <v>0.12067481721228132</v>
      </c>
      <c r="P640">
        <v>1.5861405809707841E-2</v>
      </c>
      <c r="Q640">
        <v>8.9445743802949547E-4</v>
      </c>
      <c r="R640">
        <v>1.483890530128788E-3</v>
      </c>
      <c r="S640">
        <v>0.12025141251374573</v>
      </c>
      <c r="T640">
        <v>0.82615069509961847</v>
      </c>
      <c r="U640">
        <v>0</v>
      </c>
      <c r="V640">
        <v>0.20325455790112054</v>
      </c>
      <c r="W640">
        <v>9.3438252187998908E-2</v>
      </c>
      <c r="X640">
        <v>2.8234331262180817E-2</v>
      </c>
      <c r="Y640">
        <v>4.0386608586287691E-3</v>
      </c>
    </row>
    <row r="641" spans="1:25" x14ac:dyDescent="0.25">
      <c r="A641" s="1098"/>
      <c r="B641" s="1457">
        <v>391</v>
      </c>
      <c r="C641" s="1102">
        <v>1.0145251230571448</v>
      </c>
      <c r="D641" s="1102">
        <v>0.98808658174571806</v>
      </c>
      <c r="E641" s="1102">
        <v>1.0061636614255209</v>
      </c>
      <c r="F641" s="1102">
        <v>1.0052100273621665</v>
      </c>
      <c r="G641" s="1102">
        <v>1.0162233753421384</v>
      </c>
      <c r="H641" s="1102">
        <v>0.9834959477466797</v>
      </c>
      <c r="I641" s="1102">
        <v>1.0110772710164442</v>
      </c>
      <c r="K641">
        <v>1.5575521198909492</v>
      </c>
      <c r="L641">
        <v>0</v>
      </c>
      <c r="M641">
        <v>1.5057657430077389E-3</v>
      </c>
      <c r="N641">
        <v>0.14115448496359065</v>
      </c>
      <c r="O641">
        <v>0.12151215659008602</v>
      </c>
      <c r="P641">
        <v>1.5803362022654917E-2</v>
      </c>
      <c r="Q641">
        <v>8.9588249988221502E-4</v>
      </c>
      <c r="R641">
        <v>1.5022973582919988E-3</v>
      </c>
      <c r="S641">
        <v>0.11878653040884461</v>
      </c>
      <c r="T641">
        <v>0.82914073899470986</v>
      </c>
      <c r="U641">
        <v>0</v>
      </c>
      <c r="V641">
        <v>0.20577927305392227</v>
      </c>
      <c r="W641">
        <v>9.2390646588629805E-2</v>
      </c>
      <c r="X641">
        <v>2.8003754976263673E-2</v>
      </c>
      <c r="Y641">
        <v>4.0887581770797567E-3</v>
      </c>
    </row>
    <row r="642" spans="1:25" x14ac:dyDescent="0.25">
      <c r="A642" s="1098"/>
      <c r="B642" s="1457">
        <v>392</v>
      </c>
      <c r="C642" s="1102">
        <v>1.0265279499535074</v>
      </c>
      <c r="D642" s="1102">
        <v>1.015633167234145</v>
      </c>
      <c r="E642" s="1102">
        <v>0.99856721242672808</v>
      </c>
      <c r="F642" s="1102">
        <v>1.025694985206087</v>
      </c>
      <c r="G642" s="1102">
        <v>0.99650760173658548</v>
      </c>
      <c r="H642" s="1102">
        <v>0.97485344677779218</v>
      </c>
      <c r="I642" s="1102">
        <v>1.0184054282777826</v>
      </c>
      <c r="K642">
        <v>1.5605677679088754</v>
      </c>
      <c r="L642">
        <v>0</v>
      </c>
      <c r="M642">
        <v>1.4786653667373498E-3</v>
      </c>
      <c r="N642">
        <v>0.1354660180420782</v>
      </c>
      <c r="O642">
        <v>0.1211285474884391</v>
      </c>
      <c r="P642">
        <v>1.5888026840216844E-2</v>
      </c>
      <c r="Q642">
        <v>8.6886062470971034E-4</v>
      </c>
      <c r="R642">
        <v>1.4752211665759233E-3</v>
      </c>
      <c r="S642">
        <v>0.11580462671593213</v>
      </c>
      <c r="T642">
        <v>0.8465513815136716</v>
      </c>
      <c r="U642">
        <v>0</v>
      </c>
      <c r="V642">
        <v>0.20412367242215107</v>
      </c>
      <c r="W642">
        <v>8.9067823116709896E-2</v>
      </c>
      <c r="X642">
        <v>2.7657189636234484E-2</v>
      </c>
      <c r="Y642">
        <v>4.0150657088927994E-3</v>
      </c>
    </row>
    <row r="643" spans="1:25" x14ac:dyDescent="0.25">
      <c r="A643" s="1098"/>
      <c r="B643" s="1457">
        <v>393</v>
      </c>
      <c r="C643" s="1102">
        <v>0.99681968582288805</v>
      </c>
      <c r="D643" s="1102">
        <v>1.0392310403428966</v>
      </c>
      <c r="E643" s="1102">
        <v>1.0146680324245183</v>
      </c>
      <c r="F643" s="1102">
        <v>1.0074887829321109</v>
      </c>
      <c r="G643" s="1102">
        <v>1.0020608449005493</v>
      </c>
      <c r="H643" s="1102">
        <v>0.98250403416529586</v>
      </c>
      <c r="I643" s="1102">
        <v>0.97823485474938798</v>
      </c>
      <c r="K643">
        <v>1.5500599948908116</v>
      </c>
      <c r="L643">
        <v>0</v>
      </c>
      <c r="M643">
        <v>1.4600776967598581E-3</v>
      </c>
      <c r="N643">
        <v>0.1404276475555907</v>
      </c>
      <c r="O643">
        <v>0.1203260013337507</v>
      </c>
      <c r="P643">
        <v>1.5838867759172585E-2</v>
      </c>
      <c r="Q643">
        <v>9.0144366245583588E-4</v>
      </c>
      <c r="R643">
        <v>1.4566788383231044E-3</v>
      </c>
      <c r="S643">
        <v>0.1133518205387635</v>
      </c>
      <c r="T643">
        <v>0.83045762574939808</v>
      </c>
      <c r="U643">
        <v>0</v>
      </c>
      <c r="V643">
        <v>0.20524336581017369</v>
      </c>
      <c r="W643">
        <v>9.1455271444146002E-2</v>
      </c>
      <c r="X643">
        <v>2.8096750291929956E-2</v>
      </c>
      <c r="Y643">
        <v>3.9645996038654915E-3</v>
      </c>
    </row>
    <row r="644" spans="1:25" x14ac:dyDescent="0.25">
      <c r="A644" s="1098"/>
      <c r="B644" s="1457">
        <v>394</v>
      </c>
      <c r="C644" s="1102">
        <v>1.0192807184120807</v>
      </c>
      <c r="D644" s="1102">
        <v>0.99615587553410889</v>
      </c>
      <c r="E644" s="1102">
        <v>0.99989217057940305</v>
      </c>
      <c r="F644" s="1102">
        <v>1.0116736658510144</v>
      </c>
      <c r="G644" s="1102">
        <v>1.0397631282321116</v>
      </c>
      <c r="H644" s="1102">
        <v>1.0361112949304261</v>
      </c>
      <c r="I644" s="1102">
        <v>1.0053022367101929</v>
      </c>
      <c r="K644">
        <v>1.5757428015200439</v>
      </c>
      <c r="L644">
        <v>0</v>
      </c>
      <c r="M644">
        <v>1.5935350716404335E-3</v>
      </c>
      <c r="N644">
        <v>0.14659606455294674</v>
      </c>
      <c r="O644">
        <v>0.12137891012026329</v>
      </c>
      <c r="P644">
        <v>1.5850820200540509E-2</v>
      </c>
      <c r="Q644">
        <v>8.8305501422745244E-4</v>
      </c>
      <c r="R644">
        <v>1.5900490046902177E-3</v>
      </c>
      <c r="S644">
        <v>0.12116995451665599</v>
      </c>
      <c r="T644">
        <v>0.83489044696474801</v>
      </c>
      <c r="U644">
        <v>0</v>
      </c>
      <c r="V644">
        <v>0.20652649867186226</v>
      </c>
      <c r="W644">
        <v>9.6309821299951373E-2</v>
      </c>
      <c r="X644">
        <v>2.7813127014546114E-2</v>
      </c>
      <c r="Y644">
        <v>4.3275892312532472E-3</v>
      </c>
    </row>
    <row r="645" spans="1:25" x14ac:dyDescent="0.25">
      <c r="A645" s="1098"/>
      <c r="B645" s="1457">
        <v>395</v>
      </c>
      <c r="C645" s="1102">
        <v>1.0194739985317509</v>
      </c>
      <c r="D645" s="1102">
        <v>1.015651095417947</v>
      </c>
      <c r="E645" s="1102">
        <v>1.0268741840723719</v>
      </c>
      <c r="F645" s="1102">
        <v>1.0217572669711767</v>
      </c>
      <c r="G645" s="1102">
        <v>1.0202621965312315</v>
      </c>
      <c r="H645" s="1102">
        <v>0.99924582113196159</v>
      </c>
      <c r="I645" s="1102">
        <v>1.0149212606466045</v>
      </c>
      <c r="K645">
        <v>1.5723621889763166</v>
      </c>
      <c r="L645">
        <v>0</v>
      </c>
      <c r="M645">
        <v>1.4378642344280476E-3</v>
      </c>
      <c r="N645">
        <v>0.14348588924451905</v>
      </c>
      <c r="O645">
        <v>0.12113412009545199</v>
      </c>
      <c r="P645">
        <v>1.6204935844471337E-2</v>
      </c>
      <c r="Q645">
        <v>9.007451628683424E-4</v>
      </c>
      <c r="R645">
        <v>1.4345943714058039E-3</v>
      </c>
      <c r="S645">
        <v>0.1181162817140982</v>
      </c>
      <c r="T645">
        <v>0.84140398047300713</v>
      </c>
      <c r="U645">
        <v>0</v>
      </c>
      <c r="V645">
        <v>0.20561832353061382</v>
      </c>
      <c r="W645">
        <v>9.2782437303311607E-2</v>
      </c>
      <c r="X645">
        <v>2.8814252505937728E-2</v>
      </c>
      <c r="Y645">
        <v>3.9044929650591635E-3</v>
      </c>
    </row>
    <row r="646" spans="1:25" x14ac:dyDescent="0.25">
      <c r="A646" s="1098"/>
      <c r="B646" s="1457">
        <v>396</v>
      </c>
      <c r="C646" s="1102">
        <v>1.0416988957784701</v>
      </c>
      <c r="D646" s="1102">
        <v>0.98521791282512949</v>
      </c>
      <c r="E646" s="1102">
        <v>0.97871755996147414</v>
      </c>
      <c r="F646" s="1102">
        <v>0.98316492454658921</v>
      </c>
      <c r="G646" s="1102">
        <v>0.98510850031868402</v>
      </c>
      <c r="H646" s="1102">
        <v>0.99593182694601334</v>
      </c>
      <c r="I646" s="1102">
        <v>0.98899068967873738</v>
      </c>
      <c r="K646">
        <v>1.5198146422359307</v>
      </c>
      <c r="L646">
        <v>0</v>
      </c>
      <c r="M646">
        <v>1.5748934509000195E-3</v>
      </c>
      <c r="N646">
        <v>0.13588443528776237</v>
      </c>
      <c r="O646">
        <v>0.11883004767480325</v>
      </c>
      <c r="P646">
        <v>1.5137047284382281E-2</v>
      </c>
      <c r="Q646">
        <v>8.489229098546763E-4</v>
      </c>
      <c r="R646">
        <v>1.5713137335605753E-3</v>
      </c>
      <c r="S646">
        <v>0.11427051879798232</v>
      </c>
      <c r="T646">
        <v>0.81274489509209957</v>
      </c>
      <c r="U646">
        <v>0</v>
      </c>
      <c r="V646">
        <v>0.20108674772555996</v>
      </c>
      <c r="W646">
        <v>9.0412830098408364E-2</v>
      </c>
      <c r="X646">
        <v>2.6326179083097576E-2</v>
      </c>
      <c r="Y646">
        <v>4.2765979993188291E-3</v>
      </c>
    </row>
    <row r="647" spans="1:25" x14ac:dyDescent="0.25">
      <c r="A647" s="1098"/>
      <c r="B647" s="1457">
        <v>397</v>
      </c>
      <c r="C647" s="1102">
        <v>0.99800361368386836</v>
      </c>
      <c r="D647" s="1102">
        <v>1.0004191289690314</v>
      </c>
      <c r="E647" s="1102">
        <v>0.99381509878589791</v>
      </c>
      <c r="F647" s="1102">
        <v>0.99613380696219977</v>
      </c>
      <c r="G647" s="1102">
        <v>0.99357381228840591</v>
      </c>
      <c r="H647" s="1102">
        <v>1.0116839270323728</v>
      </c>
      <c r="I647" s="1102">
        <v>1.0191120140688215</v>
      </c>
      <c r="K647">
        <v>1.5601411707048296</v>
      </c>
      <c r="L647">
        <v>0</v>
      </c>
      <c r="M647">
        <v>1.6010576132422258E-3</v>
      </c>
      <c r="N647">
        <v>0.14459915759776645</v>
      </c>
      <c r="O647">
        <v>0.12120638683189003</v>
      </c>
      <c r="P647">
        <v>1.5617039054962778E-2</v>
      </c>
      <c r="Q647">
        <v>8.946776980778674E-4</v>
      </c>
      <c r="R647">
        <v>1.5974582352780056E-3</v>
      </c>
      <c r="S647">
        <v>0.12291892574073192</v>
      </c>
      <c r="T647">
        <v>0.822466311032786</v>
      </c>
      <c r="U647">
        <v>0</v>
      </c>
      <c r="V647">
        <v>0.20527341946254646</v>
      </c>
      <c r="W647">
        <v>9.5342503560330361E-2</v>
      </c>
      <c r="X647">
        <v>2.7478594389239341E-2</v>
      </c>
      <c r="Y647">
        <v>4.3477547144610005E-3</v>
      </c>
    </row>
    <row r="648" spans="1:25" x14ac:dyDescent="0.25">
      <c r="A648" s="1098"/>
      <c r="B648" s="1457">
        <v>398</v>
      </c>
      <c r="C648" s="1102">
        <v>0.9978803775345676</v>
      </c>
      <c r="D648" s="1102">
        <v>0.95688827115799424</v>
      </c>
      <c r="E648" s="1102">
        <v>0.95749114558925208</v>
      </c>
      <c r="F648" s="1102">
        <v>0.99305998219821989</v>
      </c>
      <c r="G648" s="1102">
        <v>0.98910185140916529</v>
      </c>
      <c r="H648" s="1102">
        <v>0.98501651036373616</v>
      </c>
      <c r="I648" s="1102">
        <v>1.0126266837584028</v>
      </c>
      <c r="K648">
        <v>1.5552024080156912</v>
      </c>
      <c r="L648">
        <v>0</v>
      </c>
      <c r="M648">
        <v>1.7229258779844802E-3</v>
      </c>
      <c r="N648">
        <v>0.13939912364606463</v>
      </c>
      <c r="O648">
        <v>0.12305878385274573</v>
      </c>
      <c r="P648">
        <v>1.5203496307620523E-2</v>
      </c>
      <c r="Q648">
        <v>8.7675450907270911E-4</v>
      </c>
      <c r="R648">
        <v>1.7189757948202155E-3</v>
      </c>
      <c r="S648">
        <v>0.12314291705797407</v>
      </c>
      <c r="T648">
        <v>0.82233796316131647</v>
      </c>
      <c r="U648">
        <v>0</v>
      </c>
      <c r="V648">
        <v>0.20620035760791383</v>
      </c>
      <c r="W648">
        <v>9.3959268183795061E-2</v>
      </c>
      <c r="X648">
        <v>2.6349208319069964E-2</v>
      </c>
      <c r="Y648">
        <v>4.6784854532821562E-3</v>
      </c>
    </row>
    <row r="649" spans="1:25" x14ac:dyDescent="0.25">
      <c r="A649" s="1098"/>
      <c r="B649" s="1457">
        <v>399</v>
      </c>
      <c r="C649" s="1102">
        <v>1.0334329755468226</v>
      </c>
      <c r="D649" s="1102">
        <v>1.0181046027199456</v>
      </c>
      <c r="E649" s="1102">
        <v>1.0214251683487134</v>
      </c>
      <c r="F649" s="1102">
        <v>0.98306827485041137</v>
      </c>
      <c r="G649" s="1102">
        <v>0.97682708184899192</v>
      </c>
      <c r="H649" s="1102">
        <v>1.0221638216617954</v>
      </c>
      <c r="I649" s="1102">
        <v>0.99705719636521417</v>
      </c>
      <c r="K649">
        <v>1.5289652247819663</v>
      </c>
      <c r="L649">
        <v>0</v>
      </c>
      <c r="M649">
        <v>1.462768643306873E-3</v>
      </c>
      <c r="N649">
        <v>0.14359851755158048</v>
      </c>
      <c r="O649">
        <v>0.11769322940356869</v>
      </c>
      <c r="P649">
        <v>1.5601987721784021E-2</v>
      </c>
      <c r="Q649">
        <v>8.8278372712716473E-4</v>
      </c>
      <c r="R649">
        <v>1.4595092920380024E-3</v>
      </c>
      <c r="S649">
        <v>0.11589001133323557</v>
      </c>
      <c r="T649">
        <v>0.80989353356132787</v>
      </c>
      <c r="U649">
        <v>0</v>
      </c>
      <c r="V649">
        <v>0.20047458460262682</v>
      </c>
      <c r="W649">
        <v>9.3150791149127873E-2</v>
      </c>
      <c r="X649">
        <v>2.7810741917035996E-2</v>
      </c>
      <c r="Y649">
        <v>3.9723031658186279E-3</v>
      </c>
    </row>
    <row r="650" spans="1:25" x14ac:dyDescent="0.25">
      <c r="A650" s="1098"/>
      <c r="B650" s="1457">
        <v>400</v>
      </c>
      <c r="C650" s="1102">
        <v>1.0209111210937003</v>
      </c>
      <c r="D650" s="1102">
        <v>0.98272247423682413</v>
      </c>
      <c r="E650" s="1102">
        <v>0.9620912488392519</v>
      </c>
      <c r="F650" s="1102">
        <v>0.99811287291104289</v>
      </c>
      <c r="G650" s="1102">
        <v>1.0256012676918598</v>
      </c>
      <c r="H650" s="1102">
        <v>1.0092500747168009</v>
      </c>
      <c r="I650" s="1102">
        <v>1.007917865431041</v>
      </c>
      <c r="K650">
        <v>1.5510115052789692</v>
      </c>
      <c r="L650">
        <v>0</v>
      </c>
      <c r="M650">
        <v>1.6872012541718051E-3</v>
      </c>
      <c r="N650">
        <v>0.13843175247074621</v>
      </c>
      <c r="O650">
        <v>0.12105471094753555</v>
      </c>
      <c r="P650">
        <v>1.525678617153901E-2</v>
      </c>
      <c r="Q650">
        <v>8.5203437887043003E-4</v>
      </c>
      <c r="R650">
        <v>1.6834172517455248E-3</v>
      </c>
      <c r="S650">
        <v>0.12000519769435565</v>
      </c>
      <c r="T650">
        <v>0.82621313501206972</v>
      </c>
      <c r="U650">
        <v>0</v>
      </c>
      <c r="V650">
        <v>0.20539513524792696</v>
      </c>
      <c r="W650">
        <v>9.3044233512366112E-2</v>
      </c>
      <c r="X650">
        <v>2.6180597025082741E-2</v>
      </c>
      <c r="Y650">
        <v>4.5817068209034239E-3</v>
      </c>
    </row>
    <row r="651" spans="1:25" x14ac:dyDescent="0.25">
      <c r="A651" s="1098"/>
      <c r="B651" s="1457">
        <v>401</v>
      </c>
      <c r="C651" s="1102">
        <v>1.0305573455525237</v>
      </c>
      <c r="D651" s="1102">
        <v>0.97534436985676332</v>
      </c>
      <c r="E651" s="1102">
        <v>1.013158741611812</v>
      </c>
      <c r="F651" s="1102">
        <v>0.98849127341693077</v>
      </c>
      <c r="G651" s="1102">
        <v>0.97060456291064112</v>
      </c>
      <c r="H651" s="1102">
        <v>1.0038285106648075</v>
      </c>
      <c r="I651" s="1102">
        <v>1.0032855124460658</v>
      </c>
      <c r="K651">
        <v>1.5415855920903854</v>
      </c>
      <c r="L651">
        <v>0</v>
      </c>
      <c r="M651">
        <v>1.5019779295177577E-3</v>
      </c>
      <c r="N651">
        <v>0.14381190681668773</v>
      </c>
      <c r="O651">
        <v>0.12008581890368628</v>
      </c>
      <c r="P651">
        <v>1.56331375807073E-2</v>
      </c>
      <c r="Q651">
        <v>8.929560669332546E-4</v>
      </c>
      <c r="R651">
        <v>1.4985952430953914E-3</v>
      </c>
      <c r="S651">
        <v>0.11853815558141201</v>
      </c>
      <c r="T651">
        <v>0.81489608578119999</v>
      </c>
      <c r="U651">
        <v>0</v>
      </c>
      <c r="V651">
        <v>0.20194970301340401</v>
      </c>
      <c r="W651">
        <v>9.3742449322251023E-2</v>
      </c>
      <c r="X651">
        <v>2.7960079470608724E-2</v>
      </c>
      <c r="Y651">
        <v>4.078682239916539E-3</v>
      </c>
    </row>
    <row r="652" spans="1:25" x14ac:dyDescent="0.25">
      <c r="A652" s="1098"/>
      <c r="B652" s="1457">
        <v>402</v>
      </c>
      <c r="C652" s="1102">
        <v>1.0225647982810944</v>
      </c>
      <c r="D652" s="1102">
        <v>1.0159264940117492</v>
      </c>
      <c r="E652" s="1102">
        <v>0.98013543681783133</v>
      </c>
      <c r="F652" s="1102">
        <v>0.99253045092875125</v>
      </c>
      <c r="G652" s="1102">
        <v>0.97867506532608106</v>
      </c>
      <c r="H652" s="1102">
        <v>1.0243954606213865</v>
      </c>
      <c r="I652" s="1102">
        <v>1.0035795107588588</v>
      </c>
      <c r="K652">
        <v>1.5396962170834385</v>
      </c>
      <c r="L652">
        <v>0</v>
      </c>
      <c r="M652">
        <v>1.6159441860757369E-3</v>
      </c>
      <c r="N652">
        <v>0.1400328791681226</v>
      </c>
      <c r="O652">
        <v>0.119086408809485</v>
      </c>
      <c r="P652">
        <v>1.5318958201104283E-2</v>
      </c>
      <c r="Q652">
        <v>8.5552581902300967E-4</v>
      </c>
      <c r="R652">
        <v>1.6123525284558169E-3</v>
      </c>
      <c r="S652">
        <v>0.11812940112410866</v>
      </c>
      <c r="T652">
        <v>0.82039318303213415</v>
      </c>
      <c r="U652">
        <v>0</v>
      </c>
      <c r="V652">
        <v>0.20190429146689415</v>
      </c>
      <c r="W652">
        <v>9.3093290027192979E-2</v>
      </c>
      <c r="X652">
        <v>2.6497579022406622E-2</v>
      </c>
      <c r="Y652">
        <v>4.3882920705885752E-3</v>
      </c>
    </row>
    <row r="653" spans="1:25" x14ac:dyDescent="0.25">
      <c r="A653" s="1098"/>
      <c r="B653" s="1457">
        <v>403</v>
      </c>
      <c r="C653" s="1102">
        <v>0.98861072527888483</v>
      </c>
      <c r="D653" s="1102">
        <v>0.99744718848719283</v>
      </c>
      <c r="E653" s="1102">
        <v>0.97960523925717125</v>
      </c>
      <c r="F653" s="1102">
        <v>1.0214975362837482</v>
      </c>
      <c r="G653" s="1102">
        <v>1.0035399857062892</v>
      </c>
      <c r="H653" s="1102">
        <v>0.99703042563641531</v>
      </c>
      <c r="I653" s="1102">
        <v>1.0094670730083304</v>
      </c>
      <c r="K653">
        <v>1.5834746235285286</v>
      </c>
      <c r="L653">
        <v>0</v>
      </c>
      <c r="M653">
        <v>1.6451880193220968E-3</v>
      </c>
      <c r="N653">
        <v>0.14233074724189518</v>
      </c>
      <c r="O653">
        <v>0.12364320544285937</v>
      </c>
      <c r="P653">
        <v>1.5767502107209404E-2</v>
      </c>
      <c r="Q653">
        <v>8.9093551953218933E-4</v>
      </c>
      <c r="R653">
        <v>1.6414415211664487E-3</v>
      </c>
      <c r="S653">
        <v>0.12201462154693819</v>
      </c>
      <c r="T653">
        <v>0.84437253239534316</v>
      </c>
      <c r="U653">
        <v>0</v>
      </c>
      <c r="V653">
        <v>0.20790453683581603</v>
      </c>
      <c r="W653">
        <v>9.4651203838464593E-2</v>
      </c>
      <c r="X653">
        <v>2.7435622379062649E-2</v>
      </c>
      <c r="Y653">
        <v>4.4674627195630447E-3</v>
      </c>
    </row>
    <row r="654" spans="1:25" x14ac:dyDescent="0.25">
      <c r="A654" s="1098"/>
      <c r="B654" s="1457">
        <v>404</v>
      </c>
      <c r="C654" s="1102">
        <v>1.0366434720011561</v>
      </c>
      <c r="D654" s="1102">
        <v>1.0175208738300392</v>
      </c>
      <c r="E654" s="1102">
        <v>0.98655181353276356</v>
      </c>
      <c r="F654" s="1102">
        <v>0.99924503710566248</v>
      </c>
      <c r="G654" s="1102">
        <v>0.99150667469872933</v>
      </c>
      <c r="H654" s="1102">
        <v>1.0365460796130943</v>
      </c>
      <c r="I654" s="1102">
        <v>0.99578710987915575</v>
      </c>
      <c r="K654">
        <v>1.5437269283637509</v>
      </c>
      <c r="L654">
        <v>0</v>
      </c>
      <c r="M654">
        <v>1.5925283641011815E-3</v>
      </c>
      <c r="N654">
        <v>0.14071245361107965</v>
      </c>
      <c r="O654">
        <v>0.11877446041520177</v>
      </c>
      <c r="P654">
        <v>1.5438302148163396E-2</v>
      </c>
      <c r="Q654">
        <v>8.49057485712917E-4</v>
      </c>
      <c r="R654">
        <v>1.5890343972352935E-3</v>
      </c>
      <c r="S654">
        <v>0.11655460477632873</v>
      </c>
      <c r="T654">
        <v>0.82551654184076428</v>
      </c>
      <c r="U654">
        <v>0</v>
      </c>
      <c r="V654">
        <v>0.20166808616589291</v>
      </c>
      <c r="W654">
        <v>9.318429720253836E-2</v>
      </c>
      <c r="X654">
        <v>2.6707790880708394E-2</v>
      </c>
      <c r="Y654">
        <v>4.324827804226202E-3</v>
      </c>
    </row>
    <row r="655" spans="1:25" x14ac:dyDescent="0.25">
      <c r="A655" s="1098"/>
      <c r="B655" s="1457">
        <v>405</v>
      </c>
      <c r="C655" s="1102">
        <v>1.0003741315027981</v>
      </c>
      <c r="D655" s="1102">
        <v>0.99261045504798251</v>
      </c>
      <c r="E655" s="1102">
        <v>1.0000061061894967</v>
      </c>
      <c r="F655" s="1102">
        <v>1.0132415271735991</v>
      </c>
      <c r="G655" s="1102">
        <v>0.9681164041958793</v>
      </c>
      <c r="H655" s="1102">
        <v>0.97936268092032353</v>
      </c>
      <c r="I655" s="1102">
        <v>0.97439562836360294</v>
      </c>
      <c r="K655">
        <v>1.5621870097255455</v>
      </c>
      <c r="L655">
        <v>0</v>
      </c>
      <c r="M655">
        <v>1.5355687079457404E-3</v>
      </c>
      <c r="N655">
        <v>0.14129396547743756</v>
      </c>
      <c r="O655">
        <v>0.12261091121632868</v>
      </c>
      <c r="P655">
        <v>1.5771151339149803E-2</v>
      </c>
      <c r="Q655">
        <v>9.0113488645667472E-4</v>
      </c>
      <c r="R655">
        <v>1.5320125272305287E-3</v>
      </c>
      <c r="S655">
        <v>0.1154151413886354</v>
      </c>
      <c r="T655">
        <v>0.83617671384998249</v>
      </c>
      <c r="U655">
        <v>0</v>
      </c>
      <c r="V655">
        <v>0.20505879494602194</v>
      </c>
      <c r="W655">
        <v>9.2820193418661601E-2</v>
      </c>
      <c r="X655">
        <v>2.7972926312257267E-2</v>
      </c>
      <c r="Y655">
        <v>4.1696330713276259E-3</v>
      </c>
    </row>
    <row r="656" spans="1:25" x14ac:dyDescent="0.25">
      <c r="A656" s="1098"/>
      <c r="B656" s="1457">
        <v>406</v>
      </c>
      <c r="C656" s="1102">
        <v>0.99614369748999498</v>
      </c>
      <c r="D656" s="1102">
        <v>0.96238263857758433</v>
      </c>
      <c r="E656" s="1102">
        <v>0.99677272283870533</v>
      </c>
      <c r="F656" s="1102">
        <v>1.0434044432290965</v>
      </c>
      <c r="G656" s="1102">
        <v>1.0198507896096125</v>
      </c>
      <c r="H656" s="1102">
        <v>0.9992895406151856</v>
      </c>
      <c r="I656" s="1102">
        <v>0.96518447041794775</v>
      </c>
      <c r="K656">
        <v>1.6108167870877361</v>
      </c>
      <c r="L656">
        <v>0</v>
      </c>
      <c r="M656">
        <v>1.6152513503334505E-3</v>
      </c>
      <c r="N656">
        <v>0.14719009410551509</v>
      </c>
      <c r="O656">
        <v>0.12634907318382099</v>
      </c>
      <c r="P656">
        <v>1.6189662800244711E-2</v>
      </c>
      <c r="Q656">
        <v>9.131571358269358E-4</v>
      </c>
      <c r="R656">
        <v>1.6116112881220037E-3</v>
      </c>
      <c r="S656">
        <v>0.11866616175784166</v>
      </c>
      <c r="T656">
        <v>0.86129152376864282</v>
      </c>
      <c r="U656">
        <v>0</v>
      </c>
      <c r="V656">
        <v>0.21026178747561597</v>
      </c>
      <c r="W656">
        <v>9.6879771116289023E-2</v>
      </c>
      <c r="X656">
        <v>2.8692921147399283E-2</v>
      </c>
      <c r="Y656">
        <v>4.3862746587497465E-3</v>
      </c>
    </row>
    <row r="657" spans="1:25" x14ac:dyDescent="0.25">
      <c r="A657" s="1098"/>
      <c r="B657" s="1457">
        <v>407</v>
      </c>
      <c r="C657" s="1102">
        <v>0.98879348908333031</v>
      </c>
      <c r="D657" s="1102">
        <v>1.045336535554316</v>
      </c>
      <c r="E657" s="1102">
        <v>0.97568820400088296</v>
      </c>
      <c r="F657" s="1102">
        <v>0.96500697808572433</v>
      </c>
      <c r="G657" s="1102">
        <v>0.98205356955502388</v>
      </c>
      <c r="H657" s="1102">
        <v>0.96753902738756214</v>
      </c>
      <c r="I657" s="1102">
        <v>1.0054301793942999</v>
      </c>
      <c r="K657">
        <v>1.5019581363788246</v>
      </c>
      <c r="L657">
        <v>0</v>
      </c>
      <c r="M657">
        <v>1.5603931633497352E-3</v>
      </c>
      <c r="N657">
        <v>0.13339103815847678</v>
      </c>
      <c r="O657">
        <v>0.11763285069574829</v>
      </c>
      <c r="P657">
        <v>1.4940512379156647E-2</v>
      </c>
      <c r="Q657">
        <v>8.7063185500664314E-4</v>
      </c>
      <c r="R657">
        <v>1.5566870812379291E-3</v>
      </c>
      <c r="S657">
        <v>0.11550344169718062</v>
      </c>
      <c r="T657">
        <v>0.79792954695522766</v>
      </c>
      <c r="U657">
        <v>0</v>
      </c>
      <c r="V657">
        <v>0.20258872418747584</v>
      </c>
      <c r="W657">
        <v>8.8916667226456539E-2</v>
      </c>
      <c r="X657">
        <v>2.5951640232836682E-2</v>
      </c>
      <c r="Y657">
        <v>4.2367890733712287E-3</v>
      </c>
    </row>
    <row r="658" spans="1:25" x14ac:dyDescent="0.25">
      <c r="A658" s="1098"/>
      <c r="B658" s="1457">
        <v>408</v>
      </c>
      <c r="C658" s="1102">
        <v>0.99367161198818188</v>
      </c>
      <c r="D658" s="1102">
        <v>1.0378136619912117</v>
      </c>
      <c r="E658" s="1102">
        <v>1.0264420882749623</v>
      </c>
      <c r="F658" s="1102">
        <v>1.021202285060707</v>
      </c>
      <c r="G658" s="1102">
        <v>0.97529632715729675</v>
      </c>
      <c r="H658" s="1102">
        <v>0.96818777692628621</v>
      </c>
      <c r="I658" s="1102">
        <v>1.0132342426754106</v>
      </c>
      <c r="K658">
        <v>1.5655423247126545</v>
      </c>
      <c r="L658">
        <v>0</v>
      </c>
      <c r="M658">
        <v>1.4105977713857677E-3</v>
      </c>
      <c r="N658">
        <v>0.14056956518134894</v>
      </c>
      <c r="O658">
        <v>0.12145892566809</v>
      </c>
      <c r="P658">
        <v>1.6168248199252309E-2</v>
      </c>
      <c r="Q658">
        <v>9.1578482519924249E-4</v>
      </c>
      <c r="R658">
        <v>1.4072688484994158E-3</v>
      </c>
      <c r="S658">
        <v>0.11682245976926828</v>
      </c>
      <c r="T658">
        <v>0.84097570906446117</v>
      </c>
      <c r="U658">
        <v>0</v>
      </c>
      <c r="V658">
        <v>0.20506961186152176</v>
      </c>
      <c r="W658">
        <v>9.0919513042986483E-2</v>
      </c>
      <c r="X658">
        <v>2.8815714123848143E-2</v>
      </c>
      <c r="Y658">
        <v>3.8301218995641794E-3</v>
      </c>
    </row>
    <row r="659" spans="1:25" x14ac:dyDescent="0.25">
      <c r="A659" s="1098"/>
      <c r="B659" s="1457">
        <v>409</v>
      </c>
      <c r="C659" s="1102">
        <v>1.0244387021401344</v>
      </c>
      <c r="D659" s="1102">
        <v>1.0037623562049236</v>
      </c>
      <c r="E659" s="1102">
        <v>1.0040030712163381</v>
      </c>
      <c r="F659" s="1102">
        <v>1.0150982924510292</v>
      </c>
      <c r="G659" s="1102">
        <v>1.0026865984260609</v>
      </c>
      <c r="H659" s="1102">
        <v>1.0051757591112978</v>
      </c>
      <c r="I659" s="1102">
        <v>0.98996971475629869</v>
      </c>
      <c r="K659">
        <v>1.5616640388753835</v>
      </c>
      <c r="L659">
        <v>0</v>
      </c>
      <c r="M659">
        <v>1.5194483394406868E-3</v>
      </c>
      <c r="N659">
        <v>0.14151738213159001</v>
      </c>
      <c r="O659">
        <v>0.12101338570073192</v>
      </c>
      <c r="P659">
        <v>1.5832561457661296E-2</v>
      </c>
      <c r="Q659">
        <v>8.7967709254205761E-4</v>
      </c>
      <c r="R659">
        <v>1.5160197328876446E-3</v>
      </c>
      <c r="S659">
        <v>0.11586711651750191</v>
      </c>
      <c r="T659">
        <v>0.83744143075890953</v>
      </c>
      <c r="U659">
        <v>0</v>
      </c>
      <c r="V659">
        <v>0.20439325239926542</v>
      </c>
      <c r="W659">
        <v>9.2746722598579551E-2</v>
      </c>
      <c r="X659">
        <v>2.784983286800442E-2</v>
      </c>
      <c r="Y659">
        <v>4.1261059571495347E-3</v>
      </c>
    </row>
    <row r="660" spans="1:25" x14ac:dyDescent="0.25">
      <c r="A660" s="1098"/>
      <c r="B660" s="1457">
        <v>410</v>
      </c>
      <c r="C660" s="1102">
        <v>1.0379302030268447</v>
      </c>
      <c r="D660" s="1102">
        <v>0.99836555667171134</v>
      </c>
      <c r="E660" s="1102">
        <v>1.0180220998311427</v>
      </c>
      <c r="F660" s="1102">
        <v>1.0226922911955532</v>
      </c>
      <c r="G660" s="1102">
        <v>1.0018566982830699</v>
      </c>
      <c r="H660" s="1102">
        <v>1.0056957525909327</v>
      </c>
      <c r="I660" s="1102">
        <v>0.97900293774873026</v>
      </c>
      <c r="K660">
        <v>1.565333665360314</v>
      </c>
      <c r="L660">
        <v>0</v>
      </c>
      <c r="M660">
        <v>1.4640283194241111E-3</v>
      </c>
      <c r="N660">
        <v>0.14225109977804978</v>
      </c>
      <c r="O660">
        <v>0.1210649527760234</v>
      </c>
      <c r="P660">
        <v>1.6032674999057351E-2</v>
      </c>
      <c r="Q660">
        <v>8.8278156256777179E-4</v>
      </c>
      <c r="R660">
        <v>1.4607343359820803E-3</v>
      </c>
      <c r="S660">
        <v>0.11363550367354394</v>
      </c>
      <c r="T660">
        <v>0.84276501690609718</v>
      </c>
      <c r="U660">
        <v>0</v>
      </c>
      <c r="V660">
        <v>0.20385000158829794</v>
      </c>
      <c r="W660">
        <v>9.2460679771054599E-2</v>
      </c>
      <c r="X660">
        <v>2.8418610957465212E-2</v>
      </c>
      <c r="Y660">
        <v>3.9756373315987803E-3</v>
      </c>
    </row>
    <row r="661" spans="1:25" x14ac:dyDescent="0.25">
      <c r="A661" s="1098"/>
      <c r="B661" s="1457">
        <v>411</v>
      </c>
      <c r="C661" s="1102">
        <v>1.0018085195356032</v>
      </c>
      <c r="D661" s="1102">
        <v>1.035386840247102</v>
      </c>
      <c r="E661" s="1102">
        <v>1.0111397550696419</v>
      </c>
      <c r="F661" s="1102">
        <v>1.0388552898207928</v>
      </c>
      <c r="G661" s="1102">
        <v>0.98592375576886515</v>
      </c>
      <c r="H661" s="1102">
        <v>0.97205114004764537</v>
      </c>
      <c r="I661" s="1102">
        <v>0.97461425720890371</v>
      </c>
      <c r="K661">
        <v>1.5749253567356125</v>
      </c>
      <c r="L661">
        <v>0</v>
      </c>
      <c r="M661">
        <v>1.4546836575744031E-3</v>
      </c>
      <c r="N661">
        <v>0.13842435243038678</v>
      </c>
      <c r="O661">
        <v>0.1223907699039174</v>
      </c>
      <c r="P661">
        <v>1.6145536710629731E-2</v>
      </c>
      <c r="Q661">
        <v>8.9502758432312955E-4</v>
      </c>
      <c r="R661">
        <v>1.4512717791649575E-3</v>
      </c>
      <c r="S661">
        <v>0.11200956459603537</v>
      </c>
      <c r="T661">
        <v>0.85655299658323603</v>
      </c>
      <c r="U661">
        <v>0</v>
      </c>
      <c r="V661">
        <v>0.20580052049556827</v>
      </c>
      <c r="W661">
        <v>9.0337928229503053E-2</v>
      </c>
      <c r="X661">
        <v>2.8422188709148137E-2</v>
      </c>
      <c r="Y661">
        <v>3.9498833712735886E-3</v>
      </c>
    </row>
    <row r="662" spans="1:25" x14ac:dyDescent="0.25">
      <c r="A662" s="1098"/>
      <c r="B662" s="1457">
        <v>412</v>
      </c>
      <c r="C662" s="1102">
        <v>0.99231830002793664</v>
      </c>
      <c r="D662" s="1102">
        <v>0.98160135828342931</v>
      </c>
      <c r="E662" s="1102">
        <v>1.0126380577629503</v>
      </c>
      <c r="F662" s="1102">
        <v>1.0051752851999809</v>
      </c>
      <c r="G662" s="1102">
        <v>0.97647056286625444</v>
      </c>
      <c r="H662" s="1102">
        <v>1.0051292317003109</v>
      </c>
      <c r="I662" s="1102">
        <v>0.96469945079014552</v>
      </c>
      <c r="K662">
        <v>1.5708205307776761</v>
      </c>
      <c r="L662">
        <v>0</v>
      </c>
      <c r="M662">
        <v>1.5555467772542704E-3</v>
      </c>
      <c r="N662">
        <v>0.14870670859103458</v>
      </c>
      <c r="O662">
        <v>0.1229203616022075</v>
      </c>
      <c r="P662">
        <v>1.586475090464981E-2</v>
      </c>
      <c r="Q662">
        <v>9.2450132346424475E-4</v>
      </c>
      <c r="R662">
        <v>1.552038919052649E-3</v>
      </c>
      <c r="S662">
        <v>0.11790171918212942</v>
      </c>
      <c r="T662">
        <v>0.82868444527592011</v>
      </c>
      <c r="U662">
        <v>0</v>
      </c>
      <c r="V662">
        <v>0.20606344135701096</v>
      </c>
      <c r="W662">
        <v>9.6962778690976373E-2</v>
      </c>
      <c r="X662">
        <v>2.8571193400316146E-2</v>
      </c>
      <c r="Y662">
        <v>4.2241383081691487E-3</v>
      </c>
    </row>
    <row r="663" spans="1:25" x14ac:dyDescent="0.25">
      <c r="A663" s="1098"/>
      <c r="B663" s="1457">
        <v>413</v>
      </c>
      <c r="C663" s="1102">
        <v>0.97022544283594225</v>
      </c>
      <c r="D663" s="1102">
        <v>1.0305009499531903</v>
      </c>
      <c r="E663" s="1102">
        <v>0.98870638705309699</v>
      </c>
      <c r="F663" s="1102">
        <v>0.97495925881796996</v>
      </c>
      <c r="G663" s="1102">
        <v>0.99181120521891675</v>
      </c>
      <c r="H663" s="1102">
        <v>0.97331587845712875</v>
      </c>
      <c r="I663" s="1102">
        <v>1.0040220532199813</v>
      </c>
      <c r="K663">
        <v>1.5289046222592486</v>
      </c>
      <c r="L663">
        <v>0</v>
      </c>
      <c r="M663">
        <v>1.5688754395154359E-3</v>
      </c>
      <c r="N663">
        <v>0.13950586625137373</v>
      </c>
      <c r="O663">
        <v>0.11986541560672773</v>
      </c>
      <c r="P663">
        <v>1.5276523021004419E-2</v>
      </c>
      <c r="Q663">
        <v>9.046246341807791E-4</v>
      </c>
      <c r="R663">
        <v>1.5651777001240211E-3</v>
      </c>
      <c r="S663">
        <v>0.11899432615391983</v>
      </c>
      <c r="T663">
        <v>0.80531357346717791</v>
      </c>
      <c r="U663">
        <v>0</v>
      </c>
      <c r="V663">
        <v>0.2055944787913925</v>
      </c>
      <c r="W663">
        <v>9.2265866105812583E-2</v>
      </c>
      <c r="X663">
        <v>2.6927748228002178E-2</v>
      </c>
      <c r="Y663">
        <v>4.2598977390474087E-3</v>
      </c>
    </row>
    <row r="664" spans="1:25" x14ac:dyDescent="0.25">
      <c r="A664" s="1098"/>
      <c r="B664" s="1457">
        <v>414</v>
      </c>
      <c r="C664" s="1102">
        <v>1.026171906572505</v>
      </c>
      <c r="D664" s="1102">
        <v>1.0195262370162559</v>
      </c>
      <c r="E664" s="1102">
        <v>1.0142973188997535</v>
      </c>
      <c r="F664" s="1102">
        <v>1.0249890797515837</v>
      </c>
      <c r="G664" s="1102">
        <v>0.98817139839023149</v>
      </c>
      <c r="H664" s="1102">
        <v>1.014546372213297</v>
      </c>
      <c r="I664" s="1102">
        <v>1.0176294046364489</v>
      </c>
      <c r="K664">
        <v>1.5732164162932911</v>
      </c>
      <c r="L664">
        <v>0</v>
      </c>
      <c r="M664">
        <v>1.48658065179981E-3</v>
      </c>
      <c r="N664">
        <v>0.14282939097075731</v>
      </c>
      <c r="O664">
        <v>0.12088711660530896</v>
      </c>
      <c r="P664">
        <v>1.6084297175126511E-2</v>
      </c>
      <c r="Q664">
        <v>8.8205346946543164E-4</v>
      </c>
      <c r="R664">
        <v>1.4832510695489561E-3</v>
      </c>
      <c r="S664">
        <v>0.11861326914925736</v>
      </c>
      <c r="T664">
        <v>0.8449077593583163</v>
      </c>
      <c r="U664">
        <v>0</v>
      </c>
      <c r="V664">
        <v>0.2036567690355435</v>
      </c>
      <c r="W664">
        <v>9.3039701729642058E-2</v>
      </c>
      <c r="X664">
        <v>2.8282467924393071E-2</v>
      </c>
      <c r="Y664">
        <v>4.0369204577285897E-3</v>
      </c>
    </row>
    <row r="665" spans="1:25" x14ac:dyDescent="0.25">
      <c r="A665" s="1098"/>
      <c r="B665" s="1457">
        <v>415</v>
      </c>
      <c r="C665" s="1102">
        <v>1.0043708749137878</v>
      </c>
      <c r="D665" s="1102">
        <v>0.98519826123017917</v>
      </c>
      <c r="E665" s="1102">
        <v>0.96897779826610009</v>
      </c>
      <c r="F665" s="1102">
        <v>1.0192402610504578</v>
      </c>
      <c r="G665" s="1102">
        <v>1.0047345328011532</v>
      </c>
      <c r="H665" s="1102">
        <v>1.0160980370246977</v>
      </c>
      <c r="I665" s="1102">
        <v>1.0280387976148566</v>
      </c>
      <c r="K665">
        <v>1.5840742197924429</v>
      </c>
      <c r="L665">
        <v>0</v>
      </c>
      <c r="M665">
        <v>1.7005295941609423E-3</v>
      </c>
      <c r="N665">
        <v>0.14246833245753718</v>
      </c>
      <c r="O665">
        <v>0.12324840383337049</v>
      </c>
      <c r="P665">
        <v>1.5648427630304856E-2</v>
      </c>
      <c r="Q665">
        <v>8.7151014389960169E-4</v>
      </c>
      <c r="R665">
        <v>1.6967413476060133E-3</v>
      </c>
      <c r="S665">
        <v>0.12483815301217734</v>
      </c>
      <c r="T665">
        <v>0.843230706246895</v>
      </c>
      <c r="U665">
        <v>0</v>
      </c>
      <c r="V665">
        <v>0.20685640508544784</v>
      </c>
      <c r="W665">
        <v>9.5355406002750359E-2</v>
      </c>
      <c r="X665">
        <v>2.6942693009064413E-2</v>
      </c>
      <c r="Y665">
        <v>4.6179706175486527E-3</v>
      </c>
    </row>
    <row r="666" spans="1:25" x14ac:dyDescent="0.25">
      <c r="A666" s="1098"/>
      <c r="B666" s="1457">
        <v>416</v>
      </c>
      <c r="C666" s="1102">
        <v>1.0219722281731189</v>
      </c>
      <c r="D666" s="1102">
        <v>1.0289873064600241</v>
      </c>
      <c r="E666" s="1102">
        <v>1.0132086202935491</v>
      </c>
      <c r="F666" s="1102">
        <v>0.98857225116805747</v>
      </c>
      <c r="G666" s="1102">
        <v>1.026962553960804</v>
      </c>
      <c r="H666" s="1102">
        <v>1.0321485478204715</v>
      </c>
      <c r="I666" s="1102">
        <v>1.0122604907597097</v>
      </c>
      <c r="K666">
        <v>1.5428177618780481</v>
      </c>
      <c r="L666">
        <v>0</v>
      </c>
      <c r="M666">
        <v>1.5096538025975979E-3</v>
      </c>
      <c r="N666">
        <v>0.14457452389119069</v>
      </c>
      <c r="O666">
        <v>0.11819908616236549</v>
      </c>
      <c r="P666">
        <v>1.566313842127437E-2</v>
      </c>
      <c r="Q666">
        <v>8.8142354895916707E-4</v>
      </c>
      <c r="R666">
        <v>1.5063153211278693E-3</v>
      </c>
      <c r="S666">
        <v>0.11895052109199553</v>
      </c>
      <c r="T666">
        <v>0.8149596084531836</v>
      </c>
      <c r="U666">
        <v>0</v>
      </c>
      <c r="V666">
        <v>0.20360993388502455</v>
      </c>
      <c r="W666">
        <v>9.4236789328494289E-2</v>
      </c>
      <c r="X666">
        <v>2.7646381829632222E-2</v>
      </c>
      <c r="Y666">
        <v>4.099693747397902E-3</v>
      </c>
    </row>
    <row r="667" spans="1:25" x14ac:dyDescent="0.25">
      <c r="A667" s="1098"/>
      <c r="B667" s="1457">
        <v>417</v>
      </c>
      <c r="C667" s="1102">
        <v>1.0345146276088493</v>
      </c>
      <c r="D667" s="1102">
        <v>0.99708804822105468</v>
      </c>
      <c r="E667" s="1102">
        <v>1.0097245556657508</v>
      </c>
      <c r="F667" s="1102">
        <v>1.0265397145497841</v>
      </c>
      <c r="G667" s="1102">
        <v>0.98940209824287351</v>
      </c>
      <c r="H667" s="1102">
        <v>1.0147230176175932</v>
      </c>
      <c r="I667" s="1102">
        <v>0.98043614997523021</v>
      </c>
      <c r="K667">
        <v>1.5723659983070251</v>
      </c>
      <c r="L667">
        <v>0</v>
      </c>
      <c r="M667">
        <v>1.5089932321653752E-3</v>
      </c>
      <c r="N667">
        <v>0.14299679643749291</v>
      </c>
      <c r="O667">
        <v>0.12157222128323165</v>
      </c>
      <c r="P667">
        <v>1.6002926964582824E-2</v>
      </c>
      <c r="Q667">
        <v>8.786146696740598E-4</v>
      </c>
      <c r="R667">
        <v>1.5056291528298084E-3</v>
      </c>
      <c r="S667">
        <v>0.11493538115085765</v>
      </c>
      <c r="T667">
        <v>0.84649401840699945</v>
      </c>
      <c r="U667">
        <v>0</v>
      </c>
      <c r="V667">
        <v>0.20377619603851116</v>
      </c>
      <c r="W667">
        <v>9.3399861754238242E-2</v>
      </c>
      <c r="X667">
        <v>2.8215519457284535E-2</v>
      </c>
      <c r="Y667">
        <v>4.0978262234858988E-3</v>
      </c>
    </row>
    <row r="668" spans="1:25" x14ac:dyDescent="0.25">
      <c r="A668" s="1098"/>
      <c r="B668" s="1457">
        <v>418</v>
      </c>
      <c r="C668" s="1102">
        <v>0.99198368417591221</v>
      </c>
      <c r="D668" s="1102">
        <v>0.97702960059096611</v>
      </c>
      <c r="E668" s="1102">
        <v>0.96473479305162779</v>
      </c>
      <c r="F668" s="1102">
        <v>1.0013616810270418</v>
      </c>
      <c r="G668" s="1102">
        <v>1.0105459878989047</v>
      </c>
      <c r="H668" s="1102">
        <v>0.97931635115094107</v>
      </c>
      <c r="I668" s="1102">
        <v>0.98242413278066676</v>
      </c>
      <c r="K668">
        <v>1.556804789109886</v>
      </c>
      <c r="L668">
        <v>0</v>
      </c>
      <c r="M668">
        <v>1.6780841891144017E-3</v>
      </c>
      <c r="N668">
        <v>0.13878091084784996</v>
      </c>
      <c r="O668">
        <v>0.12301195731385471</v>
      </c>
      <c r="P668">
        <v>1.5326043380713682E-2</v>
      </c>
      <c r="Q668">
        <v>8.813809697961843E-4</v>
      </c>
      <c r="R668">
        <v>1.6742020020652864E-3</v>
      </c>
      <c r="S668">
        <v>0.11827335564126933</v>
      </c>
      <c r="T668">
        <v>0.82872454607356238</v>
      </c>
      <c r="U668">
        <v>0</v>
      </c>
      <c r="V668">
        <v>0.20748539608923636</v>
      </c>
      <c r="W668">
        <v>9.3128166803124759E-2</v>
      </c>
      <c r="X668">
        <v>2.6640288228447478E-2</v>
      </c>
      <c r="Y668">
        <v>4.5566259490800549E-3</v>
      </c>
    </row>
    <row r="669" spans="1:25" x14ac:dyDescent="0.25">
      <c r="A669" s="1098"/>
      <c r="B669" s="1457">
        <v>419</v>
      </c>
      <c r="C669" s="1102">
        <v>1.0085893392793777</v>
      </c>
      <c r="D669" s="1102">
        <v>0.97296232556633522</v>
      </c>
      <c r="E669" s="1102">
        <v>1.0216118098385083</v>
      </c>
      <c r="F669" s="1102">
        <v>0.98586730118976584</v>
      </c>
      <c r="G669" s="1102">
        <v>1.0251662900489589</v>
      </c>
      <c r="H669" s="1102">
        <v>0.99758818811319883</v>
      </c>
      <c r="I669" s="1102">
        <v>0.9892737377172014</v>
      </c>
      <c r="K669">
        <v>1.5502179017351525</v>
      </c>
      <c r="L669">
        <v>0</v>
      </c>
      <c r="M669">
        <v>1.4979154593903613E-3</v>
      </c>
      <c r="N669">
        <v>0.14712557337997945</v>
      </c>
      <c r="O669">
        <v>0.12108129843994017</v>
      </c>
      <c r="P669">
        <v>1.575753499474206E-2</v>
      </c>
      <c r="Q669">
        <v>9.2126356793984876E-4</v>
      </c>
      <c r="R669">
        <v>1.4945160069552773E-3</v>
      </c>
      <c r="S669">
        <v>0.11898183636974589</v>
      </c>
      <c r="T669">
        <v>0.81218747182929896</v>
      </c>
      <c r="U669">
        <v>0</v>
      </c>
      <c r="V669">
        <v>0.20615595887514693</v>
      </c>
      <c r="W669">
        <v>9.542834532141338E-2</v>
      </c>
      <c r="X669">
        <v>2.851443850551728E-2</v>
      </c>
      <c r="Y669">
        <v>4.0675799038629801E-3</v>
      </c>
    </row>
    <row r="670" spans="1:25" x14ac:dyDescent="0.25">
      <c r="A670" s="1098"/>
      <c r="B670" s="1457">
        <v>420</v>
      </c>
      <c r="C670" s="1102">
        <v>1.0419336008682882</v>
      </c>
      <c r="D670" s="1102">
        <v>0.96618945567440118</v>
      </c>
      <c r="E670" s="1102">
        <v>0.99768531653932158</v>
      </c>
      <c r="F670" s="1102">
        <v>1.0194186122963969</v>
      </c>
      <c r="G670" s="1102">
        <v>0.97829107649742009</v>
      </c>
      <c r="H670" s="1102">
        <v>0.9797248762891253</v>
      </c>
      <c r="I670" s="1102">
        <v>1.0248236178376018</v>
      </c>
      <c r="K670">
        <v>1.562918290017586</v>
      </c>
      <c r="L670">
        <v>0</v>
      </c>
      <c r="M670">
        <v>1.5100718064936999E-3</v>
      </c>
      <c r="N670">
        <v>0.1379796340056805</v>
      </c>
      <c r="O670">
        <v>0.1221461922142786</v>
      </c>
      <c r="P670">
        <v>1.5835899725839476E-2</v>
      </c>
      <c r="Q670">
        <v>8.7247539541264886E-4</v>
      </c>
      <c r="R670">
        <v>1.5066037737944396E-3</v>
      </c>
      <c r="S670">
        <v>0.11873736881931442</v>
      </c>
      <c r="T670">
        <v>0.8414306161442594</v>
      </c>
      <c r="U670">
        <v>0</v>
      </c>
      <c r="V670">
        <v>0.20324801928963387</v>
      </c>
      <c r="W670">
        <v>9.0768139621689045E-2</v>
      </c>
      <c r="X670">
        <v>2.7802934013708255E-2</v>
      </c>
      <c r="Y670">
        <v>4.1004788204679126E-3</v>
      </c>
    </row>
    <row r="671" spans="1:25" x14ac:dyDescent="0.25">
      <c r="A671" s="1098"/>
      <c r="B671" s="1457">
        <v>421</v>
      </c>
      <c r="C671" s="1102">
        <v>0.98779750910318942</v>
      </c>
      <c r="D671" s="1102">
        <v>0.9719198602992839</v>
      </c>
      <c r="E671" s="1102">
        <v>0.98919586321763864</v>
      </c>
      <c r="F671" s="1102">
        <v>0.99779497035778764</v>
      </c>
      <c r="G671" s="1102">
        <v>1.0117828006565319</v>
      </c>
      <c r="H671" s="1102">
        <v>1.0222260098611986</v>
      </c>
      <c r="I671" s="1102">
        <v>1.0282075420586194</v>
      </c>
      <c r="K671">
        <v>1.5803621725620109</v>
      </c>
      <c r="L671">
        <v>0</v>
      </c>
      <c r="M671">
        <v>1.676266372700131E-3</v>
      </c>
      <c r="N671">
        <v>0.1492970574548183</v>
      </c>
      <c r="O671">
        <v>0.12314130555151788</v>
      </c>
      <c r="P671">
        <v>1.5694085358042655E-2</v>
      </c>
      <c r="Q671">
        <v>9.1004322806248418E-4</v>
      </c>
      <c r="R671">
        <v>1.6725521493127506E-3</v>
      </c>
      <c r="S671">
        <v>0.12829245601606129</v>
      </c>
      <c r="T671">
        <v>0.82414339093682343</v>
      </c>
      <c r="U671">
        <v>0</v>
      </c>
      <c r="V671">
        <v>0.20791892632851128</v>
      </c>
      <c r="W671">
        <v>9.8712554019261045E-2</v>
      </c>
      <c r="X671">
        <v>2.7703932298538528E-2</v>
      </c>
      <c r="Y671">
        <v>4.5521355937614659E-3</v>
      </c>
    </row>
    <row r="672" spans="1:25" x14ac:dyDescent="0.25">
      <c r="A672" s="1098"/>
      <c r="B672" s="1457">
        <v>422</v>
      </c>
      <c r="C672" s="1102">
        <v>1.0054288494994952</v>
      </c>
      <c r="D672" s="1102">
        <v>1.000012066724083</v>
      </c>
      <c r="E672" s="1102">
        <v>1.0227543706427453</v>
      </c>
      <c r="F672" s="1102">
        <v>0.99480295984484512</v>
      </c>
      <c r="G672" s="1102">
        <v>1.0117961201742174</v>
      </c>
      <c r="H672" s="1102">
        <v>0.99666167705420905</v>
      </c>
      <c r="I672" s="1102">
        <v>0.96555017456162995</v>
      </c>
      <c r="K672">
        <v>1.5490241778531577</v>
      </c>
      <c r="L672">
        <v>0</v>
      </c>
      <c r="M672">
        <v>1.4752943740324442E-3</v>
      </c>
      <c r="N672">
        <v>0.1454023091621717</v>
      </c>
      <c r="O672">
        <v>0.12066906227832223</v>
      </c>
      <c r="P672">
        <v>1.5800921486864124E-2</v>
      </c>
      <c r="Q672">
        <v>9.151487394124274E-4</v>
      </c>
      <c r="R672">
        <v>1.4719294479187787E-3</v>
      </c>
      <c r="S672">
        <v>0.11457055045036969</v>
      </c>
      <c r="T672">
        <v>0.8194747208577251</v>
      </c>
      <c r="U672">
        <v>0</v>
      </c>
      <c r="V672">
        <v>0.20546430262196191</v>
      </c>
      <c r="W672">
        <v>9.4247690887532862E-2</v>
      </c>
      <c r="X672">
        <v>2.8476729559088889E-2</v>
      </c>
      <c r="Y672">
        <v>4.0061067358228156E-3</v>
      </c>
    </row>
    <row r="673" spans="1:25" x14ac:dyDescent="0.25">
      <c r="A673" s="1098"/>
      <c r="B673" s="1457">
        <v>423</v>
      </c>
      <c r="C673" s="1102">
        <v>0.9848065882181023</v>
      </c>
      <c r="D673" s="1102">
        <v>0.98936553370763902</v>
      </c>
      <c r="E673" s="1102">
        <v>0.99453507206221248</v>
      </c>
      <c r="F673" s="1102">
        <v>0.96558324141727225</v>
      </c>
      <c r="G673" s="1102">
        <v>1.0242263707643096</v>
      </c>
      <c r="H673" s="1102">
        <v>1.0027413721017524</v>
      </c>
      <c r="I673" s="1102">
        <v>1.0469503007917396</v>
      </c>
      <c r="K673">
        <v>1.5413723970598874</v>
      </c>
      <c r="L673">
        <v>0</v>
      </c>
      <c r="M673">
        <v>1.6103091432919424E-3</v>
      </c>
      <c r="N673">
        <v>0.14574806912787666</v>
      </c>
      <c r="O673">
        <v>0.12018999111778454</v>
      </c>
      <c r="P673">
        <v>1.5365162664534004E-2</v>
      </c>
      <c r="Q673">
        <v>9.113874864282224E-4</v>
      </c>
      <c r="R673">
        <v>1.6066507474081875E-3</v>
      </c>
      <c r="S673">
        <v>0.12776891967662701</v>
      </c>
      <c r="T673">
        <v>0.79719595458921799</v>
      </c>
      <c r="U673">
        <v>0</v>
      </c>
      <c r="V673">
        <v>0.20651107457869475</v>
      </c>
      <c r="W673">
        <v>9.6058743505234759E-2</v>
      </c>
      <c r="X673">
        <v>2.7253979007203007E-2</v>
      </c>
      <c r="Y673">
        <v>4.3727737021685446E-3</v>
      </c>
    </row>
    <row r="674" spans="1:25" x14ac:dyDescent="0.25">
      <c r="A674" s="1098"/>
      <c r="B674" s="1457">
        <v>424</v>
      </c>
      <c r="C674" s="1102">
        <v>1.0106318758791297</v>
      </c>
      <c r="D674" s="1102">
        <v>0.96773148928129149</v>
      </c>
      <c r="E674" s="1102">
        <v>0.99534441320101374</v>
      </c>
      <c r="F674" s="1102">
        <v>1.0043200252215099</v>
      </c>
      <c r="G674" s="1102">
        <v>0.99851712984281493</v>
      </c>
      <c r="H674" s="1102">
        <v>0.99849318826493094</v>
      </c>
      <c r="I674" s="1102">
        <v>0.99749329661675512</v>
      </c>
      <c r="K674">
        <v>1.5654673885737167</v>
      </c>
      <c r="L674">
        <v>0</v>
      </c>
      <c r="M674">
        <v>1.587520046466931E-3</v>
      </c>
      <c r="N674">
        <v>0.14403880354710769</v>
      </c>
      <c r="O674">
        <v>0.12259364694634549</v>
      </c>
      <c r="P674">
        <v>1.5697297895405131E-2</v>
      </c>
      <c r="Q674">
        <v>8.9674133658780835E-4</v>
      </c>
      <c r="R674">
        <v>1.5839294972334736E-3</v>
      </c>
      <c r="S674">
        <v>0.12026281119997298</v>
      </c>
      <c r="T674">
        <v>0.8291236702026239</v>
      </c>
      <c r="U674">
        <v>0</v>
      </c>
      <c r="V674">
        <v>0.20586337671786326</v>
      </c>
      <c r="W674">
        <v>9.4886374351577943E-2</v>
      </c>
      <c r="X674">
        <v>2.7797322976214563E-2</v>
      </c>
      <c r="Y674">
        <v>4.3109339492510808E-3</v>
      </c>
    </row>
    <row r="675" spans="1:25" x14ac:dyDescent="0.25">
      <c r="A675" s="1098"/>
      <c r="B675" s="1457">
        <v>425</v>
      </c>
      <c r="C675" s="1102">
        <v>1.0108341387715294</v>
      </c>
      <c r="D675" s="1102">
        <v>0.99054458911630605</v>
      </c>
      <c r="E675" s="1102">
        <v>0.98273605493532024</v>
      </c>
      <c r="F675" s="1102">
        <v>1.0280367634023004</v>
      </c>
      <c r="G675" s="1102">
        <v>0.99081855074543879</v>
      </c>
      <c r="H675" s="1102">
        <v>1.0095471384695331</v>
      </c>
      <c r="I675" s="1102">
        <v>1.008490558278182</v>
      </c>
      <c r="K675">
        <v>1.5849615177292169</v>
      </c>
      <c r="L675">
        <v>0</v>
      </c>
      <c r="M675">
        <v>1.6285095709741423E-3</v>
      </c>
      <c r="N675">
        <v>0.14223373300179623</v>
      </c>
      <c r="O675">
        <v>0.12324644334865612</v>
      </c>
      <c r="P675">
        <v>1.5834000054668118E-2</v>
      </c>
      <c r="Q675">
        <v>8.7664151151178773E-4</v>
      </c>
      <c r="R675">
        <v>1.6248589629181524E-3</v>
      </c>
      <c r="S675">
        <v>0.12088302544791638</v>
      </c>
      <c r="T675">
        <v>0.84956344618734503</v>
      </c>
      <c r="U675">
        <v>0</v>
      </c>
      <c r="V675">
        <v>0.20600139069928083</v>
      </c>
      <c r="W675">
        <v>9.4408210560277123E-2</v>
      </c>
      <c r="X675">
        <v>2.7495947063372075E-2</v>
      </c>
      <c r="Y675">
        <v>4.4223304624500404E-3</v>
      </c>
    </row>
    <row r="676" spans="1:25" x14ac:dyDescent="0.25">
      <c r="A676" s="1098"/>
      <c r="B676" s="1457">
        <v>426</v>
      </c>
      <c r="C676" s="1102">
        <v>1.0060454875747957</v>
      </c>
      <c r="D676" s="1102">
        <v>1.0173243914194066</v>
      </c>
      <c r="E676" s="1102">
        <v>1.032683819075529</v>
      </c>
      <c r="F676" s="1102">
        <v>1.0240516950780518</v>
      </c>
      <c r="G676" s="1102">
        <v>1.0081465810801691</v>
      </c>
      <c r="H676" s="1102">
        <v>0.99337202633574639</v>
      </c>
      <c r="I676" s="1102">
        <v>0.96406710959830832</v>
      </c>
      <c r="K676">
        <v>1.572930019075202</v>
      </c>
      <c r="L676">
        <v>0</v>
      </c>
      <c r="M676">
        <v>1.4286347737253659E-3</v>
      </c>
      <c r="N676">
        <v>0.14508142406403338</v>
      </c>
      <c r="O676">
        <v>0.12188241492517482</v>
      </c>
      <c r="P676">
        <v>1.6233279078105196E-2</v>
      </c>
      <c r="Q676">
        <v>9.1759165856365819E-4</v>
      </c>
      <c r="R676">
        <v>1.4253632902244146E-3</v>
      </c>
      <c r="S676">
        <v>0.11309376166671008</v>
      </c>
      <c r="T676">
        <v>0.84290639597143624</v>
      </c>
      <c r="U676">
        <v>0</v>
      </c>
      <c r="V676">
        <v>0.20625996362002105</v>
      </c>
      <c r="W676">
        <v>9.3498263224358696E-2</v>
      </c>
      <c r="X676">
        <v>2.9180827345190563E-2</v>
      </c>
      <c r="Y676">
        <v>3.8793690051085157E-3</v>
      </c>
    </row>
    <row r="677" spans="1:25" x14ac:dyDescent="0.25">
      <c r="A677" s="1098"/>
      <c r="B677" s="1457">
        <v>427</v>
      </c>
      <c r="C677" s="1102">
        <v>1.0426094927267713</v>
      </c>
      <c r="D677" s="1102">
        <v>0.98917218172640209</v>
      </c>
      <c r="E677" s="1102">
        <v>0.98113250973924271</v>
      </c>
      <c r="F677" s="1102">
        <v>0.99911760272605354</v>
      </c>
      <c r="G677" s="1102">
        <v>0.95972330378717974</v>
      </c>
      <c r="H677" s="1102">
        <v>0.99900028421843756</v>
      </c>
      <c r="I677" s="1102">
        <v>0.96605888423015696</v>
      </c>
      <c r="K677">
        <v>1.5316398675775171</v>
      </c>
      <c r="L677">
        <v>0</v>
      </c>
      <c r="M677">
        <v>1.5689396286839765E-3</v>
      </c>
      <c r="N677">
        <v>0.13636462846271324</v>
      </c>
      <c r="O677">
        <v>0.11971902512271652</v>
      </c>
      <c r="P677">
        <v>1.5296965753398051E-2</v>
      </c>
      <c r="Q677">
        <v>8.4896946441533907E-4</v>
      </c>
      <c r="R677">
        <v>1.5653865505286489E-3</v>
      </c>
      <c r="S677">
        <v>0.11158264621137909</v>
      </c>
      <c r="T677">
        <v>0.82577152169810786</v>
      </c>
      <c r="U677">
        <v>0</v>
      </c>
      <c r="V677">
        <v>0.20058149863446509</v>
      </c>
      <c r="W677">
        <v>9.0600116494766472E-2</v>
      </c>
      <c r="X677">
        <v>2.6617582652707656E-2</v>
      </c>
      <c r="Y677">
        <v>4.2604661610012862E-3</v>
      </c>
    </row>
    <row r="678" spans="1:25" x14ac:dyDescent="0.25">
      <c r="A678" s="1098"/>
      <c r="B678" s="1457">
        <v>428</v>
      </c>
      <c r="C678" s="1102">
        <v>1.0097586410540396</v>
      </c>
      <c r="D678" s="1102">
        <v>1.0034352946165774</v>
      </c>
      <c r="E678" s="1102">
        <v>0.96886534493117171</v>
      </c>
      <c r="F678" s="1102">
        <v>1.0119829895055168</v>
      </c>
      <c r="G678" s="1102">
        <v>0.97927200655930924</v>
      </c>
      <c r="H678" s="1102">
        <v>1.034144428037953</v>
      </c>
      <c r="I678" s="1102">
        <v>0.99818087736609162</v>
      </c>
      <c r="K678">
        <v>1.5696421427372513</v>
      </c>
      <c r="L678">
        <v>0</v>
      </c>
      <c r="M678">
        <v>1.7037873230966824E-3</v>
      </c>
      <c r="N678">
        <v>0.14269720750467607</v>
      </c>
      <c r="O678">
        <v>0.12165046675627399</v>
      </c>
      <c r="P678">
        <v>1.5477750488175353E-2</v>
      </c>
      <c r="Q678">
        <v>8.6042139275721845E-4</v>
      </c>
      <c r="R678">
        <v>1.700045964973517E-3</v>
      </c>
      <c r="S678">
        <v>0.12065206136863868</v>
      </c>
      <c r="T678">
        <v>0.83723429777788905</v>
      </c>
      <c r="U678">
        <v>0</v>
      </c>
      <c r="V678">
        <v>0.20432800958028829</v>
      </c>
      <c r="W678">
        <v>9.5515136947364646E-2</v>
      </c>
      <c r="X678">
        <v>2.6603567582652955E-2</v>
      </c>
      <c r="Y678">
        <v>4.6269646966561745E-3</v>
      </c>
    </row>
    <row r="679" spans="1:25" x14ac:dyDescent="0.25">
      <c r="A679" s="1098"/>
      <c r="B679" s="1457">
        <v>429</v>
      </c>
      <c r="C679" s="1102">
        <v>1.0232805152891871</v>
      </c>
      <c r="D679" s="1102">
        <v>0.99639838976710349</v>
      </c>
      <c r="E679" s="1102">
        <v>1.0061639898558066</v>
      </c>
      <c r="F679" s="1102">
        <v>1.016672536295911</v>
      </c>
      <c r="G679" s="1102">
        <v>1.0154007305235146</v>
      </c>
      <c r="H679" s="1102">
        <v>1.0131346835528781</v>
      </c>
      <c r="I679" s="1102">
        <v>0.95861988292673295</v>
      </c>
      <c r="K679">
        <v>1.5655629946587251</v>
      </c>
      <c r="L679">
        <v>0</v>
      </c>
      <c r="M679">
        <v>1.5328141338229113E-3</v>
      </c>
      <c r="N679">
        <v>0.14369993890569493</v>
      </c>
      <c r="O679">
        <v>0.1214946693476103</v>
      </c>
      <c r="P679">
        <v>1.585356779101138E-2</v>
      </c>
      <c r="Q679">
        <v>8.8524625036386746E-4</v>
      </c>
      <c r="R679">
        <v>1.5293869305579647E-3</v>
      </c>
      <c r="S679">
        <v>0.11342154230458988</v>
      </c>
      <c r="T679">
        <v>0.83859549051811311</v>
      </c>
      <c r="U679">
        <v>0</v>
      </c>
      <c r="V679">
        <v>0.20536229262351655</v>
      </c>
      <c r="W679">
        <v>9.4056718740817016E-2</v>
      </c>
      <c r="X679">
        <v>2.8034468317558976E-2</v>
      </c>
      <c r="Y679">
        <v>4.1624870627126184E-3</v>
      </c>
    </row>
    <row r="680" spans="1:25" x14ac:dyDescent="0.25">
      <c r="A680" s="1098"/>
      <c r="B680" s="1457">
        <v>430</v>
      </c>
      <c r="C680" s="1102">
        <v>0.98896481028869077</v>
      </c>
      <c r="D680" s="1102">
        <v>0.99280454005524688</v>
      </c>
      <c r="E680" s="1102">
        <v>0.99755825218775118</v>
      </c>
      <c r="F680" s="1102">
        <v>1.0187144196349893</v>
      </c>
      <c r="G680" s="1102">
        <v>1.0260667130219097</v>
      </c>
      <c r="H680" s="1102">
        <v>0.97876909126527534</v>
      </c>
      <c r="I680" s="1102">
        <v>1.0088277874998268</v>
      </c>
      <c r="K680">
        <v>1.5794664127862532</v>
      </c>
      <c r="L680">
        <v>0</v>
      </c>
      <c r="M680">
        <v>1.5594027889815002E-3</v>
      </c>
      <c r="N680">
        <v>0.14242934641699015</v>
      </c>
      <c r="O680">
        <v>0.1235895671132943</v>
      </c>
      <c r="P680">
        <v>1.593158433586327E-2</v>
      </c>
      <c r="Q680">
        <v>9.0914786253973128E-4</v>
      </c>
      <c r="R680">
        <v>1.5557875565095931E-3</v>
      </c>
      <c r="S680">
        <v>0.12077093520516916</v>
      </c>
      <c r="T680">
        <v>0.84085792875423881</v>
      </c>
      <c r="U680">
        <v>0</v>
      </c>
      <c r="V680">
        <v>0.20892196583393732</v>
      </c>
      <c r="W680">
        <v>9.3702415537884637E-2</v>
      </c>
      <c r="X680">
        <v>2.8122796095217176E-2</v>
      </c>
      <c r="Y680">
        <v>4.2343408635889448E-3</v>
      </c>
    </row>
    <row r="681" spans="1:25" x14ac:dyDescent="0.25">
      <c r="A681" s="1098"/>
      <c r="B681" s="1457">
        <v>431</v>
      </c>
      <c r="C681" s="1102">
        <v>1.0058147122903525</v>
      </c>
      <c r="D681" s="1102">
        <v>0.9737623038343125</v>
      </c>
      <c r="E681" s="1102">
        <v>0.96280106378837305</v>
      </c>
      <c r="F681" s="1102">
        <v>1.014275667678681</v>
      </c>
      <c r="G681" s="1102">
        <v>1.0001297233983337</v>
      </c>
      <c r="H681" s="1102">
        <v>1.0088687696839393</v>
      </c>
      <c r="I681" s="1102">
        <v>0.98228684142572487</v>
      </c>
      <c r="K681">
        <v>1.5727517111985196</v>
      </c>
      <c r="L681">
        <v>0</v>
      </c>
      <c r="M681">
        <v>1.7185155334509192E-3</v>
      </c>
      <c r="N681">
        <v>0.14130498131895786</v>
      </c>
      <c r="O681">
        <v>0.1233620117165718</v>
      </c>
      <c r="P681">
        <v>1.5449165001793219E-2</v>
      </c>
      <c r="Q681">
        <v>8.6864904808050267E-4</v>
      </c>
      <c r="R681">
        <v>1.7146662765045188E-3</v>
      </c>
      <c r="S681">
        <v>0.11934241658804208</v>
      </c>
      <c r="T681">
        <v>0.83954389801404206</v>
      </c>
      <c r="U681">
        <v>0</v>
      </c>
      <c r="V681">
        <v>0.20661258489416512</v>
      </c>
      <c r="W681">
        <v>9.4934149788789862E-2</v>
      </c>
      <c r="X681">
        <v>2.6670947719962979E-2</v>
      </c>
      <c r="Y681">
        <v>4.6667563650591602E-3</v>
      </c>
    </row>
    <row r="682" spans="1:25" x14ac:dyDescent="0.25">
      <c r="A682" s="1098"/>
      <c r="B682" s="1457">
        <v>432</v>
      </c>
      <c r="C682" s="1102">
        <v>1.0168290803788</v>
      </c>
      <c r="D682" s="1102">
        <v>0.97534753520583783</v>
      </c>
      <c r="E682" s="1102">
        <v>0.9963302232267538</v>
      </c>
      <c r="F682" s="1102">
        <v>1.007708408704632</v>
      </c>
      <c r="G682" s="1102">
        <v>1.0006734066601386</v>
      </c>
      <c r="H682" s="1102">
        <v>1.0155043321391459</v>
      </c>
      <c r="I682" s="1102">
        <v>0.99591484000210118</v>
      </c>
      <c r="K682">
        <v>1.5691221152933226</v>
      </c>
      <c r="L682">
        <v>0</v>
      </c>
      <c r="M682">
        <v>1.5954900080081514E-3</v>
      </c>
      <c r="N682">
        <v>0.14519918113287586</v>
      </c>
      <c r="O682">
        <v>0.12216720729425858</v>
      </c>
      <c r="P682">
        <v>1.5738481858432216E-2</v>
      </c>
      <c r="Q682">
        <v>8.8939624502191409E-4</v>
      </c>
      <c r="R682">
        <v>1.5919397770117027E-3</v>
      </c>
      <c r="S682">
        <v>0.12018337104199965</v>
      </c>
      <c r="T682">
        <v>0.83185526220464268</v>
      </c>
      <c r="U682">
        <v>0</v>
      </c>
      <c r="V682">
        <v>0.20538817375503871</v>
      </c>
      <c r="W682">
        <v>9.5594568704021735E-2</v>
      </c>
      <c r="X682">
        <v>2.7777287997806557E-2</v>
      </c>
      <c r="Y682">
        <v>4.3327352902194005E-3</v>
      </c>
    </row>
    <row r="683" spans="1:25" x14ac:dyDescent="0.25">
      <c r="A683" s="1098"/>
      <c r="B683" s="1457">
        <v>433</v>
      </c>
      <c r="C683" s="1102">
        <v>1.0280988950342476</v>
      </c>
      <c r="D683" s="1102">
        <v>0.96403645199130039</v>
      </c>
      <c r="E683" s="1102">
        <v>0.99988519456828651</v>
      </c>
      <c r="F683" s="1102">
        <v>1.0006295851254281</v>
      </c>
      <c r="G683" s="1102">
        <v>1.0047660639933635</v>
      </c>
      <c r="H683" s="1102">
        <v>0.9794349195519747</v>
      </c>
      <c r="I683" s="1102">
        <v>0.97488960064779906</v>
      </c>
      <c r="K683">
        <v>1.5466589776992865</v>
      </c>
      <c r="L683">
        <v>0</v>
      </c>
      <c r="M683">
        <v>1.5212323752789667E-3</v>
      </c>
      <c r="N683">
        <v>0.13992564743180702</v>
      </c>
      <c r="O683">
        <v>0.12161053900814503</v>
      </c>
      <c r="P683">
        <v>1.5608813783028225E-2</v>
      </c>
      <c r="Q683">
        <v>8.8702747926948822E-4</v>
      </c>
      <c r="R683">
        <v>1.5177305500901075E-3</v>
      </c>
      <c r="S683">
        <v>0.11442462561186695</v>
      </c>
      <c r="T683">
        <v>0.82577670644254153</v>
      </c>
      <c r="U683">
        <v>0</v>
      </c>
      <c r="V683">
        <v>0.20464540501583367</v>
      </c>
      <c r="W683">
        <v>9.1927911026027154E-2</v>
      </c>
      <c r="X683">
        <v>2.7725041488351098E-2</v>
      </c>
      <c r="Y683">
        <v>4.1307622376038989E-3</v>
      </c>
    </row>
    <row r="684" spans="1:25" x14ac:dyDescent="0.25">
      <c r="A684" s="1098"/>
      <c r="B684" s="1457">
        <v>434</v>
      </c>
      <c r="C684" s="1102">
        <v>1.0077849872206415</v>
      </c>
      <c r="D684" s="1102">
        <v>0.97546654320688719</v>
      </c>
      <c r="E684" s="1102">
        <v>0.99699524965597419</v>
      </c>
      <c r="F684" s="1102">
        <v>0.97244833932140318</v>
      </c>
      <c r="G684" s="1102">
        <v>0.99390324939215879</v>
      </c>
      <c r="H684" s="1102">
        <v>1.0243330565819171</v>
      </c>
      <c r="I684" s="1102">
        <v>1.0289944554327335</v>
      </c>
      <c r="K684">
        <v>1.5448847303128455</v>
      </c>
      <c r="L684">
        <v>0</v>
      </c>
      <c r="M684">
        <v>1.6158522360146589E-3</v>
      </c>
      <c r="N684">
        <v>0.14734978766627288</v>
      </c>
      <c r="O684">
        <v>0.12011856342797689</v>
      </c>
      <c r="P684">
        <v>1.5406120714861332E-2</v>
      </c>
      <c r="Q684">
        <v>8.979541262434512E-4</v>
      </c>
      <c r="R684">
        <v>1.6122752544207547E-3</v>
      </c>
      <c r="S684">
        <v>0.12571688871869208</v>
      </c>
      <c r="T684">
        <v>0.80270559461679325</v>
      </c>
      <c r="U684">
        <v>0</v>
      </c>
      <c r="V684">
        <v>0.20398505693549562</v>
      </c>
      <c r="W684">
        <v>9.6972022851748774E-2</v>
      </c>
      <c r="X684">
        <v>2.7348236480215685E-2</v>
      </c>
      <c r="Y684">
        <v>4.3880817561385141E-3</v>
      </c>
    </row>
    <row r="685" spans="1:25" x14ac:dyDescent="0.25">
      <c r="A685" s="1098"/>
      <c r="B685" s="1457">
        <v>435</v>
      </c>
      <c r="C685" s="1102">
        <v>1.0334308022798175</v>
      </c>
      <c r="D685" s="1102">
        <v>0.99167037570459338</v>
      </c>
      <c r="E685" s="1102">
        <v>1.0310225807015811</v>
      </c>
      <c r="F685" s="1102">
        <v>0.98804069421755114</v>
      </c>
      <c r="G685" s="1102">
        <v>0.99354454249717827</v>
      </c>
      <c r="H685" s="1102">
        <v>1.0296228744880531</v>
      </c>
      <c r="I685" s="1102">
        <v>1.0336588236531206</v>
      </c>
      <c r="K685">
        <v>1.5505999334785874</v>
      </c>
      <c r="L685">
        <v>0</v>
      </c>
      <c r="M685">
        <v>1.4665864271447928E-3</v>
      </c>
      <c r="N685">
        <v>0.14820475592152724</v>
      </c>
      <c r="O685">
        <v>0.11914361417922714</v>
      </c>
      <c r="P685">
        <v>1.5880157559812945E-2</v>
      </c>
      <c r="Q685">
        <v>9.0092166640919449E-4</v>
      </c>
      <c r="R685">
        <v>1.4633577725344049E-3</v>
      </c>
      <c r="S685">
        <v>0.12269258682244472</v>
      </c>
      <c r="T685">
        <v>0.81337207296014846</v>
      </c>
      <c r="U685">
        <v>0</v>
      </c>
      <c r="V685">
        <v>0.20227115295952827</v>
      </c>
      <c r="W685">
        <v>9.5603118714405105E-2</v>
      </c>
      <c r="X685">
        <v>2.8552003888613051E-2</v>
      </c>
      <c r="Y685">
        <v>3.9827774610785797E-3</v>
      </c>
    </row>
    <row r="686" spans="1:25" x14ac:dyDescent="0.25">
      <c r="A686" s="1098"/>
      <c r="B686" s="1457">
        <v>436</v>
      </c>
      <c r="C686" s="1102">
        <v>1.0060271642902667</v>
      </c>
      <c r="D686" s="1102">
        <v>1.003865323531415</v>
      </c>
      <c r="E686" s="1102">
        <v>1.0169005955965664</v>
      </c>
      <c r="F686" s="1102">
        <v>0.95677102339100395</v>
      </c>
      <c r="G686" s="1102">
        <v>0.99145852951691837</v>
      </c>
      <c r="H686" s="1102">
        <v>1.0302229715396638</v>
      </c>
      <c r="I686" s="1102">
        <v>1.0012737946038719</v>
      </c>
      <c r="K686">
        <v>1.5229294782951541</v>
      </c>
      <c r="L686">
        <v>0</v>
      </c>
      <c r="M686">
        <v>1.5348276440427077E-3</v>
      </c>
      <c r="N686">
        <v>0.14863173626179355</v>
      </c>
      <c r="O686">
        <v>0.11780168710061559</v>
      </c>
      <c r="P686">
        <v>1.5350207843360379E-2</v>
      </c>
      <c r="Q686">
        <v>9.0773070600750412E-4</v>
      </c>
      <c r="R686">
        <v>1.531428742891576E-3</v>
      </c>
      <c r="S686">
        <v>0.12085810741830501</v>
      </c>
      <c r="T686">
        <v>0.78851183053483087</v>
      </c>
      <c r="U686">
        <v>0</v>
      </c>
      <c r="V686">
        <v>0.20238683337869426</v>
      </c>
      <c r="W686">
        <v>9.6671515660169724E-2</v>
      </c>
      <c r="X686">
        <v>2.7645184089725786E-2</v>
      </c>
      <c r="Y686">
        <v>4.1680442028014528E-3</v>
      </c>
    </row>
    <row r="687" spans="1:25" x14ac:dyDescent="0.25">
      <c r="A687" s="1098"/>
      <c r="B687" s="1457">
        <v>437</v>
      </c>
      <c r="C687" s="1102">
        <v>0.97201990729077525</v>
      </c>
      <c r="D687" s="1102">
        <v>1.0015330283628388</v>
      </c>
      <c r="E687" s="1102">
        <v>1.0038501504174742</v>
      </c>
      <c r="F687" s="1102">
        <v>1.0292209622154425</v>
      </c>
      <c r="G687" s="1102">
        <v>0.99897399773552498</v>
      </c>
      <c r="H687" s="1102">
        <v>0.9731686719298408</v>
      </c>
      <c r="I687" s="1102">
        <v>1.015548764543011</v>
      </c>
      <c r="K687">
        <v>1.5945325694481967</v>
      </c>
      <c r="L687">
        <v>0</v>
      </c>
      <c r="M687">
        <v>1.5486037743616858E-3</v>
      </c>
      <c r="N687">
        <v>0.14415471946143066</v>
      </c>
      <c r="O687">
        <v>0.12482052531307726</v>
      </c>
      <c r="P687">
        <v>1.6151365213032565E-2</v>
      </c>
      <c r="Q687">
        <v>9.2779416907105394E-4</v>
      </c>
      <c r="R687">
        <v>1.5449859076393387E-3</v>
      </c>
      <c r="S687">
        <v>0.12255985442707003</v>
      </c>
      <c r="T687">
        <v>0.84910279929701027</v>
      </c>
      <c r="U687">
        <v>0</v>
      </c>
      <c r="V687">
        <v>0.20947842200604475</v>
      </c>
      <c r="W687">
        <v>9.4483723688397386E-2</v>
      </c>
      <c r="X687">
        <v>2.8652041403657243E-2</v>
      </c>
      <c r="Y687">
        <v>4.2049423361267052E-3</v>
      </c>
    </row>
    <row r="688" spans="1:25" x14ac:dyDescent="0.25">
      <c r="A688" s="1098"/>
      <c r="B688" s="1457">
        <v>438</v>
      </c>
      <c r="C688" s="1102">
        <v>0.99762752256637433</v>
      </c>
      <c r="D688" s="1102">
        <v>0.97510857342269053</v>
      </c>
      <c r="E688" s="1102">
        <v>1.0232370735609562</v>
      </c>
      <c r="F688" s="1102">
        <v>0.9881415215012046</v>
      </c>
      <c r="G688" s="1102">
        <v>1.0282726138754641</v>
      </c>
      <c r="H688" s="1102">
        <v>1.0231964896479102</v>
      </c>
      <c r="I688" s="1102">
        <v>1.0041814704452674</v>
      </c>
      <c r="K688">
        <v>1.5680235552286128</v>
      </c>
      <c r="L688">
        <v>0</v>
      </c>
      <c r="M688">
        <v>1.5450693652922253E-3</v>
      </c>
      <c r="N688">
        <v>0.15251114755449838</v>
      </c>
      <c r="O688">
        <v>0.12169785154066508</v>
      </c>
      <c r="P688">
        <v>1.588545770956825E-2</v>
      </c>
      <c r="Q688">
        <v>9.3211656319363006E-4</v>
      </c>
      <c r="R688">
        <v>1.5416471842388758E-3</v>
      </c>
      <c r="S688">
        <v>0.1239633979279314</v>
      </c>
      <c r="T688">
        <v>0.81395618940999215</v>
      </c>
      <c r="U688">
        <v>0</v>
      </c>
      <c r="V688">
        <v>0.20727136201878046</v>
      </c>
      <c r="W688">
        <v>9.8827690057553041E-2</v>
      </c>
      <c r="X688">
        <v>2.8785909195840773E-2</v>
      </c>
      <c r="Y688">
        <v>4.1958554316405168E-3</v>
      </c>
    </row>
    <row r="689" spans="1:25" x14ac:dyDescent="0.25">
      <c r="A689" s="1098"/>
      <c r="B689" s="1457">
        <v>439</v>
      </c>
      <c r="C689" s="1102">
        <v>1.020913818107382</v>
      </c>
      <c r="D689" s="1102">
        <v>1.0292805926792896</v>
      </c>
      <c r="E689" s="1102">
        <v>0.99302673469211511</v>
      </c>
      <c r="F689" s="1102">
        <v>1.0007083322225803</v>
      </c>
      <c r="G689" s="1102">
        <v>0.99926011573714268</v>
      </c>
      <c r="H689" s="1102">
        <v>0.98833535882466395</v>
      </c>
      <c r="I689" s="1102">
        <v>1.0079447255055458</v>
      </c>
      <c r="K689">
        <v>1.5369097831125158</v>
      </c>
      <c r="L689">
        <v>0</v>
      </c>
      <c r="M689">
        <v>1.5099539075293514E-3</v>
      </c>
      <c r="N689">
        <v>0.13603844512077279</v>
      </c>
      <c r="O689">
        <v>0.11913039073868846</v>
      </c>
      <c r="P689">
        <v>1.5524318509016078E-2</v>
      </c>
      <c r="Q689">
        <v>8.6399791353345627E-4</v>
      </c>
      <c r="R689">
        <v>1.5064694173575195E-3</v>
      </c>
      <c r="S689">
        <v>0.11519419242626101</v>
      </c>
      <c r="T689">
        <v>0.82629555413104028</v>
      </c>
      <c r="U689">
        <v>0</v>
      </c>
      <c r="V689">
        <v>0.20302465773628095</v>
      </c>
      <c r="W689">
        <v>8.9740193556142669E-2</v>
      </c>
      <c r="X689">
        <v>2.7001404324414956E-2</v>
      </c>
      <c r="Y689">
        <v>4.1001131465372015E-3</v>
      </c>
    </row>
    <row r="690" spans="1:25" x14ac:dyDescent="0.25">
      <c r="A690" s="1098"/>
      <c r="B690" s="1457">
        <v>440</v>
      </c>
      <c r="C690" s="1102">
        <v>0.99834683200629593</v>
      </c>
      <c r="D690" s="1102">
        <v>0.97842368618520204</v>
      </c>
      <c r="E690" s="1102">
        <v>1.0394825713589313</v>
      </c>
      <c r="F690" s="1102">
        <v>1.0368293839603899</v>
      </c>
      <c r="G690" s="1102">
        <v>1.0093870608085198</v>
      </c>
      <c r="H690" s="1102">
        <v>1.0257757686059183</v>
      </c>
      <c r="I690" s="1102">
        <v>1.016230309256049</v>
      </c>
      <c r="K690">
        <v>1.6194547500242196</v>
      </c>
      <c r="L690">
        <v>0</v>
      </c>
      <c r="M690">
        <v>1.4991303589023508E-3</v>
      </c>
      <c r="N690">
        <v>0.15540508558806451</v>
      </c>
      <c r="O690">
        <v>0.12489795734859765</v>
      </c>
      <c r="P690">
        <v>1.6667175276394927E-2</v>
      </c>
      <c r="Q690">
        <v>9.4571867459035115E-4</v>
      </c>
      <c r="R690">
        <v>1.4958289776991495E-3</v>
      </c>
      <c r="S690">
        <v>0.12566934702067969</v>
      </c>
      <c r="T690">
        <v>0.85296670712508493</v>
      </c>
      <c r="U690">
        <v>0</v>
      </c>
      <c r="V690">
        <v>0.2088281276398859</v>
      </c>
      <c r="W690">
        <v>9.9758788669209411E-2</v>
      </c>
      <c r="X690">
        <v>3.0247990685508052E-2</v>
      </c>
      <c r="Y690">
        <v>4.07115337740711E-3</v>
      </c>
    </row>
    <row r="691" spans="1:25" x14ac:dyDescent="0.25">
      <c r="A691" s="1098"/>
      <c r="B691" s="1457">
        <v>441</v>
      </c>
      <c r="C691" s="1102">
        <v>0.99626559954786231</v>
      </c>
      <c r="D691" s="1102">
        <v>0.9817467808823217</v>
      </c>
      <c r="E691" s="1102">
        <v>1.0155930834154308</v>
      </c>
      <c r="F691" s="1102">
        <v>1.0368836060583024</v>
      </c>
      <c r="G691" s="1102">
        <v>0.9710190782366932</v>
      </c>
      <c r="H691" s="1102">
        <v>1.0005571801254349</v>
      </c>
      <c r="I691" s="1102">
        <v>0.97747455768810576</v>
      </c>
      <c r="K691">
        <v>1.6007993207896409</v>
      </c>
      <c r="L691">
        <v>0</v>
      </c>
      <c r="M691">
        <v>1.5368984927679251E-3</v>
      </c>
      <c r="N691">
        <v>0.14823954732287073</v>
      </c>
      <c r="O691">
        <v>0.12492926198121346</v>
      </c>
      <c r="P691">
        <v>1.6284722676354165E-2</v>
      </c>
      <c r="Q691">
        <v>9.235880482842911E-4</v>
      </c>
      <c r="R691">
        <v>1.5334261361768663E-3</v>
      </c>
      <c r="S691">
        <v>0.1188377635608463</v>
      </c>
      <c r="T691">
        <v>0.8546244799220859</v>
      </c>
      <c r="U691">
        <v>0</v>
      </c>
      <c r="V691">
        <v>0.20713172040125533</v>
      </c>
      <c r="W691">
        <v>9.6490433738194853E-2</v>
      </c>
      <c r="X691">
        <v>2.9167795046242034E-2</v>
      </c>
      <c r="Y691">
        <v>4.1734804488834931E-3</v>
      </c>
    </row>
    <row r="692" spans="1:25" x14ac:dyDescent="0.25">
      <c r="A692" s="1098"/>
      <c r="B692" s="1457">
        <v>442</v>
      </c>
      <c r="C692" s="1102">
        <v>0.98311040806077532</v>
      </c>
      <c r="D692" s="1102">
        <v>0.97639895588218195</v>
      </c>
      <c r="E692" s="1102">
        <v>0.9648613856403192</v>
      </c>
      <c r="F692" s="1102">
        <v>0.99985601417399139</v>
      </c>
      <c r="G692" s="1102">
        <v>1.0208305637552759</v>
      </c>
      <c r="H692" s="1102">
        <v>1.0218118474856908</v>
      </c>
      <c r="I692" s="1102">
        <v>0.98706039285663227</v>
      </c>
      <c r="K692">
        <v>1.5747490940601225</v>
      </c>
      <c r="L692">
        <v>0</v>
      </c>
      <c r="M692">
        <v>1.7654739172043026E-3</v>
      </c>
      <c r="N692">
        <v>0.14607807460492228</v>
      </c>
      <c r="O692">
        <v>0.1233997357669724</v>
      </c>
      <c r="P692">
        <v>1.5393402187742319E-2</v>
      </c>
      <c r="Q692">
        <v>8.8968477108441882E-4</v>
      </c>
      <c r="R692">
        <v>1.7615567018094422E-3</v>
      </c>
      <c r="S692">
        <v>0.12330929656912258</v>
      </c>
      <c r="T692">
        <v>0.82746996038521747</v>
      </c>
      <c r="U692">
        <v>0</v>
      </c>
      <c r="V692">
        <v>0.20865901515811169</v>
      </c>
      <c r="W692">
        <v>9.8017304745363909E-2</v>
      </c>
      <c r="X692">
        <v>2.674216044166634E-2</v>
      </c>
      <c r="Y692">
        <v>4.7943766453146155E-3</v>
      </c>
    </row>
    <row r="693" spans="1:25" x14ac:dyDescent="0.25">
      <c r="A693" s="1098"/>
      <c r="B693" s="1457">
        <v>443</v>
      </c>
      <c r="C693" s="1102">
        <v>1.0008168941282782</v>
      </c>
      <c r="D693" s="1102">
        <v>0.98030663756102554</v>
      </c>
      <c r="E693" s="1102">
        <v>0.99826416204595991</v>
      </c>
      <c r="F693" s="1102">
        <v>1.0259995285329644</v>
      </c>
      <c r="G693" s="1102">
        <v>1.0198003274409324</v>
      </c>
      <c r="H693" s="1102">
        <v>0.99379887874204598</v>
      </c>
      <c r="I693" s="1102">
        <v>0.9763444781704711</v>
      </c>
      <c r="K693">
        <v>1.5854248002346947</v>
      </c>
      <c r="L693">
        <v>0</v>
      </c>
      <c r="M693">
        <v>1.5758207118714931E-3</v>
      </c>
      <c r="N693">
        <v>0.14424246036273142</v>
      </c>
      <c r="O693">
        <v>0.12404633279875125</v>
      </c>
      <c r="P693">
        <v>1.597164330168464E-2</v>
      </c>
      <c r="Q693">
        <v>9.0360716823972907E-4</v>
      </c>
      <c r="R693">
        <v>1.5722353958227977E-3</v>
      </c>
      <c r="S693">
        <v>0.11766455506373079</v>
      </c>
      <c r="T693">
        <v>0.8468232762121316</v>
      </c>
      <c r="U693">
        <v>0</v>
      </c>
      <c r="V693">
        <v>0.20839172489634086</v>
      </c>
      <c r="W693">
        <v>9.4855368595623213E-2</v>
      </c>
      <c r="X693">
        <v>2.8250310691336575E-2</v>
      </c>
      <c r="Y693">
        <v>4.2791064601707144E-3</v>
      </c>
    </row>
    <row r="694" spans="1:25" x14ac:dyDescent="0.25">
      <c r="A694" s="1098"/>
      <c r="B694" s="1457">
        <v>444</v>
      </c>
      <c r="C694" s="1102">
        <v>0.96451179098640916</v>
      </c>
      <c r="D694" s="1102">
        <v>0.99318232412481611</v>
      </c>
      <c r="E694" s="1102">
        <v>0.99836660388000098</v>
      </c>
      <c r="F694" s="1102">
        <v>0.96187539266105915</v>
      </c>
      <c r="G694" s="1102">
        <v>0.9949125872305743</v>
      </c>
      <c r="H694" s="1102">
        <v>0.99326371219655174</v>
      </c>
      <c r="I694" s="1102">
        <v>0.98564713108661051</v>
      </c>
      <c r="K694">
        <v>1.5352940779652302</v>
      </c>
      <c r="L694">
        <v>0</v>
      </c>
      <c r="M694">
        <v>1.6092056431141833E-3</v>
      </c>
      <c r="N694">
        <v>0.14734038056799836</v>
      </c>
      <c r="O694">
        <v>0.12081027467960552</v>
      </c>
      <c r="P694">
        <v>1.5282793838117915E-2</v>
      </c>
      <c r="Q694">
        <v>9.3283773862722096E-4</v>
      </c>
      <c r="R694">
        <v>1.6055055261329759E-3</v>
      </c>
      <c r="S694">
        <v>0.12162471871924101</v>
      </c>
      <c r="T694">
        <v>0.7938910002056585</v>
      </c>
      <c r="U694">
        <v>0</v>
      </c>
      <c r="V694">
        <v>0.20667321069836905</v>
      </c>
      <c r="W694">
        <v>9.6886686653850682E-2</v>
      </c>
      <c r="X694">
        <v>2.7486218193362239E-2</v>
      </c>
      <c r="Y694">
        <v>4.369656787379511E-3</v>
      </c>
    </row>
    <row r="695" spans="1:25" x14ac:dyDescent="0.25">
      <c r="A695" s="1098"/>
      <c r="B695" s="1457">
        <v>445</v>
      </c>
      <c r="C695" s="1102">
        <v>0.97034058604361562</v>
      </c>
      <c r="D695" s="1102">
        <v>0.99411789075362322</v>
      </c>
      <c r="E695" s="1102">
        <v>0.99020608033912827</v>
      </c>
      <c r="F695" s="1102">
        <v>0.98512431841611936</v>
      </c>
      <c r="G695" s="1102">
        <v>1.0284394167858482</v>
      </c>
      <c r="H695" s="1102">
        <v>0.98646886644178966</v>
      </c>
      <c r="I695" s="1102">
        <v>1.0334467538857937</v>
      </c>
      <c r="K695">
        <v>1.5594138978289267</v>
      </c>
      <c r="L695">
        <v>0</v>
      </c>
      <c r="M695">
        <v>1.6186664284516543E-3</v>
      </c>
      <c r="N695">
        <v>0.14459425583860452</v>
      </c>
      <c r="O695">
        <v>0.12215676184575765</v>
      </c>
      <c r="P695">
        <v>1.5549100549375788E-2</v>
      </c>
      <c r="Q695">
        <v>9.1905216897656512E-4</v>
      </c>
      <c r="R695">
        <v>1.6149272156913146E-3</v>
      </c>
      <c r="S695">
        <v>0.12629419484399926</v>
      </c>
      <c r="T695">
        <v>0.81361185269797864</v>
      </c>
      <c r="U695">
        <v>0</v>
      </c>
      <c r="V695">
        <v>0.20885200637706908</v>
      </c>
      <c r="W695">
        <v>9.554529195707484E-2</v>
      </c>
      <c r="X695">
        <v>2.7499821242352975E-2</v>
      </c>
      <c r="Y695">
        <v>4.3952995204981811E-3</v>
      </c>
    </row>
    <row r="696" spans="1:25" x14ac:dyDescent="0.25">
      <c r="A696" s="1098"/>
      <c r="B696" s="1457">
        <v>446</v>
      </c>
      <c r="C696" s="1102">
        <v>0.98902204569019303</v>
      </c>
      <c r="D696" s="1102">
        <v>0.99154892743162781</v>
      </c>
      <c r="E696" s="1102">
        <v>1.0109077978691101</v>
      </c>
      <c r="F696" s="1102">
        <v>0.96899456255103511</v>
      </c>
      <c r="G696" s="1102">
        <v>0.99908217659503329</v>
      </c>
      <c r="H696" s="1102">
        <v>0.9671466849300755</v>
      </c>
      <c r="I696" s="1102">
        <v>0.95448694245838261</v>
      </c>
      <c r="K696">
        <v>1.5202780698061391</v>
      </c>
      <c r="L696">
        <v>0</v>
      </c>
      <c r="M696">
        <v>1.4939167472829459E-3</v>
      </c>
      <c r="N696">
        <v>0.14205683033914701</v>
      </c>
      <c r="O696">
        <v>0.12007605495010507</v>
      </c>
      <c r="P696">
        <v>1.5358756787548467E-2</v>
      </c>
      <c r="Q696">
        <v>9.2220342468890733E-4</v>
      </c>
      <c r="R696">
        <v>1.4903987377932911E-3</v>
      </c>
      <c r="S696">
        <v>0.1131857626291925</v>
      </c>
      <c r="T696">
        <v>0.79896645413313438</v>
      </c>
      <c r="U696">
        <v>0</v>
      </c>
      <c r="V696">
        <v>0.2051576800901109</v>
      </c>
      <c r="W696">
        <v>9.272121221658737E-2</v>
      </c>
      <c r="X696">
        <v>2.7780259190653207E-2</v>
      </c>
      <c r="Y696">
        <v>4.0563740544614672E-3</v>
      </c>
    </row>
    <row r="697" spans="1:25" x14ac:dyDescent="0.25">
      <c r="A697" s="1098"/>
      <c r="B697" s="1457">
        <v>447</v>
      </c>
      <c r="C697" s="1102">
        <v>0.9864933960464537</v>
      </c>
      <c r="D697" s="1102">
        <v>0.97810085849703965</v>
      </c>
      <c r="E697" s="1102">
        <v>1.0397075424855136</v>
      </c>
      <c r="F697" s="1102">
        <v>1.0262692138082761</v>
      </c>
      <c r="G697" s="1102">
        <v>1.0002445366244777</v>
      </c>
      <c r="H697" s="1102">
        <v>0.95648817389756424</v>
      </c>
      <c r="I697" s="1102">
        <v>0.98921186569118269</v>
      </c>
      <c r="K697">
        <v>1.5877698868325696</v>
      </c>
      <c r="L697">
        <v>0</v>
      </c>
      <c r="M697">
        <v>1.4119073647648156E-3</v>
      </c>
      <c r="N697">
        <v>0.14643849555605351</v>
      </c>
      <c r="O697">
        <v>0.12480169854191678</v>
      </c>
      <c r="P697">
        <v>1.6442433329461704E-2</v>
      </c>
      <c r="Q697">
        <v>9.5742717597549465E-4</v>
      </c>
      <c r="R697">
        <v>1.4085674423252267E-3</v>
      </c>
      <c r="S697">
        <v>0.11809818771352611</v>
      </c>
      <c r="T697">
        <v>0.84426424355262475</v>
      </c>
      <c r="U697">
        <v>0</v>
      </c>
      <c r="V697">
        <v>0.20890316751812607</v>
      </c>
      <c r="W697">
        <v>9.3990705401203481E-2</v>
      </c>
      <c r="X697">
        <v>3.0043211722242454E-2</v>
      </c>
      <c r="Y697">
        <v>3.8336562438766961E-3</v>
      </c>
    </row>
    <row r="698" spans="1:25" x14ac:dyDescent="0.25">
      <c r="A698" s="1098"/>
      <c r="B698" s="1457">
        <v>448</v>
      </c>
      <c r="C698" s="1102">
        <v>1.0127816509464058</v>
      </c>
      <c r="D698" s="1102">
        <v>1.0124749681418697</v>
      </c>
      <c r="E698" s="1102">
        <v>0.9890252737242331</v>
      </c>
      <c r="F698" s="1102">
        <v>1.0090991811552803</v>
      </c>
      <c r="G698" s="1102">
        <v>0.98107494418201102</v>
      </c>
      <c r="H698" s="1102">
        <v>0.9910368501508976</v>
      </c>
      <c r="I698" s="1102">
        <v>0.97169255725498249</v>
      </c>
      <c r="K698">
        <v>1.5489176570755407</v>
      </c>
      <c r="L698">
        <v>0</v>
      </c>
      <c r="M698">
        <v>1.5534977334515703E-3</v>
      </c>
      <c r="N698">
        <v>0.13828032542693816</v>
      </c>
      <c r="O698">
        <v>0.12084405194418096</v>
      </c>
      <c r="P698">
        <v>1.5558819776318837E-2</v>
      </c>
      <c r="Q698">
        <v>8.730423855752013E-4</v>
      </c>
      <c r="R698">
        <v>1.5499326310971966E-3</v>
      </c>
      <c r="S698">
        <v>0.11325160576249414</v>
      </c>
      <c r="T698">
        <v>0.83349169394451761</v>
      </c>
      <c r="U698">
        <v>0</v>
      </c>
      <c r="V698">
        <v>0.20377763856785516</v>
      </c>
      <c r="W698">
        <v>9.1437837563611221E-2</v>
      </c>
      <c r="X698">
        <v>2.7187801119711578E-2</v>
      </c>
      <c r="Y698">
        <v>4.2184056866920441E-3</v>
      </c>
    </row>
    <row r="699" spans="1:25" x14ac:dyDescent="0.25">
      <c r="A699" s="1098"/>
      <c r="B699" s="1457">
        <v>449</v>
      </c>
      <c r="C699" s="1102">
        <v>0.98474095327895161</v>
      </c>
      <c r="D699" s="1102">
        <v>1.0222712789522526</v>
      </c>
      <c r="E699" s="1102">
        <v>0.98354149327721452</v>
      </c>
      <c r="F699" s="1102">
        <v>0.96188370799912137</v>
      </c>
      <c r="G699" s="1102">
        <v>0.99135359184026905</v>
      </c>
      <c r="H699" s="1102">
        <v>0.97253725607310026</v>
      </c>
      <c r="I699" s="1102">
        <v>0.96805760699897458</v>
      </c>
      <c r="K699">
        <v>1.5056705274128055</v>
      </c>
      <c r="L699">
        <v>0</v>
      </c>
      <c r="M699">
        <v>1.5682679695906046E-3</v>
      </c>
      <c r="N699">
        <v>0.13729069441904304</v>
      </c>
      <c r="O699">
        <v>0.11855162949510249</v>
      </c>
      <c r="P699">
        <v>1.4978756753744639E-2</v>
      </c>
      <c r="Q699">
        <v>8.8934247172532102E-4</v>
      </c>
      <c r="R699">
        <v>1.5645737510001816E-3</v>
      </c>
      <c r="S699">
        <v>0.11351643407619605</v>
      </c>
      <c r="T699">
        <v>0.79484339073959898</v>
      </c>
      <c r="U699">
        <v>0</v>
      </c>
      <c r="V699">
        <v>0.20385594295985215</v>
      </c>
      <c r="W699">
        <v>9.1083050641061078E-2</v>
      </c>
      <c r="X699">
        <v>2.6406726086449204E-2</v>
      </c>
      <c r="Y699">
        <v>4.2582539886240889E-3</v>
      </c>
    </row>
    <row r="700" spans="1:25" x14ac:dyDescent="0.25">
      <c r="A700" s="1098"/>
      <c r="B700" s="1457">
        <v>450</v>
      </c>
      <c r="C700" s="1102">
        <v>1.0073899496782961</v>
      </c>
      <c r="D700" s="1102">
        <v>1.0353400200877314</v>
      </c>
      <c r="E700" s="1102">
        <v>1.024088241750287</v>
      </c>
      <c r="F700" s="1102">
        <v>0.96787066396620947</v>
      </c>
      <c r="G700" s="1102">
        <v>0.98110997789886556</v>
      </c>
      <c r="H700" s="1102">
        <v>0.96848028283717658</v>
      </c>
      <c r="I700" s="1102">
        <v>0.97136277120623038</v>
      </c>
      <c r="K700">
        <v>1.5017508376714288</v>
      </c>
      <c r="L700">
        <v>0</v>
      </c>
      <c r="M700">
        <v>1.3963673919211504E-3</v>
      </c>
      <c r="N700">
        <v>0.13816648295765707</v>
      </c>
      <c r="O700">
        <v>0.11718552463549112</v>
      </c>
      <c r="P700">
        <v>1.5394787791507722E-2</v>
      </c>
      <c r="Q700">
        <v>9.0200199846030926E-4</v>
      </c>
      <c r="R700">
        <v>1.3930645162705943E-3</v>
      </c>
      <c r="S700">
        <v>0.11042840156561877</v>
      </c>
      <c r="T700">
        <v>0.79720483749403293</v>
      </c>
      <c r="U700">
        <v>0</v>
      </c>
      <c r="V700">
        <v>0.20150448624482639</v>
      </c>
      <c r="W700">
        <v>8.9487857560874101E-2</v>
      </c>
      <c r="X700">
        <v>2.7688297908915221E-2</v>
      </c>
      <c r="Y700">
        <v>3.7914623896941886E-3</v>
      </c>
    </row>
    <row r="701" spans="1:25" x14ac:dyDescent="0.25">
      <c r="A701" s="1098"/>
      <c r="B701" s="1457">
        <v>451</v>
      </c>
      <c r="C701" s="1102">
        <v>1.0282942935654213</v>
      </c>
      <c r="D701" s="1102">
        <v>0.99703581224624904</v>
      </c>
      <c r="E701" s="1102">
        <v>1.0308038514353906</v>
      </c>
      <c r="F701" s="1102">
        <v>1.0167230450396973</v>
      </c>
      <c r="G701" s="1102">
        <v>0.9794668359556804</v>
      </c>
      <c r="H701" s="1102">
        <v>0.9750050729966474</v>
      </c>
      <c r="I701" s="1102">
        <v>0.99603830029820628</v>
      </c>
      <c r="K701">
        <v>1.5572183013418606</v>
      </c>
      <c r="L701">
        <v>0</v>
      </c>
      <c r="M701">
        <v>1.3945717185318042E-3</v>
      </c>
      <c r="N701">
        <v>0.14081735870426643</v>
      </c>
      <c r="O701">
        <v>0.12114967962542156</v>
      </c>
      <c r="P701">
        <v>1.6106025749080096E-2</v>
      </c>
      <c r="Q701">
        <v>9.0326826713874389E-4</v>
      </c>
      <c r="R701">
        <v>1.3913324558451701E-3</v>
      </c>
      <c r="S701">
        <v>0.11435961927761952</v>
      </c>
      <c r="T701">
        <v>0.83699833539833446</v>
      </c>
      <c r="U701">
        <v>0</v>
      </c>
      <c r="V701">
        <v>0.20336505670614319</v>
      </c>
      <c r="W701">
        <v>9.0849222516743489E-2</v>
      </c>
      <c r="X701">
        <v>2.8886226067609225E-2</v>
      </c>
      <c r="Y701">
        <v>3.7867482921897493E-3</v>
      </c>
    </row>
    <row r="702" spans="1:25" x14ac:dyDescent="0.25">
      <c r="A702" s="1098"/>
      <c r="B702" s="1457">
        <v>452</v>
      </c>
      <c r="C702" s="1102">
        <v>1.0364662884214664</v>
      </c>
      <c r="D702" s="1102">
        <v>0.95699120243486635</v>
      </c>
      <c r="E702" s="1102">
        <v>0.98008088605809518</v>
      </c>
      <c r="F702" s="1102">
        <v>1.0312286215311046</v>
      </c>
      <c r="G702" s="1102">
        <v>1.0238356481282418</v>
      </c>
      <c r="H702" s="1102">
        <v>0.96854819671233017</v>
      </c>
      <c r="I702" s="1102">
        <v>0.99246691783428476</v>
      </c>
      <c r="K702">
        <v>1.5722468885423433</v>
      </c>
      <c r="L702">
        <v>0</v>
      </c>
      <c r="M702">
        <v>1.5657281826089396E-3</v>
      </c>
      <c r="N702">
        <v>0.13564592987909613</v>
      </c>
      <c r="O702">
        <v>0.12371774829630035</v>
      </c>
      <c r="P702">
        <v>1.5774273362894133E-2</v>
      </c>
      <c r="Q702">
        <v>8.6442175584230409E-4</v>
      </c>
      <c r="R702">
        <v>1.562098561327923E-3</v>
      </c>
      <c r="S702">
        <v>0.11539163027887669</v>
      </c>
      <c r="T702">
        <v>0.8523835738650124</v>
      </c>
      <c r="U702">
        <v>0</v>
      </c>
      <c r="V702">
        <v>0.20660593855878645</v>
      </c>
      <c r="W702">
        <v>9.0179834067596665E-2</v>
      </c>
      <c r="X702">
        <v>2.743565076093531E-2</v>
      </c>
      <c r="Y702">
        <v>4.2515173382822596E-3</v>
      </c>
    </row>
    <row r="703" spans="1:25" x14ac:dyDescent="0.25">
      <c r="A703" s="1098"/>
      <c r="B703" s="1457">
        <v>453</v>
      </c>
      <c r="C703" s="1102">
        <v>1.0016304235809608</v>
      </c>
      <c r="D703" s="1102">
        <v>0.99678446031112211</v>
      </c>
      <c r="E703" s="1102">
        <v>1.0086540788957576</v>
      </c>
      <c r="F703" s="1102">
        <v>0.97926913539027782</v>
      </c>
      <c r="G703" s="1102">
        <v>0.98811708744726612</v>
      </c>
      <c r="H703" s="1102">
        <v>1.0235432594335314</v>
      </c>
      <c r="I703" s="1102">
        <v>0.97421144185457753</v>
      </c>
      <c r="K703">
        <v>1.5428219593575156</v>
      </c>
      <c r="L703">
        <v>0</v>
      </c>
      <c r="M703">
        <v>1.5665997206588454E-3</v>
      </c>
      <c r="N703">
        <v>0.14797766408421878</v>
      </c>
      <c r="O703">
        <v>0.11994474884107803</v>
      </c>
      <c r="P703">
        <v>1.5503889418598654E-2</v>
      </c>
      <c r="Q703">
        <v>9.0656890248338486E-4</v>
      </c>
      <c r="R703">
        <v>1.5631170374249285E-3</v>
      </c>
      <c r="S703">
        <v>0.11819254305425736</v>
      </c>
      <c r="T703">
        <v>0.80758315774629386</v>
      </c>
      <c r="U703">
        <v>0</v>
      </c>
      <c r="V703">
        <v>0.20397439152572308</v>
      </c>
      <c r="W703">
        <v>9.6714236944821813E-2</v>
      </c>
      <c r="X703">
        <v>2.7773952228795997E-2</v>
      </c>
      <c r="Y703">
        <v>4.2542892944777526E-3</v>
      </c>
    </row>
    <row r="704" spans="1:25" x14ac:dyDescent="0.25">
      <c r="A704" s="1098"/>
      <c r="B704" s="1457">
        <v>454</v>
      </c>
      <c r="C704" s="1102">
        <v>0.97254487857821226</v>
      </c>
      <c r="D704" s="1102">
        <v>0.99625039227598744</v>
      </c>
      <c r="E704" s="1102">
        <v>1.043196734848379</v>
      </c>
      <c r="F704" s="1102">
        <v>1.0210074355585002</v>
      </c>
      <c r="G704" s="1102">
        <v>0.99022425492744059</v>
      </c>
      <c r="H704" s="1102">
        <v>1.0302957091202807</v>
      </c>
      <c r="I704" s="1102">
        <v>0.96804818476928711</v>
      </c>
      <c r="K704">
        <v>1.6066533014916506</v>
      </c>
      <c r="L704">
        <v>0</v>
      </c>
      <c r="M704">
        <v>1.5134052242149255E-3</v>
      </c>
      <c r="N704">
        <v>0.15864923611855394</v>
      </c>
      <c r="O704">
        <v>0.12433620729195256</v>
      </c>
      <c r="P704">
        <v>1.6469284123262089E-2</v>
      </c>
      <c r="Q704">
        <v>9.6746067979481848E-4</v>
      </c>
      <c r="R704">
        <v>1.5100666271759863E-3</v>
      </c>
      <c r="S704">
        <v>0.12168193646217121</v>
      </c>
      <c r="T704">
        <v>0.83970522003409243</v>
      </c>
      <c r="U704">
        <v>0</v>
      </c>
      <c r="V704">
        <v>0.20884433214512868</v>
      </c>
      <c r="W704">
        <v>0.10162390492387453</v>
      </c>
      <c r="X704">
        <v>3.0269154744016757E-2</v>
      </c>
      <c r="Y704">
        <v>4.1099035658431699E-3</v>
      </c>
    </row>
    <row r="705" spans="1:25" x14ac:dyDescent="0.25">
      <c r="A705" s="1098"/>
      <c r="B705" s="1457">
        <v>455</v>
      </c>
      <c r="C705" s="1102">
        <v>0.97792014041898989</v>
      </c>
      <c r="D705" s="1102">
        <v>1.0047354365346597</v>
      </c>
      <c r="E705" s="1102">
        <v>1.0144967365322972</v>
      </c>
      <c r="F705" s="1102">
        <v>0.98699196497020103</v>
      </c>
      <c r="G705" s="1102">
        <v>0.97651616261067709</v>
      </c>
      <c r="H705" s="1102">
        <v>0.99139691829098797</v>
      </c>
      <c r="I705" s="1102">
        <v>1.0104355166559762</v>
      </c>
      <c r="K705">
        <v>1.5543295781382813</v>
      </c>
      <c r="L705">
        <v>0</v>
      </c>
      <c r="M705">
        <v>1.5267716014498672E-3</v>
      </c>
      <c r="N705">
        <v>0.14677022578302309</v>
      </c>
      <c r="O705">
        <v>0.12135455566743598</v>
      </c>
      <c r="P705">
        <v>1.5732948852108693E-2</v>
      </c>
      <c r="Q705">
        <v>9.3119240737923707E-4</v>
      </c>
      <c r="R705">
        <v>1.523258706945877E-3</v>
      </c>
      <c r="S705">
        <v>0.12226161999552497</v>
      </c>
      <c r="T705">
        <v>0.81357349275548196</v>
      </c>
      <c r="U705">
        <v>0</v>
      </c>
      <c r="V705">
        <v>0.20566440021426505</v>
      </c>
      <c r="W705">
        <v>9.5595576032361157E-2</v>
      </c>
      <c r="X705">
        <v>2.8303271266994633E-2</v>
      </c>
      <c r="Y705">
        <v>4.1458080582088856E-3</v>
      </c>
    </row>
    <row r="706" spans="1:25" x14ac:dyDescent="0.25">
      <c r="A706" s="1098"/>
      <c r="B706" s="1457">
        <v>456</v>
      </c>
      <c r="C706" s="1102">
        <v>1.0060224480747297</v>
      </c>
      <c r="D706" s="1102">
        <v>0.97237107324543581</v>
      </c>
      <c r="E706" s="1102">
        <v>1.0328259602747278</v>
      </c>
      <c r="F706" s="1102">
        <v>1.033258575407737</v>
      </c>
      <c r="G706" s="1102">
        <v>0.99953504322972409</v>
      </c>
      <c r="H706" s="1102">
        <v>0.96756405958748781</v>
      </c>
      <c r="I706" s="1102">
        <v>1.0097349606924797</v>
      </c>
      <c r="K706">
        <v>1.5920152662343878</v>
      </c>
      <c r="L706">
        <v>0</v>
      </c>
      <c r="M706">
        <v>1.4283344150160281E-3</v>
      </c>
      <c r="N706">
        <v>0.14510702196719219</v>
      </c>
      <c r="O706">
        <v>0.12454224523742677</v>
      </c>
      <c r="P706">
        <v>1.6452930012395509E-2</v>
      </c>
      <c r="Q706">
        <v>9.3448702207798507E-4</v>
      </c>
      <c r="R706">
        <v>1.4250041640401169E-3</v>
      </c>
      <c r="S706">
        <v>0.1196627112584298</v>
      </c>
      <c r="T706">
        <v>0.85047512416735271</v>
      </c>
      <c r="U706">
        <v>0</v>
      </c>
      <c r="V706">
        <v>0.20772281470482679</v>
      </c>
      <c r="W706">
        <v>9.3507061004743694E-2</v>
      </c>
      <c r="X706">
        <v>2.9735809528895717E-2</v>
      </c>
      <c r="Y706">
        <v>3.8783915820207711E-3</v>
      </c>
    </row>
    <row r="707" spans="1:25" x14ac:dyDescent="0.25">
      <c r="A707" s="1098"/>
      <c r="B707" s="1457">
        <v>457</v>
      </c>
      <c r="C707" s="1102">
        <v>0.9961111525969748</v>
      </c>
      <c r="D707" s="1102">
        <v>0.95576099597398567</v>
      </c>
      <c r="E707" s="1102">
        <v>1.001457780261968</v>
      </c>
      <c r="F707" s="1102">
        <v>0.9886943846816415</v>
      </c>
      <c r="G707" s="1102">
        <v>0.95677075046002935</v>
      </c>
      <c r="H707" s="1102">
        <v>1.0325108671209515</v>
      </c>
      <c r="I707" s="1102">
        <v>0.99638095193419862</v>
      </c>
      <c r="K707">
        <v>1.5708453160034754</v>
      </c>
      <c r="L707">
        <v>0</v>
      </c>
      <c r="M707">
        <v>1.6522859443853732E-3</v>
      </c>
      <c r="N707">
        <v>0.15272141161173355</v>
      </c>
      <c r="O707">
        <v>0.1227661166228583</v>
      </c>
      <c r="P707">
        <v>1.5642751034761794E-2</v>
      </c>
      <c r="Q707">
        <v>9.2017339695822827E-4</v>
      </c>
      <c r="R707">
        <v>1.6486709936235132E-3</v>
      </c>
      <c r="S707">
        <v>0.12537367702265698</v>
      </c>
      <c r="T707">
        <v>0.81582449168031157</v>
      </c>
      <c r="U707">
        <v>0</v>
      </c>
      <c r="V707">
        <v>0.20477889768850779</v>
      </c>
      <c r="W707">
        <v>0.10024074686154048</v>
      </c>
      <c r="X707">
        <v>2.8093526074511082E-2</v>
      </c>
      <c r="Y707">
        <v>4.487138960396219E-3</v>
      </c>
    </row>
    <row r="708" spans="1:25" x14ac:dyDescent="0.25">
      <c r="A708" s="1098"/>
      <c r="B708" s="1457">
        <v>458</v>
      </c>
      <c r="C708" s="1102">
        <v>1.0043908541645419</v>
      </c>
      <c r="D708" s="1102">
        <v>0.98807126364318698</v>
      </c>
      <c r="E708" s="1102">
        <v>1.0358089757285729</v>
      </c>
      <c r="F708" s="1102">
        <v>1.0174540217305503</v>
      </c>
      <c r="G708" s="1102">
        <v>0.99631678198029527</v>
      </c>
      <c r="H708" s="1102">
        <v>0.96534173748040386</v>
      </c>
      <c r="I708" s="1102">
        <v>0.98213437311232787</v>
      </c>
      <c r="K708">
        <v>1.5685683106976296</v>
      </c>
      <c r="L708">
        <v>0</v>
      </c>
      <c r="M708">
        <v>1.4038495842034274E-3</v>
      </c>
      <c r="N708">
        <v>0.14390532695666441</v>
      </c>
      <c r="O708">
        <v>0.12280160215733148</v>
      </c>
      <c r="P708">
        <v>1.6222897940075118E-2</v>
      </c>
      <c r="Q708">
        <v>9.3285612919814982E-4</v>
      </c>
      <c r="R708">
        <v>1.4005557774770009E-3</v>
      </c>
      <c r="S708">
        <v>0.11520199809172883</v>
      </c>
      <c r="T708">
        <v>0.83726940424029872</v>
      </c>
      <c r="U708">
        <v>0</v>
      </c>
      <c r="V708">
        <v>0.20641565328353967</v>
      </c>
      <c r="W708">
        <v>9.2572795776088942E-2</v>
      </c>
      <c r="X708">
        <v>2.9437218796227498E-2</v>
      </c>
      <c r="Y708">
        <v>3.8118511332044338E-3</v>
      </c>
    </row>
    <row r="709" spans="1:25" x14ac:dyDescent="0.25">
      <c r="A709" s="1098"/>
      <c r="B709" s="1457">
        <v>459</v>
      </c>
      <c r="C709" s="1102">
        <v>0.98477217736084643</v>
      </c>
      <c r="D709" s="1102">
        <v>1.0193878948158708</v>
      </c>
      <c r="E709" s="1102">
        <v>0.97541892175563727</v>
      </c>
      <c r="F709" s="1102">
        <v>1.0225571199181891</v>
      </c>
      <c r="G709" s="1102">
        <v>1.0035080392365185</v>
      </c>
      <c r="H709" s="1102">
        <v>0.99480298537130951</v>
      </c>
      <c r="I709" s="1102">
        <v>1.0033540871285316</v>
      </c>
      <c r="K709">
        <v>1.5779778286413493</v>
      </c>
      <c r="L709">
        <v>0</v>
      </c>
      <c r="M709">
        <v>1.641515297211481E-3</v>
      </c>
      <c r="N709">
        <v>0.14022328666430914</v>
      </c>
      <c r="O709">
        <v>0.12295962174617585</v>
      </c>
      <c r="P709">
        <v>1.5701724523053826E-2</v>
      </c>
      <c r="Q709">
        <v>8.8277128409018114E-4</v>
      </c>
      <c r="R709">
        <v>1.6377543851469297E-3</v>
      </c>
      <c r="S709">
        <v>0.11997459016109138</v>
      </c>
      <c r="T709">
        <v>0.84553408305002919</v>
      </c>
      <c r="U709">
        <v>0</v>
      </c>
      <c r="V709">
        <v>0.20762275558410226</v>
      </c>
      <c r="W709">
        <v>9.3486205148393342E-2</v>
      </c>
      <c r="X709">
        <v>2.713912384138514E-2</v>
      </c>
      <c r="Y709">
        <v>4.4574275507819772E-3</v>
      </c>
    </row>
    <row r="710" spans="1:25" x14ac:dyDescent="0.25">
      <c r="A710" s="1098"/>
      <c r="B710" s="1457">
        <v>460</v>
      </c>
      <c r="C710" s="1102">
        <v>1.0277565814105671</v>
      </c>
      <c r="D710" s="1102">
        <v>0.96622209363293177</v>
      </c>
      <c r="E710" s="1102">
        <v>1.0116551411993857</v>
      </c>
      <c r="F710" s="1102">
        <v>0.98785016978908535</v>
      </c>
      <c r="G710" s="1102">
        <v>1.0398609816703888</v>
      </c>
      <c r="H710" s="1102">
        <v>1.0158674740189384</v>
      </c>
      <c r="I710" s="1102">
        <v>1.0399109877005543</v>
      </c>
      <c r="K710">
        <v>1.5563673078858693</v>
      </c>
      <c r="L710">
        <v>0</v>
      </c>
      <c r="M710">
        <v>1.5366857202440945E-3</v>
      </c>
      <c r="N710">
        <v>0.14647319979948323</v>
      </c>
      <c r="O710">
        <v>0.12059477270015398</v>
      </c>
      <c r="P710">
        <v>1.5746271877346198E-2</v>
      </c>
      <c r="Q710">
        <v>8.973705440303095E-4</v>
      </c>
      <c r="R710">
        <v>1.5332703863776753E-3</v>
      </c>
      <c r="S710">
        <v>0.12485600099926558</v>
      </c>
      <c r="T710">
        <v>0.81446502787205433</v>
      </c>
      <c r="U710">
        <v>0</v>
      </c>
      <c r="V710">
        <v>0.2055424305837617</v>
      </c>
      <c r="W710">
        <v>9.5561719005149648E-2</v>
      </c>
      <c r="X710">
        <v>2.8060873289216543E-2</v>
      </c>
      <c r="Y710">
        <v>4.1730565492730035E-3</v>
      </c>
    </row>
    <row r="711" spans="1:25" x14ac:dyDescent="0.25">
      <c r="A711" s="1098"/>
      <c r="B711" s="1457">
        <v>461</v>
      </c>
      <c r="C711" s="1102">
        <v>0.99719764962841118</v>
      </c>
      <c r="D711" s="1102">
        <v>0.99168201125871536</v>
      </c>
      <c r="E711" s="1102">
        <v>1.0074094862345453</v>
      </c>
      <c r="F711" s="1102">
        <v>0.98881788399458903</v>
      </c>
      <c r="G711" s="1102">
        <v>1.000961858068556</v>
      </c>
      <c r="H711" s="1102">
        <v>0.98610628038995773</v>
      </c>
      <c r="I711" s="1102">
        <v>0.9751496800794931</v>
      </c>
      <c r="K711">
        <v>1.5444262636222101</v>
      </c>
      <c r="L711">
        <v>0</v>
      </c>
      <c r="M711">
        <v>1.5249961761001599E-3</v>
      </c>
      <c r="N711">
        <v>0.14349585441225662</v>
      </c>
      <c r="O711">
        <v>0.12107681463502347</v>
      </c>
      <c r="P711">
        <v>1.5594885480431303E-2</v>
      </c>
      <c r="Q711">
        <v>9.1129835230809638E-4</v>
      </c>
      <c r="R711">
        <v>1.5214817504528241E-3</v>
      </c>
      <c r="S711">
        <v>0.11631435288130133</v>
      </c>
      <c r="T711">
        <v>0.81553873735802818</v>
      </c>
      <c r="U711">
        <v>0</v>
      </c>
      <c r="V711">
        <v>0.20557958321414133</v>
      </c>
      <c r="W711">
        <v>9.3854007857610153E-2</v>
      </c>
      <c r="X711">
        <v>2.7923272088346669E-2</v>
      </c>
      <c r="Y711">
        <v>4.1409717684083459E-3</v>
      </c>
    </row>
    <row r="712" spans="1:25" x14ac:dyDescent="0.25">
      <c r="A712" s="1098"/>
      <c r="B712" s="1457">
        <v>462</v>
      </c>
      <c r="C712" s="1102">
        <v>0.97388679102947773</v>
      </c>
      <c r="D712" s="1102">
        <v>1.0186882970306017</v>
      </c>
      <c r="E712" s="1102">
        <v>1.0039588606963306</v>
      </c>
      <c r="F712" s="1102">
        <v>1.0091460213901673</v>
      </c>
      <c r="G712" s="1102">
        <v>0.97979794366802886</v>
      </c>
      <c r="H712" s="1102">
        <v>0.97924567289020947</v>
      </c>
      <c r="I712" s="1102">
        <v>1.007636964630733</v>
      </c>
      <c r="K712">
        <v>1.5686877031188207</v>
      </c>
      <c r="L712">
        <v>0</v>
      </c>
      <c r="M712">
        <v>1.5379734002560481E-3</v>
      </c>
      <c r="N712">
        <v>0.1432128726521523</v>
      </c>
      <c r="O712">
        <v>0.12255152740657166</v>
      </c>
      <c r="P712">
        <v>1.5862964438074414E-2</v>
      </c>
      <c r="Q712">
        <v>9.1984945351156731E-4</v>
      </c>
      <c r="R712">
        <v>1.5343877259457591E-3</v>
      </c>
      <c r="S712">
        <v>0.12053350511789739</v>
      </c>
      <c r="T712">
        <v>0.83253383257215152</v>
      </c>
      <c r="U712">
        <v>0</v>
      </c>
      <c r="V712">
        <v>0.20688773687499265</v>
      </c>
      <c r="W712">
        <v>9.386036045807962E-2</v>
      </c>
      <c r="X712">
        <v>2.8152542240451162E-2</v>
      </c>
      <c r="Y712">
        <v>4.1760975792464374E-3</v>
      </c>
    </row>
    <row r="713" spans="1:25" x14ac:dyDescent="0.25">
      <c r="A713" s="1098"/>
      <c r="B713" s="1457">
        <v>463</v>
      </c>
      <c r="C713" s="1102">
        <v>0.98064726200527363</v>
      </c>
      <c r="D713" s="1102">
        <v>1.0176848377348184</v>
      </c>
      <c r="E713" s="1102">
        <v>1.0036049651612964</v>
      </c>
      <c r="F713" s="1102">
        <v>0.99448428543925715</v>
      </c>
      <c r="G713" s="1102">
        <v>1.01659270715341</v>
      </c>
      <c r="H713" s="1102">
        <v>0.97698999094991623</v>
      </c>
      <c r="I713" s="1102">
        <v>0.99114053672209079</v>
      </c>
      <c r="K713">
        <v>1.5498324083194732</v>
      </c>
      <c r="L713">
        <v>0</v>
      </c>
      <c r="M713">
        <v>1.524891038251726E-3</v>
      </c>
      <c r="N713">
        <v>0.14184205973048888</v>
      </c>
      <c r="O713">
        <v>0.12120963559531947</v>
      </c>
      <c r="P713">
        <v>1.5657985035189906E-2</v>
      </c>
      <c r="Q713">
        <v>9.1353372352573358E-4</v>
      </c>
      <c r="R713">
        <v>1.5213260615403298E-3</v>
      </c>
      <c r="S713">
        <v>0.11758542947115037</v>
      </c>
      <c r="T713">
        <v>0.82046125969655082</v>
      </c>
      <c r="U713">
        <v>0</v>
      </c>
      <c r="V713">
        <v>0.20722007450901736</v>
      </c>
      <c r="W713">
        <v>9.2981439677783065E-2</v>
      </c>
      <c r="X713">
        <v>2.7824007822646636E-2</v>
      </c>
      <c r="Y713">
        <v>4.140548034511372E-3</v>
      </c>
    </row>
    <row r="714" spans="1:25" x14ac:dyDescent="0.25">
      <c r="A714" s="1098"/>
      <c r="B714" s="1457">
        <v>464</v>
      </c>
      <c r="C714" s="1102">
        <v>1.0463853874994991</v>
      </c>
      <c r="D714" s="1102">
        <v>0.98922682224476322</v>
      </c>
      <c r="E714" s="1102">
        <v>1.0064875652300771</v>
      </c>
      <c r="F714" s="1102">
        <v>1.0098815661545728</v>
      </c>
      <c r="G714" s="1102">
        <v>1.0072993562680672</v>
      </c>
      <c r="H714" s="1102">
        <v>1.007007036082525</v>
      </c>
      <c r="I714" s="1102">
        <v>0.97383597521398735</v>
      </c>
      <c r="K714">
        <v>1.54977312659325</v>
      </c>
      <c r="L714">
        <v>0</v>
      </c>
      <c r="M714">
        <v>1.4966757762614278E-3</v>
      </c>
      <c r="N714">
        <v>0.14044798967007752</v>
      </c>
      <c r="O714">
        <v>0.12020469377732343</v>
      </c>
      <c r="P714">
        <v>1.5739686357255703E-2</v>
      </c>
      <c r="Q714">
        <v>8.6849474898467944E-4</v>
      </c>
      <c r="R714">
        <v>1.4933168074323772E-3</v>
      </c>
      <c r="S714">
        <v>0.11279233018235564</v>
      </c>
      <c r="T714">
        <v>0.83297249972255094</v>
      </c>
      <c r="U714">
        <v>0</v>
      </c>
      <c r="V714">
        <v>0.20302534560189253</v>
      </c>
      <c r="W714">
        <v>9.191061283770019E-2</v>
      </c>
      <c r="X714">
        <v>2.7750516585858788E-2</v>
      </c>
      <c r="Y714">
        <v>4.0643160780776616E-3</v>
      </c>
    </row>
    <row r="715" spans="1:25" x14ac:dyDescent="0.25">
      <c r="A715" s="1098"/>
      <c r="B715" s="1457">
        <v>465</v>
      </c>
      <c r="C715" s="1102">
        <v>0.96478900125102907</v>
      </c>
      <c r="D715" s="1102">
        <v>0.99971662841598496</v>
      </c>
      <c r="E715" s="1102">
        <v>0.97950606425700104</v>
      </c>
      <c r="F715" s="1102">
        <v>1.0007353591255908</v>
      </c>
      <c r="G715" s="1102">
        <v>0.99496960960096514</v>
      </c>
      <c r="H715" s="1102">
        <v>0.97144319985354455</v>
      </c>
      <c r="I715" s="1102">
        <v>1.0019075580638939</v>
      </c>
      <c r="K715">
        <v>1.5642342835889012</v>
      </c>
      <c r="L715">
        <v>0</v>
      </c>
      <c r="M715">
        <v>1.6352136597305054E-3</v>
      </c>
      <c r="N715">
        <v>0.14141563304276297</v>
      </c>
      <c r="O715">
        <v>0.12334839120816403</v>
      </c>
      <c r="P715">
        <v>1.553731872618253E-2</v>
      </c>
      <c r="Q715">
        <v>9.1200936643850657E-4</v>
      </c>
      <c r="R715">
        <v>1.6313773580634123E-3</v>
      </c>
      <c r="S715">
        <v>0.12154393768090288</v>
      </c>
      <c r="T715">
        <v>0.8272170797525038</v>
      </c>
      <c r="U715">
        <v>0</v>
      </c>
      <c r="V715">
        <v>0.20846910958317469</v>
      </c>
      <c r="W715">
        <v>9.404827863422463E-2</v>
      </c>
      <c r="X715">
        <v>2.7306290510965222E-2</v>
      </c>
      <c r="Y715">
        <v>4.4400713852470559E-3</v>
      </c>
    </row>
    <row r="716" spans="1:25" x14ac:dyDescent="0.25">
      <c r="A716" s="1098"/>
      <c r="B716" s="1457">
        <v>466</v>
      </c>
      <c r="C716" s="1102">
        <v>1.0154502863896253</v>
      </c>
      <c r="D716" s="1102">
        <v>1.0112216384052986</v>
      </c>
      <c r="E716" s="1102">
        <v>1.0072798564726813</v>
      </c>
      <c r="F716" s="1102">
        <v>0.96259618776331968</v>
      </c>
      <c r="G716" s="1102">
        <v>1.023546816370924</v>
      </c>
      <c r="H716" s="1102">
        <v>0.97901225837787864</v>
      </c>
      <c r="I716" s="1102">
        <v>1.0367309429803897</v>
      </c>
      <c r="K716">
        <v>1.5099259992159892</v>
      </c>
      <c r="L716">
        <v>0</v>
      </c>
      <c r="M716">
        <v>1.4698323755565992E-3</v>
      </c>
      <c r="N716">
        <v>0.1382474553004274</v>
      </c>
      <c r="O716">
        <v>0.11746675285610668</v>
      </c>
      <c r="P716">
        <v>1.530598011772729E-2</v>
      </c>
      <c r="Q716">
        <v>8.8784152927260567E-4</v>
      </c>
      <c r="R716">
        <v>1.4664070308519415E-3</v>
      </c>
      <c r="S716">
        <v>0.11940498361440469</v>
      </c>
      <c r="T716">
        <v>0.79392030442415507</v>
      </c>
      <c r="U716">
        <v>0</v>
      </c>
      <c r="V716">
        <v>0.20313603648857062</v>
      </c>
      <c r="W716">
        <v>9.042819901944571E-2</v>
      </c>
      <c r="X716">
        <v>2.7140794673552474E-2</v>
      </c>
      <c r="Y716">
        <v>3.9910765370311813E-3</v>
      </c>
    </row>
    <row r="717" spans="1:25" x14ac:dyDescent="0.25">
      <c r="A717" s="1098"/>
      <c r="B717" s="1457">
        <v>467</v>
      </c>
      <c r="C717" s="1102">
        <v>1.0100400284831765</v>
      </c>
      <c r="D717" s="1102">
        <v>1.0401905279275974</v>
      </c>
      <c r="E717" s="1102">
        <v>1.0074579902726413</v>
      </c>
      <c r="F717" s="1102">
        <v>1.0124263723809213</v>
      </c>
      <c r="G717" s="1102">
        <v>1.0193039673723956</v>
      </c>
      <c r="H717" s="1102">
        <v>1.0394263081359492</v>
      </c>
      <c r="I717" s="1102">
        <v>1.0031371881662865</v>
      </c>
      <c r="K717">
        <v>1.5691447733095165</v>
      </c>
      <c r="L717">
        <v>0</v>
      </c>
      <c r="M717">
        <v>1.5486024766042622E-3</v>
      </c>
      <c r="N717">
        <v>0.14575402513811855</v>
      </c>
      <c r="O717">
        <v>0.11997543441721106</v>
      </c>
      <c r="P717">
        <v>1.5894687329409452E-2</v>
      </c>
      <c r="Q717">
        <v>8.8273188942825261E-4</v>
      </c>
      <c r="R717">
        <v>1.5451987310185469E-3</v>
      </c>
      <c r="S717">
        <v>0.11912495925017288</v>
      </c>
      <c r="T717">
        <v>0.83500687531596274</v>
      </c>
      <c r="U717">
        <v>0</v>
      </c>
      <c r="V717">
        <v>0.20512997018464998</v>
      </c>
      <c r="W717">
        <v>9.5328240879874737E-2</v>
      </c>
      <c r="X717">
        <v>2.7845731079067192E-2</v>
      </c>
      <c r="Y717">
        <v>4.2055215712077012E-3</v>
      </c>
    </row>
    <row r="718" spans="1:25" x14ac:dyDescent="0.25">
      <c r="A718" s="1098"/>
      <c r="B718" s="1457">
        <v>468</v>
      </c>
      <c r="C718" s="1102">
        <v>0.97039207063203803</v>
      </c>
      <c r="D718" s="1102">
        <v>1.015016333833435</v>
      </c>
      <c r="E718" s="1102">
        <v>1.0171025628382773</v>
      </c>
      <c r="F718" s="1102">
        <v>0.99187078768271275</v>
      </c>
      <c r="G718" s="1102">
        <v>0.98348009256900137</v>
      </c>
      <c r="H718" s="1102">
        <v>0.96687494245921357</v>
      </c>
      <c r="I718" s="1102">
        <v>0.99842997263150235</v>
      </c>
      <c r="K718">
        <v>1.5510744026856815</v>
      </c>
      <c r="L718">
        <v>0</v>
      </c>
      <c r="M718">
        <v>1.4836168182717042E-3</v>
      </c>
      <c r="N718">
        <v>0.14373861390957168</v>
      </c>
      <c r="O718">
        <v>0.12163706820568268</v>
      </c>
      <c r="P718">
        <v>1.5784384477284794E-2</v>
      </c>
      <c r="Q718">
        <v>9.3711003194095997E-4</v>
      </c>
      <c r="R718">
        <v>1.4801101106899054E-3</v>
      </c>
      <c r="S718">
        <v>0.11902189165864113</v>
      </c>
      <c r="T718">
        <v>0.81742578316980019</v>
      </c>
      <c r="U718">
        <v>0</v>
      </c>
      <c r="V718">
        <v>0.20659221275978887</v>
      </c>
      <c r="W718">
        <v>9.3477909430016964E-2</v>
      </c>
      <c r="X718">
        <v>2.8434563947403527E-2</v>
      </c>
      <c r="Y718">
        <v>4.0283718031310645E-3</v>
      </c>
    </row>
    <row r="719" spans="1:25" x14ac:dyDescent="0.25">
      <c r="A719" s="1098"/>
      <c r="B719" s="1457">
        <v>469</v>
      </c>
      <c r="C719" s="1102">
        <v>0.98941118246306548</v>
      </c>
      <c r="D719" s="1102">
        <v>1.0057716288886369</v>
      </c>
      <c r="E719" s="1102">
        <v>1.0325955769727404</v>
      </c>
      <c r="F719" s="1102">
        <v>0.99313206937502652</v>
      </c>
      <c r="G719" s="1102">
        <v>0.99981217557336821</v>
      </c>
      <c r="H719" s="1102">
        <v>0.98761380420425204</v>
      </c>
      <c r="I719" s="1102">
        <v>1.0077775860455092</v>
      </c>
      <c r="K719">
        <v>1.5565845843121053</v>
      </c>
      <c r="L719">
        <v>0</v>
      </c>
      <c r="M719">
        <v>1.4488003249471658E-3</v>
      </c>
      <c r="N719">
        <v>0.14708765031422161</v>
      </c>
      <c r="O719">
        <v>0.12109003185289348</v>
      </c>
      <c r="P719">
        <v>1.5974439534231364E-2</v>
      </c>
      <c r="Q719">
        <v>9.3720638534346666E-4</v>
      </c>
      <c r="R719">
        <v>1.4454579939549509E-3</v>
      </c>
      <c r="S719">
        <v>0.12028802619958648</v>
      </c>
      <c r="T719">
        <v>0.81746185962783857</v>
      </c>
      <c r="U719">
        <v>0</v>
      </c>
      <c r="V719">
        <v>0.20603794511262247</v>
      </c>
      <c r="W719">
        <v>9.4796028702770749E-2</v>
      </c>
      <c r="X719">
        <v>2.8980678749142296E-2</v>
      </c>
      <c r="Y719">
        <v>3.9340601644457301E-3</v>
      </c>
    </row>
    <row r="720" spans="1:25" x14ac:dyDescent="0.25">
      <c r="A720" s="1098"/>
      <c r="B720" s="1457">
        <v>470</v>
      </c>
      <c r="C720" s="1102">
        <v>0.99372976187912176</v>
      </c>
      <c r="D720" s="1102">
        <v>0.99363264897603953</v>
      </c>
      <c r="E720" s="1102">
        <v>0.97003929008031553</v>
      </c>
      <c r="F720" s="1102">
        <v>0.97052794268216169</v>
      </c>
      <c r="G720" s="1102">
        <v>1.0194307345287954</v>
      </c>
      <c r="H720" s="1102">
        <v>0.9933760103766377</v>
      </c>
      <c r="I720" s="1102">
        <v>0.97403049241426787</v>
      </c>
      <c r="K720">
        <v>1.5247962311425025</v>
      </c>
      <c r="L720">
        <v>0</v>
      </c>
      <c r="M720">
        <v>1.6609058238119202E-3</v>
      </c>
      <c r="N720">
        <v>0.13958761978599871</v>
      </c>
      <c r="O720">
        <v>0.11996822120073775</v>
      </c>
      <c r="P720">
        <v>1.499969328015606E-2</v>
      </c>
      <c r="Q720">
        <v>8.7882661466718009E-4</v>
      </c>
      <c r="R720">
        <v>1.6570983973650544E-3</v>
      </c>
      <c r="S720">
        <v>0.11681233221953322</v>
      </c>
      <c r="T720">
        <v>0.80286135110009249</v>
      </c>
      <c r="U720">
        <v>0</v>
      </c>
      <c r="V720">
        <v>0.20562072442034809</v>
      </c>
      <c r="W720">
        <v>9.3366954055749976E-2</v>
      </c>
      <c r="X720">
        <v>2.6194240316376634E-2</v>
      </c>
      <c r="Y720">
        <v>4.5100755752877971E-3</v>
      </c>
    </row>
    <row r="721" spans="1:25" x14ac:dyDescent="0.25">
      <c r="A721" s="1098"/>
      <c r="B721" s="1457">
        <v>471</v>
      </c>
      <c r="C721" s="1102">
        <v>1.0418046288097054</v>
      </c>
      <c r="D721" s="1102">
        <v>0.98397793861371252</v>
      </c>
      <c r="E721" s="1102">
        <v>0.99371220543478833</v>
      </c>
      <c r="F721" s="1102">
        <v>0.96379216362922993</v>
      </c>
      <c r="G721" s="1102">
        <v>0.97088987486043044</v>
      </c>
      <c r="H721" s="1102">
        <v>1.0112295363266344</v>
      </c>
      <c r="I721" s="1102">
        <v>0.97502521468322323</v>
      </c>
      <c r="K721">
        <v>1.5052955125246807</v>
      </c>
      <c r="L721">
        <v>0</v>
      </c>
      <c r="M721">
        <v>1.5488129612052572E-3</v>
      </c>
      <c r="N721">
        <v>0.13983812033223619</v>
      </c>
      <c r="O721">
        <v>0.11747973261497115</v>
      </c>
      <c r="P721">
        <v>1.5051173261149025E-2</v>
      </c>
      <c r="Q721">
        <v>8.6266982675648385E-4</v>
      </c>
      <c r="R721">
        <v>1.5453412424356503E-3</v>
      </c>
      <c r="S721">
        <v>0.11378963079623194</v>
      </c>
      <c r="T721">
        <v>0.79576972585002848</v>
      </c>
      <c r="U721">
        <v>0</v>
      </c>
      <c r="V721">
        <v>0.19949596123800598</v>
      </c>
      <c r="W721">
        <v>9.2208945737355982E-2</v>
      </c>
      <c r="X721">
        <v>2.6597115146410152E-2</v>
      </c>
      <c r="Y721">
        <v>4.2059094403061803E-3</v>
      </c>
    </row>
    <row r="722" spans="1:25" x14ac:dyDescent="0.25">
      <c r="A722" s="1098"/>
      <c r="B722" s="1457">
        <v>472</v>
      </c>
      <c r="C722" s="1102">
        <v>0.99901177470291536</v>
      </c>
      <c r="D722" s="1102">
        <v>1.0005765364785799</v>
      </c>
      <c r="E722" s="1102">
        <v>1.0313067017734876</v>
      </c>
      <c r="F722" s="1102">
        <v>1.0190897478068688</v>
      </c>
      <c r="G722" s="1102">
        <v>1.0406949872918276</v>
      </c>
      <c r="H722" s="1102">
        <v>0.9696918328682772</v>
      </c>
      <c r="I722" s="1102">
        <v>1.003038139422574</v>
      </c>
      <c r="K722">
        <v>1.574457886406067</v>
      </c>
      <c r="L722">
        <v>0</v>
      </c>
      <c r="M722">
        <v>1.4205735761660598E-3</v>
      </c>
      <c r="N722">
        <v>0.14365782548553649</v>
      </c>
      <c r="O722">
        <v>0.12264601803253736</v>
      </c>
      <c r="P722">
        <v>1.6258113719720881E-2</v>
      </c>
      <c r="Q722">
        <v>9.2890322888513081E-4</v>
      </c>
      <c r="R722">
        <v>1.4172475778379114E-3</v>
      </c>
      <c r="S722">
        <v>0.11771809014656671</v>
      </c>
      <c r="T722">
        <v>0.83891336484116363</v>
      </c>
      <c r="U722">
        <v>0</v>
      </c>
      <c r="V722">
        <v>0.20856430903827752</v>
      </c>
      <c r="W722">
        <v>9.2654741115055311E-2</v>
      </c>
      <c r="X722">
        <v>2.9262566085314565E-2</v>
      </c>
      <c r="Y722">
        <v>3.8572807113363226E-3</v>
      </c>
    </row>
    <row r="723" spans="1:25" x14ac:dyDescent="0.25">
      <c r="A723" s="1098"/>
      <c r="B723" s="1457">
        <v>473</v>
      </c>
      <c r="C723" s="1102">
        <v>0.9959500158017276</v>
      </c>
      <c r="D723" s="1102">
        <v>0.98402323618144849</v>
      </c>
      <c r="E723" s="1102">
        <v>1.009442402932152</v>
      </c>
      <c r="F723" s="1102">
        <v>0.99486604035397352</v>
      </c>
      <c r="G723" s="1102">
        <v>1.0135133114824195</v>
      </c>
      <c r="H723" s="1102">
        <v>1.0039729884980257</v>
      </c>
      <c r="I723" s="1102">
        <v>1.0027514098515993</v>
      </c>
      <c r="K723">
        <v>1.5635032843284031</v>
      </c>
      <c r="L723">
        <v>0</v>
      </c>
      <c r="M723">
        <v>1.5554104033046444E-3</v>
      </c>
      <c r="N723">
        <v>0.1472654335645231</v>
      </c>
      <c r="O723">
        <v>0.12190303571861028</v>
      </c>
      <c r="P723">
        <v>1.5777030122773608E-2</v>
      </c>
      <c r="Q723">
        <v>9.1719653346744123E-4</v>
      </c>
      <c r="R723">
        <v>1.5518955181394853E-3</v>
      </c>
      <c r="S723">
        <v>0.12178385731807406</v>
      </c>
      <c r="T723">
        <v>0.82039406108818991</v>
      </c>
      <c r="U723">
        <v>0</v>
      </c>
      <c r="V723">
        <v>0.2068036690185289</v>
      </c>
      <c r="W723">
        <v>9.62039772118118E-2</v>
      </c>
      <c r="X723">
        <v>2.8234790619434163E-2</v>
      </c>
      <c r="Y723">
        <v>4.2237480181556144E-3</v>
      </c>
    </row>
    <row r="724" spans="1:25" x14ac:dyDescent="0.25">
      <c r="A724" s="1098"/>
      <c r="B724" s="1457">
        <v>474</v>
      </c>
      <c r="C724" s="1102">
        <v>1.0090473850803094</v>
      </c>
      <c r="D724" s="1102">
        <v>1.0280771379459277</v>
      </c>
      <c r="E724" s="1102">
        <v>0.99234723949454051</v>
      </c>
      <c r="F724" s="1102">
        <v>1.004719876408694</v>
      </c>
      <c r="G724" s="1102">
        <v>0.96509565810657383</v>
      </c>
      <c r="H724" s="1102">
        <v>1.0387939386332112</v>
      </c>
      <c r="I724" s="1102">
        <v>1.0449555425793071</v>
      </c>
      <c r="K724">
        <v>1.5655631672105703</v>
      </c>
      <c r="L724">
        <v>0</v>
      </c>
      <c r="M724">
        <v>1.6081983454203483E-3</v>
      </c>
      <c r="N724">
        <v>0.14460856539001837</v>
      </c>
      <c r="O724">
        <v>0.1200511516014581</v>
      </c>
      <c r="P724">
        <v>1.5689806656998071E-2</v>
      </c>
      <c r="Q724">
        <v>8.7394940252709201E-4</v>
      </c>
      <c r="R724">
        <v>1.6046662581164499E-3</v>
      </c>
      <c r="S724">
        <v>0.12495132002131383</v>
      </c>
      <c r="T724">
        <v>0.8296531581659542</v>
      </c>
      <c r="U724">
        <v>0</v>
      </c>
      <c r="V724">
        <v>0.20269355007535156</v>
      </c>
      <c r="W724">
        <v>9.5432382952632067E-2</v>
      </c>
      <c r="X724">
        <v>2.7245442455117903E-2</v>
      </c>
      <c r="Y724">
        <v>4.3673725765031529E-3</v>
      </c>
    </row>
    <row r="725" spans="1:25" x14ac:dyDescent="0.25">
      <c r="A725" s="1098"/>
      <c r="B725" s="1457">
        <v>475</v>
      </c>
      <c r="C725" s="1102">
        <v>1.011480467968646</v>
      </c>
      <c r="D725" s="1102">
        <v>1.0109133352431752</v>
      </c>
      <c r="E725" s="1102">
        <v>0.95777465349296531</v>
      </c>
      <c r="F725" s="1102">
        <v>1.0466306631956308</v>
      </c>
      <c r="G725" s="1102">
        <v>0.98814152056363558</v>
      </c>
      <c r="H725" s="1102">
        <v>1.0256038795386595</v>
      </c>
      <c r="I725" s="1102">
        <v>0.98479082489620062</v>
      </c>
      <c r="K725">
        <v>1.5957196579631236</v>
      </c>
      <c r="L725">
        <v>0</v>
      </c>
      <c r="M725">
        <v>1.7230305870986761E-3</v>
      </c>
      <c r="N725">
        <v>0.13953881153174502</v>
      </c>
      <c r="O725">
        <v>0.12364910146949684</v>
      </c>
      <c r="P725">
        <v>1.5720782970566408E-2</v>
      </c>
      <c r="Q725">
        <v>8.4642503646716169E-4</v>
      </c>
      <c r="R725">
        <v>1.7192205213714233E-3</v>
      </c>
      <c r="S725">
        <v>0.11783149588388586</v>
      </c>
      <c r="T725">
        <v>0.86667904099069937</v>
      </c>
      <c r="U725">
        <v>0</v>
      </c>
      <c r="V725">
        <v>0.20611400338078417</v>
      </c>
      <c r="W725">
        <v>9.4037033998679007E-2</v>
      </c>
      <c r="X725">
        <v>2.6627621248244554E-2</v>
      </c>
      <c r="Y725">
        <v>4.6791515182804571E-3</v>
      </c>
    </row>
    <row r="726" spans="1:25" x14ac:dyDescent="0.25">
      <c r="A726" s="1098"/>
      <c r="B726" s="1457">
        <v>476</v>
      </c>
      <c r="C726" s="1102">
        <v>0.98155723038002995</v>
      </c>
      <c r="D726" s="1102">
        <v>0.9766701281185356</v>
      </c>
      <c r="E726" s="1102">
        <v>1.0006627085027355</v>
      </c>
      <c r="F726" s="1102">
        <v>0.98118776133953989</v>
      </c>
      <c r="G726" s="1102">
        <v>0.99400999247676092</v>
      </c>
      <c r="H726" s="1102">
        <v>1.0481154732307583</v>
      </c>
      <c r="I726" s="1102">
        <v>0.99006593302615775</v>
      </c>
      <c r="K726">
        <v>1.5701362520498678</v>
      </c>
      <c r="L726">
        <v>0</v>
      </c>
      <c r="M726">
        <v>1.6813137397323152E-3</v>
      </c>
      <c r="N726">
        <v>0.15503492698640725</v>
      </c>
      <c r="O726">
        <v>0.12202942300706666</v>
      </c>
      <c r="P726">
        <v>1.5582823310430429E-2</v>
      </c>
      <c r="Q726">
        <v>9.2500612196082916E-4</v>
      </c>
      <c r="R726">
        <v>1.6776708041840432E-3</v>
      </c>
      <c r="S726">
        <v>0.12592258621074259</v>
      </c>
      <c r="T726">
        <v>0.80968184806372001</v>
      </c>
      <c r="U726">
        <v>0</v>
      </c>
      <c r="V726">
        <v>0.20665607880663467</v>
      </c>
      <c r="W726">
        <v>0.1018073108639575</v>
      </c>
      <c r="X726">
        <v>2.7933824729536885E-2</v>
      </c>
      <c r="Y726">
        <v>4.5660668849569989E-3</v>
      </c>
    </row>
    <row r="727" spans="1:25" x14ac:dyDescent="0.25">
      <c r="A727" s="1098"/>
      <c r="B727" s="1457">
        <v>477</v>
      </c>
      <c r="C727" s="1102">
        <v>1.0120638087416267</v>
      </c>
      <c r="D727" s="1102">
        <v>0.96840609645449083</v>
      </c>
      <c r="E727" s="1102">
        <v>0.99348925395421128</v>
      </c>
      <c r="F727" s="1102">
        <v>0.98079979710710452</v>
      </c>
      <c r="G727" s="1102">
        <v>1.0138934086971401</v>
      </c>
      <c r="H727" s="1102">
        <v>1.0131367087197083</v>
      </c>
      <c r="I727" s="1102">
        <v>1.0060047015918354</v>
      </c>
      <c r="K727">
        <v>1.547217361350897</v>
      </c>
      <c r="L727">
        <v>0</v>
      </c>
      <c r="M727">
        <v>1.6112426647686322E-3</v>
      </c>
      <c r="N727">
        <v>0.14537793619357903</v>
      </c>
      <c r="O727">
        <v>0.12082508524400781</v>
      </c>
      <c r="P727">
        <v>1.5429345638648954E-2</v>
      </c>
      <c r="Q727">
        <v>8.9349762254605273E-4</v>
      </c>
      <c r="R727">
        <v>1.6076443867840337E-3</v>
      </c>
      <c r="S727">
        <v>0.12209648246576893</v>
      </c>
      <c r="T727">
        <v>0.8098268188271579</v>
      </c>
      <c r="U727">
        <v>0</v>
      </c>
      <c r="V727">
        <v>0.20518133305989086</v>
      </c>
      <c r="W727">
        <v>9.587465590619379E-2</v>
      </c>
      <c r="X727">
        <v>2.7340326610090785E-2</v>
      </c>
      <c r="Y727">
        <v>4.375478060996466E-3</v>
      </c>
    </row>
    <row r="728" spans="1:25" x14ac:dyDescent="0.25">
      <c r="A728" s="1098"/>
      <c r="B728" s="1457">
        <v>478</v>
      </c>
      <c r="C728" s="1102">
        <v>0.9916963411958416</v>
      </c>
      <c r="D728" s="1102">
        <v>1.0327384081894539</v>
      </c>
      <c r="E728" s="1102">
        <v>1.0380501267335918</v>
      </c>
      <c r="F728" s="1102">
        <v>1.016303471579679</v>
      </c>
      <c r="G728" s="1102">
        <v>0.99694249687763781</v>
      </c>
      <c r="H728" s="1102">
        <v>0.99321027768707193</v>
      </c>
      <c r="I728" s="1102">
        <v>0.99999592647768754</v>
      </c>
      <c r="K728">
        <v>1.5723548743920157</v>
      </c>
      <c r="L728">
        <v>0</v>
      </c>
      <c r="M728">
        <v>1.4185320661952547E-3</v>
      </c>
      <c r="N728">
        <v>0.14640245963530191</v>
      </c>
      <c r="O728">
        <v>0.1214097250240606</v>
      </c>
      <c r="P728">
        <v>1.6266554750566417E-2</v>
      </c>
      <c r="Q728">
        <v>9.3035236319180656E-4</v>
      </c>
      <c r="R728">
        <v>1.4152698625883877E-3</v>
      </c>
      <c r="S728">
        <v>0.11781630009551958</v>
      </c>
      <c r="T728">
        <v>0.83617496808923708</v>
      </c>
      <c r="U728">
        <v>0</v>
      </c>
      <c r="V728">
        <v>0.20613196487604665</v>
      </c>
      <c r="W728">
        <v>9.4057397008310367E-2</v>
      </c>
      <c r="X728">
        <v>2.9316516731007457E-2</v>
      </c>
      <c r="Y728">
        <v>3.8518980223807746E-3</v>
      </c>
    </row>
    <row r="729" spans="1:25" x14ac:dyDescent="0.25">
      <c r="A729" s="1098"/>
      <c r="B729" s="1457">
        <v>479</v>
      </c>
      <c r="C729" s="1102">
        <v>0.97528932926534462</v>
      </c>
      <c r="D729" s="1102">
        <v>1.0242074979917328</v>
      </c>
      <c r="E729" s="1102">
        <v>0.99782244754545357</v>
      </c>
      <c r="F729" s="1102">
        <v>1.0284449139953449</v>
      </c>
      <c r="G729" s="1102">
        <v>1.0405596451530592</v>
      </c>
      <c r="H729" s="1102">
        <v>1.0024952599161991</v>
      </c>
      <c r="I729" s="1102">
        <v>1.0062147517656701</v>
      </c>
      <c r="K729">
        <v>1.5950235678618072</v>
      </c>
      <c r="L729">
        <v>0</v>
      </c>
      <c r="M729">
        <v>1.5899239128235657E-3</v>
      </c>
      <c r="N729">
        <v>0.1453391733814606</v>
      </c>
      <c r="O729">
        <v>0.12359555830651908</v>
      </c>
      <c r="P729">
        <v>1.6076739508816006E-2</v>
      </c>
      <c r="Q729">
        <v>9.1073351214427777E-4</v>
      </c>
      <c r="R729">
        <v>1.5863053509823112E-3</v>
      </c>
      <c r="S729">
        <v>0.1217882213648043</v>
      </c>
      <c r="T729">
        <v>0.84887162733818877</v>
      </c>
      <c r="U729">
        <v>0</v>
      </c>
      <c r="V729">
        <v>0.21032329115187123</v>
      </c>
      <c r="W729">
        <v>9.5601712593468363E-2</v>
      </c>
      <c r="X729">
        <v>2.8202729026418578E-2</v>
      </c>
      <c r="Y729">
        <v>4.3174002399554391E-3</v>
      </c>
    </row>
    <row r="730" spans="1:25" x14ac:dyDescent="0.25">
      <c r="A730" s="1098"/>
      <c r="B730" s="1457">
        <v>480</v>
      </c>
      <c r="C730" s="1102">
        <v>0.98748572516062028</v>
      </c>
      <c r="D730" s="1102">
        <v>0.97914674728070461</v>
      </c>
      <c r="E730" s="1102">
        <v>1.0153901228735414</v>
      </c>
      <c r="F730" s="1102">
        <v>0.98909862453796693</v>
      </c>
      <c r="G730" s="1102">
        <v>1.00746711627101</v>
      </c>
      <c r="H730" s="1102">
        <v>0.95596808134007705</v>
      </c>
      <c r="I730" s="1102">
        <v>1.0185332184722127</v>
      </c>
      <c r="K730">
        <v>1.549920321661779</v>
      </c>
      <c r="L730">
        <v>0</v>
      </c>
      <c r="M730">
        <v>1.4778970411863919E-3</v>
      </c>
      <c r="N730">
        <v>0.14244499217690415</v>
      </c>
      <c r="O730">
        <v>0.12213587089061465</v>
      </c>
      <c r="P730">
        <v>1.5770254913925915E-2</v>
      </c>
      <c r="Q730">
        <v>9.325940785074047E-4</v>
      </c>
      <c r="R730">
        <v>1.4743886130835022E-3</v>
      </c>
      <c r="S730">
        <v>0.12108505275022044</v>
      </c>
      <c r="T730">
        <v>0.81525209719651082</v>
      </c>
      <c r="U730">
        <v>0</v>
      </c>
      <c r="V730">
        <v>0.2071170294730153</v>
      </c>
      <c r="W730">
        <v>9.2729755935580221E-2</v>
      </c>
      <c r="X730">
        <v>2.8443382901866002E-2</v>
      </c>
      <c r="Y730">
        <v>4.0127997727376135E-3</v>
      </c>
    </row>
    <row r="731" spans="1:25" x14ac:dyDescent="0.25">
      <c r="A731" s="1098"/>
      <c r="B731" s="1457">
        <v>481</v>
      </c>
      <c r="C731" s="1102">
        <v>1.0028814471293073</v>
      </c>
      <c r="D731" s="1102">
        <v>1.0294880076193063</v>
      </c>
      <c r="E731" s="1102">
        <v>0.9993217465931965</v>
      </c>
      <c r="F731" s="1102">
        <v>0.96116651882163751</v>
      </c>
      <c r="G731" s="1102">
        <v>1.0183021213880366</v>
      </c>
      <c r="H731" s="1102">
        <v>1.0067735833127187</v>
      </c>
      <c r="I731" s="1102">
        <v>1.0201451709180445</v>
      </c>
      <c r="K731">
        <v>1.5148722089442133</v>
      </c>
      <c r="L731">
        <v>0</v>
      </c>
      <c r="M731">
        <v>1.538717693394116E-3</v>
      </c>
      <c r="N731">
        <v>0.14129703525659704</v>
      </c>
      <c r="O731">
        <v>0.11724342446565951</v>
      </c>
      <c r="P731">
        <v>1.5214416044723516E-2</v>
      </c>
      <c r="Q731">
        <v>8.8523275001232971E-4</v>
      </c>
      <c r="R731">
        <v>1.5352168218195372E-3</v>
      </c>
      <c r="S731">
        <v>0.11980656016812605</v>
      </c>
      <c r="T731">
        <v>0.79324528734049216</v>
      </c>
      <c r="U731">
        <v>0</v>
      </c>
      <c r="V731">
        <v>0.20332353264395814</v>
      </c>
      <c r="W731">
        <v>9.2859982800256508E-2</v>
      </c>
      <c r="X731">
        <v>2.6821884241058455E-2</v>
      </c>
      <c r="Y731">
        <v>4.1783541049034804E-3</v>
      </c>
    </row>
    <row r="732" spans="1:25" x14ac:dyDescent="0.25">
      <c r="A732" s="1098"/>
      <c r="B732" s="1457">
        <v>482</v>
      </c>
      <c r="C732" s="1102">
        <v>1.0086575895171157</v>
      </c>
      <c r="D732" s="1102">
        <v>0.98809346031572098</v>
      </c>
      <c r="E732" s="1102">
        <v>0.9933097009341102</v>
      </c>
      <c r="F732" s="1102">
        <v>0.98718194750673705</v>
      </c>
      <c r="G732" s="1102">
        <v>0.98319964028898277</v>
      </c>
      <c r="H732" s="1102">
        <v>0.9938327566411167</v>
      </c>
      <c r="I732" s="1102">
        <v>0.96404757126010043</v>
      </c>
      <c r="K732">
        <v>1.5366005869070418</v>
      </c>
      <c r="L732">
        <v>0</v>
      </c>
      <c r="M732">
        <v>1.5689225907706001E-3</v>
      </c>
      <c r="N732">
        <v>0.14147556166859304</v>
      </c>
      <c r="O732">
        <v>0.12057321891991996</v>
      </c>
      <c r="P732">
        <v>1.5377806236897565E-2</v>
      </c>
      <c r="Q732">
        <v>8.8916057378497218E-4</v>
      </c>
      <c r="R732">
        <v>1.565339777059875E-3</v>
      </c>
      <c r="S732">
        <v>0.11454710835806674</v>
      </c>
      <c r="T732">
        <v>0.81510817191651375</v>
      </c>
      <c r="U732">
        <v>0</v>
      </c>
      <c r="V732">
        <v>0.20381278206406259</v>
      </c>
      <c r="W732">
        <v>9.3311105446185733E-2</v>
      </c>
      <c r="X732">
        <v>2.72489156776878E-2</v>
      </c>
      <c r="Y732">
        <v>4.2603388590381546E-3</v>
      </c>
    </row>
    <row r="733" spans="1:25" x14ac:dyDescent="0.25">
      <c r="A733" s="1098"/>
      <c r="B733" s="1457">
        <v>483</v>
      </c>
      <c r="C733" s="1102">
        <v>0.96718420539350114</v>
      </c>
      <c r="D733" s="1102">
        <v>1.0249539583852956</v>
      </c>
      <c r="E733" s="1102">
        <v>0.9738059015305327</v>
      </c>
      <c r="F733" s="1102">
        <v>1.0093344479020543</v>
      </c>
      <c r="G733" s="1102">
        <v>0.99235222924662425</v>
      </c>
      <c r="H733" s="1102">
        <v>0.98048258708354596</v>
      </c>
      <c r="I733" s="1102">
        <v>0.9955724750205408</v>
      </c>
      <c r="K733">
        <v>1.5656232995223234</v>
      </c>
      <c r="L733">
        <v>0</v>
      </c>
      <c r="M733">
        <v>1.6439754072365841E-3</v>
      </c>
      <c r="N733">
        <v>0.1397437340041881</v>
      </c>
      <c r="O733">
        <v>0.12273490416523138</v>
      </c>
      <c r="P733">
        <v>1.5533743048717075E-2</v>
      </c>
      <c r="Q733">
        <v>8.9534947746666542E-4</v>
      </c>
      <c r="R733">
        <v>1.6401416810975177E-3</v>
      </c>
      <c r="S733">
        <v>0.11948101133476438</v>
      </c>
      <c r="T733">
        <v>0.83470930307393432</v>
      </c>
      <c r="U733">
        <v>0</v>
      </c>
      <c r="V733">
        <v>0.20781825032026466</v>
      </c>
      <c r="W733">
        <v>9.3257665012179303E-2</v>
      </c>
      <c r="X733">
        <v>2.6989247828326693E-2</v>
      </c>
      <c r="Y733">
        <v>4.4639249833875782E-3</v>
      </c>
    </row>
    <row r="734" spans="1:25" x14ac:dyDescent="0.25">
      <c r="A734" s="1098"/>
      <c r="B734" s="1457">
        <v>484</v>
      </c>
      <c r="C734" s="1102">
        <v>1.0090022968278372</v>
      </c>
      <c r="D734" s="1102">
        <v>1.0100883183707237</v>
      </c>
      <c r="E734" s="1102">
        <v>0.99682892713663362</v>
      </c>
      <c r="F734" s="1102">
        <v>1.0241698161674397</v>
      </c>
      <c r="G734" s="1102">
        <v>0.95913187534518496</v>
      </c>
      <c r="H734" s="1102">
        <v>0.99404785977456156</v>
      </c>
      <c r="I734" s="1102">
        <v>0.959375781475727</v>
      </c>
      <c r="K734">
        <v>1.5659705017663705</v>
      </c>
      <c r="L734">
        <v>0</v>
      </c>
      <c r="M734">
        <v>1.5423197688727056E-3</v>
      </c>
      <c r="N734">
        <v>0.14056361567101508</v>
      </c>
      <c r="O734">
        <v>0.12216138768880976</v>
      </c>
      <c r="P734">
        <v>1.5807331460073827E-2</v>
      </c>
      <c r="Q734">
        <v>8.8429277607849006E-4</v>
      </c>
      <c r="R734">
        <v>1.5387953833522346E-3</v>
      </c>
      <c r="S734">
        <v>0.11269584925678107</v>
      </c>
      <c r="T734">
        <v>0.84541024930200304</v>
      </c>
      <c r="U734">
        <v>0</v>
      </c>
      <c r="V734">
        <v>0.20396125908769699</v>
      </c>
      <c r="W734">
        <v>9.2515158406507494E-2</v>
      </c>
      <c r="X734">
        <v>2.778678873320178E-2</v>
      </c>
      <c r="Y734">
        <v>4.1880937697229906E-3</v>
      </c>
    </row>
    <row r="735" spans="1:25" x14ac:dyDescent="0.25">
      <c r="A735" s="1098"/>
      <c r="B735" s="1457">
        <v>485</v>
      </c>
      <c r="C735" s="1102">
        <v>0.97090095917172525</v>
      </c>
      <c r="D735" s="1102">
        <v>0.97081945810905901</v>
      </c>
      <c r="E735" s="1102">
        <v>1.0120943954215551</v>
      </c>
      <c r="F735" s="1102">
        <v>0.97847698123885929</v>
      </c>
      <c r="G735" s="1102">
        <v>1.0164947549815975</v>
      </c>
      <c r="H735" s="1102">
        <v>0.99622294013812818</v>
      </c>
      <c r="I735" s="1102">
        <v>0.99840195007820143</v>
      </c>
      <c r="K735">
        <v>1.5612521218009201</v>
      </c>
      <c r="L735">
        <v>0</v>
      </c>
      <c r="M735">
        <v>1.5813725445413469E-3</v>
      </c>
      <c r="N735">
        <v>0.15092397351007913</v>
      </c>
      <c r="O735">
        <v>0.12263539473359507</v>
      </c>
      <c r="P735">
        <v>1.56826627279508E-2</v>
      </c>
      <c r="Q735">
        <v>9.4854750116137943E-4</v>
      </c>
      <c r="R735">
        <v>1.5777673602721284E-3</v>
      </c>
      <c r="S735">
        <v>0.12448139765563065</v>
      </c>
      <c r="T735">
        <v>0.80670879138467499</v>
      </c>
      <c r="U735">
        <v>0</v>
      </c>
      <c r="V735">
        <v>0.20867341042166462</v>
      </c>
      <c r="W735">
        <v>9.8440019508720805E-2</v>
      </c>
      <c r="X735">
        <v>2.8467366897920243E-2</v>
      </c>
      <c r="Y735">
        <v>4.2941626437902015E-3</v>
      </c>
    </row>
    <row r="736" spans="1:25" x14ac:dyDescent="0.25">
      <c r="A736" s="1098"/>
      <c r="B736" s="1457">
        <v>486</v>
      </c>
      <c r="C736" s="1102">
        <v>0.99425057842594078</v>
      </c>
      <c r="D736" s="1102">
        <v>1.0263673442576831</v>
      </c>
      <c r="E736" s="1102">
        <v>1.0319681549016619</v>
      </c>
      <c r="F736" s="1102">
        <v>0.99445567631075205</v>
      </c>
      <c r="G736" s="1102">
        <v>1.0177788407873181</v>
      </c>
      <c r="H736" s="1102">
        <v>1.0123711164005711</v>
      </c>
      <c r="I736" s="1102">
        <v>0.97699395556166668</v>
      </c>
      <c r="K736">
        <v>1.5546657609013681</v>
      </c>
      <c r="L736">
        <v>0</v>
      </c>
      <c r="M736">
        <v>1.4636276924321972E-3</v>
      </c>
      <c r="N736">
        <v>0.14831965870480951</v>
      </c>
      <c r="O736">
        <v>0.1200499200721022</v>
      </c>
      <c r="P736">
        <v>1.5929252046636439E-2</v>
      </c>
      <c r="Q736">
        <v>9.2452168968554292E-4</v>
      </c>
      <c r="R736">
        <v>1.4603241717261201E-3</v>
      </c>
      <c r="S736">
        <v>0.11658520836240094</v>
      </c>
      <c r="T736">
        <v>0.81859187840359626</v>
      </c>
      <c r="U736">
        <v>0</v>
      </c>
      <c r="V736">
        <v>0.20589827706884858</v>
      </c>
      <c r="W736">
        <v>9.5624799934457105E-2</v>
      </c>
      <c r="X736">
        <v>2.8771027139831422E-2</v>
      </c>
      <c r="Y736">
        <v>3.9745209997046668E-3</v>
      </c>
    </row>
    <row r="737" spans="1:25" x14ac:dyDescent="0.25">
      <c r="A737" s="1098"/>
      <c r="B737" s="1457">
        <v>487</v>
      </c>
      <c r="C737" s="1102">
        <v>1.0234228568004196</v>
      </c>
      <c r="D737" s="1102">
        <v>1.0032367195148448</v>
      </c>
      <c r="E737" s="1102">
        <v>0.97021616631901164</v>
      </c>
      <c r="F737" s="1102">
        <v>1.025665727810785</v>
      </c>
      <c r="G737" s="1102">
        <v>1.0274667468254166</v>
      </c>
      <c r="H737" s="1102">
        <v>0.97837815792466076</v>
      </c>
      <c r="I737" s="1102">
        <v>0.97980660239371054</v>
      </c>
      <c r="K737">
        <v>1.5596823867537757</v>
      </c>
      <c r="L737">
        <v>0</v>
      </c>
      <c r="M737">
        <v>1.5892305904190039E-3</v>
      </c>
      <c r="N737">
        <v>0.13363213561707468</v>
      </c>
      <c r="O737">
        <v>0.12191179749180871</v>
      </c>
      <c r="P737">
        <v>1.5561925720293093E-2</v>
      </c>
      <c r="Q737">
        <v>8.5021015042831142E-4</v>
      </c>
      <c r="R737">
        <v>1.5855491727464561E-3</v>
      </c>
      <c r="S737">
        <v>0.11278145544177615</v>
      </c>
      <c r="T737">
        <v>0.84846148481073869</v>
      </c>
      <c r="U737">
        <v>0</v>
      </c>
      <c r="V737">
        <v>0.20609115915437423</v>
      </c>
      <c r="W737">
        <v>8.937384654519398E-2</v>
      </c>
      <c r="X737">
        <v>2.6706711067689067E-2</v>
      </c>
      <c r="Y737">
        <v>4.3153421720715304E-3</v>
      </c>
    </row>
    <row r="738" spans="1:25" x14ac:dyDescent="0.25">
      <c r="A738" s="1098"/>
      <c r="B738" s="1457">
        <v>488</v>
      </c>
      <c r="C738" s="1102">
        <v>1.0138928441275863</v>
      </c>
      <c r="D738" s="1102">
        <v>1.0157881247240792</v>
      </c>
      <c r="E738" s="1102">
        <v>1.0280087371502868</v>
      </c>
      <c r="F738" s="1102">
        <v>1.0334908401452316</v>
      </c>
      <c r="G738" s="1102">
        <v>1.0224758878197204</v>
      </c>
      <c r="H738" s="1102">
        <v>1.0281901182849582</v>
      </c>
      <c r="I738" s="1102">
        <v>1.0029285739639255</v>
      </c>
      <c r="K738">
        <v>1.5948636295716043</v>
      </c>
      <c r="L738">
        <v>0</v>
      </c>
      <c r="M738">
        <v>1.4846923810206325E-3</v>
      </c>
      <c r="N738">
        <v>0.14867628904214389</v>
      </c>
      <c r="O738">
        <v>0.12220840261728128</v>
      </c>
      <c r="P738">
        <v>1.6389156593366021E-2</v>
      </c>
      <c r="Q738">
        <v>9.0670513792755875E-4</v>
      </c>
      <c r="R738">
        <v>1.4814124563489132E-3</v>
      </c>
      <c r="S738">
        <v>0.11964876938163051</v>
      </c>
      <c r="T738">
        <v>0.8509900621882559</v>
      </c>
      <c r="U738">
        <v>0</v>
      </c>
      <c r="V738">
        <v>0.20677222759739647</v>
      </c>
      <c r="W738">
        <v>9.6075289774372935E-2</v>
      </c>
      <c r="X738">
        <v>2.9168090805205087E-2</v>
      </c>
      <c r="Y738">
        <v>4.031916358696752E-3</v>
      </c>
    </row>
    <row r="739" spans="1:25" x14ac:dyDescent="0.25">
      <c r="A739" s="1098"/>
      <c r="B739" s="1457">
        <v>489</v>
      </c>
      <c r="C739" s="1102">
        <v>1.0223386709088387</v>
      </c>
      <c r="D739" s="1102">
        <v>0.9604806082754318</v>
      </c>
      <c r="E739" s="1102">
        <v>1.0034918588790909</v>
      </c>
      <c r="F739" s="1102">
        <v>0.99922053889516926</v>
      </c>
      <c r="G739" s="1102">
        <v>1.0092701383339338</v>
      </c>
      <c r="H739" s="1102">
        <v>1.0268484337910708</v>
      </c>
      <c r="I739" s="1102">
        <v>0.99086332067218486</v>
      </c>
      <c r="K739">
        <v>1.5670551206027461</v>
      </c>
      <c r="L739">
        <v>0</v>
      </c>
      <c r="M739">
        <v>1.5943958265489391E-3</v>
      </c>
      <c r="N739">
        <v>0.14827774410077238</v>
      </c>
      <c r="O739">
        <v>0.12195196909755474</v>
      </c>
      <c r="P739">
        <v>1.5730254684184385E-2</v>
      </c>
      <c r="Q739">
        <v>8.9668863137865897E-4</v>
      </c>
      <c r="R739">
        <v>1.5908953549476561E-3</v>
      </c>
      <c r="S739">
        <v>0.120912619854431</v>
      </c>
      <c r="T739">
        <v>0.82437617246899753</v>
      </c>
      <c r="U739">
        <v>0</v>
      </c>
      <c r="V739">
        <v>0.20536070702347234</v>
      </c>
      <c r="W739">
        <v>9.7206727038306129E-2</v>
      </c>
      <c r="X739">
        <v>2.8015845457594703E-2</v>
      </c>
      <c r="Y739">
        <v>4.3298927176547066E-3</v>
      </c>
    </row>
    <row r="740" spans="1:25" x14ac:dyDescent="0.25">
      <c r="A740" s="1098"/>
      <c r="B740" s="1457">
        <v>490</v>
      </c>
      <c r="C740" s="1102">
        <v>0.98001632223698865</v>
      </c>
      <c r="D740" s="1102">
        <v>1.0146119542296148</v>
      </c>
      <c r="E740" s="1102">
        <v>1.0048598068985521</v>
      </c>
      <c r="F740" s="1102">
        <v>0.98409700919545962</v>
      </c>
      <c r="G740" s="1102">
        <v>0.99489949837935654</v>
      </c>
      <c r="H740" s="1102">
        <v>1.0251088733393621</v>
      </c>
      <c r="I740" s="1102">
        <v>1.0064199820356097</v>
      </c>
      <c r="K740">
        <v>1.5574693640267137</v>
      </c>
      <c r="L740">
        <v>0</v>
      </c>
      <c r="M740">
        <v>1.5982105505787424E-3</v>
      </c>
      <c r="N740">
        <v>0.14924286847895005</v>
      </c>
      <c r="O740">
        <v>0.12063235768974619</v>
      </c>
      <c r="P740">
        <v>1.5616416322414978E-2</v>
      </c>
      <c r="Q740">
        <v>9.1641709804266263E-4</v>
      </c>
      <c r="R740">
        <v>1.5946482516283574E-3</v>
      </c>
      <c r="S740">
        <v>0.12350013432104677</v>
      </c>
      <c r="T740">
        <v>0.81181028328552329</v>
      </c>
      <c r="U740">
        <v>0</v>
      </c>
      <c r="V740">
        <v>0.20584342481722395</v>
      </c>
      <c r="W740">
        <v>9.7760182580921298E-2</v>
      </c>
      <c r="X740">
        <v>2.7810734866516446E-2</v>
      </c>
      <c r="Y740">
        <v>4.3401068652775179E-3</v>
      </c>
    </row>
    <row r="741" spans="1:25" x14ac:dyDescent="0.25">
      <c r="A741" s="1098"/>
      <c r="B741" s="1457">
        <v>491</v>
      </c>
      <c r="C741" s="1102">
        <v>1.015756633913858</v>
      </c>
      <c r="D741" s="1102">
        <v>1.042791434104313</v>
      </c>
      <c r="E741" s="1102">
        <v>0.99470289414317259</v>
      </c>
      <c r="F741" s="1102">
        <v>0.99363739730630674</v>
      </c>
      <c r="G741" s="1102">
        <v>1.0135579669081081</v>
      </c>
      <c r="H741" s="1102">
        <v>1.0324141002466687</v>
      </c>
      <c r="I741" s="1102">
        <v>0.98662304566297532</v>
      </c>
      <c r="K741">
        <v>1.5406554010209099</v>
      </c>
      <c r="L741">
        <v>0</v>
      </c>
      <c r="M741">
        <v>1.5667838125104051E-3</v>
      </c>
      <c r="N741">
        <v>0.14188851989421702</v>
      </c>
      <c r="O741">
        <v>0.11833185361016947</v>
      </c>
      <c r="P741">
        <v>1.5474444654782283E-2</v>
      </c>
      <c r="Q741">
        <v>8.6537401792151998E-4</v>
      </c>
      <c r="R741">
        <v>1.5633119329674912E-3</v>
      </c>
      <c r="S741">
        <v>0.11570452054050348</v>
      </c>
      <c r="T741">
        <v>0.82034673163303951</v>
      </c>
      <c r="U741">
        <v>0</v>
      </c>
      <c r="V741">
        <v>0.20334917600501298</v>
      </c>
      <c r="W741">
        <v>9.3505648619597356E-2</v>
      </c>
      <c r="X741">
        <v>2.693778418930852E-2</v>
      </c>
      <c r="Y741">
        <v>4.2548197358973101E-3</v>
      </c>
    </row>
    <row r="742" spans="1:25" x14ac:dyDescent="0.25">
      <c r="A742" s="1098"/>
      <c r="B742" s="1457">
        <v>492</v>
      </c>
      <c r="C742" s="1102">
        <v>0.98693034212990738</v>
      </c>
      <c r="D742" s="1102">
        <v>0.98277596648933763</v>
      </c>
      <c r="E742" s="1102">
        <v>0.98739401360674384</v>
      </c>
      <c r="F742" s="1102">
        <v>0.98808972745571166</v>
      </c>
      <c r="G742" s="1102">
        <v>1.0289049737165072</v>
      </c>
      <c r="H742" s="1102">
        <v>0.98486265700372999</v>
      </c>
      <c r="I742" s="1102">
        <v>0.99982062344378519</v>
      </c>
      <c r="K742">
        <v>1.5523139318529595</v>
      </c>
      <c r="L742">
        <v>0</v>
      </c>
      <c r="M742">
        <v>1.6109627575703969E-3</v>
      </c>
      <c r="N742">
        <v>0.14268825150536349</v>
      </c>
      <c r="O742">
        <v>0.12200630931082317</v>
      </c>
      <c r="P742">
        <v>1.5466668049847252E-2</v>
      </c>
      <c r="Q742">
        <v>9.0510174414778241E-4</v>
      </c>
      <c r="R742">
        <v>1.607247918019885E-3</v>
      </c>
      <c r="S742">
        <v>0.12094035431279868</v>
      </c>
      <c r="T742">
        <v>0.81624540672677193</v>
      </c>
      <c r="U742">
        <v>0</v>
      </c>
      <c r="V742">
        <v>0.20791443758832862</v>
      </c>
      <c r="W742">
        <v>9.444495731594614E-2</v>
      </c>
      <c r="X742">
        <v>2.7331761134767762E-2</v>
      </c>
      <c r="Y742">
        <v>4.3743990037163468E-3</v>
      </c>
    </row>
    <row r="743" spans="1:25" x14ac:dyDescent="0.25">
      <c r="A743" s="1098"/>
      <c r="B743" s="1457">
        <v>493</v>
      </c>
      <c r="C743" s="1102">
        <v>0.97899972826038195</v>
      </c>
      <c r="D743" s="1102">
        <v>0.99097026168061164</v>
      </c>
      <c r="E743" s="1102">
        <v>0.98378741439343242</v>
      </c>
      <c r="F743" s="1102">
        <v>1.0375458458493634</v>
      </c>
      <c r="G743" s="1102">
        <v>0.97254469707334557</v>
      </c>
      <c r="H743" s="1102">
        <v>0.99740843810170998</v>
      </c>
      <c r="I743" s="1102">
        <v>0.98871910136032759</v>
      </c>
      <c r="K743">
        <v>1.60303864995312</v>
      </c>
      <c r="L743">
        <v>0</v>
      </c>
      <c r="M743">
        <v>1.6545416394943664E-3</v>
      </c>
      <c r="N743">
        <v>0.14496315270038268</v>
      </c>
      <c r="O743">
        <v>0.12556333406108627</v>
      </c>
      <c r="P743">
        <v>1.5988278238010085E-2</v>
      </c>
      <c r="Q743">
        <v>9.0598786281204883E-4</v>
      </c>
      <c r="R743">
        <v>1.6507811596957256E-3</v>
      </c>
      <c r="S743">
        <v>0.12122740438864171</v>
      </c>
      <c r="T743">
        <v>0.85734909546260318</v>
      </c>
      <c r="U743">
        <v>0</v>
      </c>
      <c r="V743">
        <v>0.20838757282157694</v>
      </c>
      <c r="W743">
        <v>9.6158966999220996E-2</v>
      </c>
      <c r="X743">
        <v>2.8005735761757012E-2</v>
      </c>
      <c r="Y743">
        <v>4.4928821368287238E-3</v>
      </c>
    </row>
    <row r="744" spans="1:25" x14ac:dyDescent="0.25">
      <c r="A744" s="1098"/>
      <c r="B744" s="1457">
        <v>494</v>
      </c>
      <c r="C744" s="1102">
        <v>1.0165162986868375</v>
      </c>
      <c r="D744" s="1102">
        <v>0.99917253321550481</v>
      </c>
      <c r="E744" s="1102">
        <v>1.0072906510412765</v>
      </c>
      <c r="F744" s="1102">
        <v>1.0276099493789792</v>
      </c>
      <c r="G744" s="1102">
        <v>0.98379468127570546</v>
      </c>
      <c r="H744" s="1102">
        <v>1.000217398892461</v>
      </c>
      <c r="I744" s="1102">
        <v>1.0127111122217785</v>
      </c>
      <c r="K744">
        <v>1.5799669735358945</v>
      </c>
      <c r="L744">
        <v>0</v>
      </c>
      <c r="M744">
        <v>1.5178725413760215E-3</v>
      </c>
      <c r="N744">
        <v>0.14277995457289011</v>
      </c>
      <c r="O744">
        <v>0.12246937604816195</v>
      </c>
      <c r="P744">
        <v>1.6066450038335612E-2</v>
      </c>
      <c r="Q744">
        <v>8.9118314512553576E-4</v>
      </c>
      <c r="R744">
        <v>1.5144344199238145E-3</v>
      </c>
      <c r="S744">
        <v>0.11942262461358773</v>
      </c>
      <c r="T744">
        <v>0.84754096457635952</v>
      </c>
      <c r="U744">
        <v>0</v>
      </c>
      <c r="V744">
        <v>0.20497423447103705</v>
      </c>
      <c r="W744">
        <v>9.3392328703488486E-2</v>
      </c>
      <c r="X744">
        <v>2.831150423050055E-2</v>
      </c>
      <c r="Y744">
        <v>4.1217912578602675E-3</v>
      </c>
    </row>
    <row r="745" spans="1:25" x14ac:dyDescent="0.25">
      <c r="A745" s="1098"/>
      <c r="B745" s="1457">
        <v>495</v>
      </c>
      <c r="C745" s="1102">
        <v>1.0215261221765539</v>
      </c>
      <c r="D745" s="1102">
        <v>1.0001755783916353</v>
      </c>
      <c r="E745" s="1102">
        <v>0.98446214966435441</v>
      </c>
      <c r="F745" s="1102">
        <v>0.9807748481425419</v>
      </c>
      <c r="G745" s="1102">
        <v>0.98719912186912628</v>
      </c>
      <c r="H745" s="1102">
        <v>1.0356932772202858</v>
      </c>
      <c r="I745" s="1102">
        <v>0.98457854274618883</v>
      </c>
      <c r="K745">
        <v>1.5351998890550753</v>
      </c>
      <c r="L745">
        <v>0</v>
      </c>
      <c r="M745">
        <v>1.6336983472142891E-3</v>
      </c>
      <c r="N745">
        <v>0.14344060654586971</v>
      </c>
      <c r="O745">
        <v>0.11897960857232129</v>
      </c>
      <c r="P745">
        <v>1.5235813830711802E-2</v>
      </c>
      <c r="Q745">
        <v>8.6567650249714937E-4</v>
      </c>
      <c r="R745">
        <v>1.6301127312261354E-3</v>
      </c>
      <c r="S745">
        <v>0.11789251650213911</v>
      </c>
      <c r="T745">
        <v>0.81039382936288806</v>
      </c>
      <c r="U745">
        <v>0</v>
      </c>
      <c r="V745">
        <v>0.20223065164822637</v>
      </c>
      <c r="W745">
        <v>9.511037921936176E-2</v>
      </c>
      <c r="X745">
        <v>2.6617762999167953E-2</v>
      </c>
      <c r="Y745">
        <v>4.4366294878801123E-3</v>
      </c>
    </row>
    <row r="746" spans="1:25" x14ac:dyDescent="0.25">
      <c r="A746" s="1098"/>
      <c r="B746" s="1457">
        <v>496</v>
      </c>
      <c r="C746" s="1102">
        <v>1.0174080687923284</v>
      </c>
      <c r="D746" s="1102">
        <v>1.008388087331993</v>
      </c>
      <c r="E746" s="1102">
        <v>1.0117293021755547</v>
      </c>
      <c r="F746" s="1102">
        <v>1.0133558703911407</v>
      </c>
      <c r="G746" s="1102">
        <v>0.9642630766917325</v>
      </c>
      <c r="H746" s="1102">
        <v>1.0160173930049601</v>
      </c>
      <c r="I746" s="1102">
        <v>1.0077249725054238</v>
      </c>
      <c r="K746">
        <v>1.5668632283994781</v>
      </c>
      <c r="L746">
        <v>0</v>
      </c>
      <c r="M746">
        <v>1.5169254018641274E-3</v>
      </c>
      <c r="N746">
        <v>0.14462018450592221</v>
      </c>
      <c r="O746">
        <v>0.12102165323476738</v>
      </c>
      <c r="P746">
        <v>1.5924356934415851E-2</v>
      </c>
      <c r="Q746">
        <v>8.9120945997996971E-4</v>
      </c>
      <c r="R746">
        <v>1.5135342985012101E-3</v>
      </c>
      <c r="S746">
        <v>0.11924974556662245</v>
      </c>
      <c r="T746">
        <v>0.83548909513455327</v>
      </c>
      <c r="U746">
        <v>0</v>
      </c>
      <c r="V746">
        <v>0.20302153323448996</v>
      </c>
      <c r="W746">
        <v>9.4348658341059585E-2</v>
      </c>
      <c r="X746">
        <v>2.8180841666957262E-2</v>
      </c>
      <c r="Y746">
        <v>4.1193414240728839E-3</v>
      </c>
    </row>
    <row r="747" spans="1:25" x14ac:dyDescent="0.25">
      <c r="A747" s="1098"/>
      <c r="B747" s="1457">
        <v>497</v>
      </c>
      <c r="C747" s="1102">
        <v>1.0151669538259676</v>
      </c>
      <c r="D747" s="1102">
        <v>1.0130360720521494</v>
      </c>
      <c r="E747" s="1102">
        <v>0.98834757568496401</v>
      </c>
      <c r="F747" s="1102">
        <v>1.0321317804553645</v>
      </c>
      <c r="G747" s="1102">
        <v>1.0229780992280761</v>
      </c>
      <c r="H747" s="1102">
        <v>1.0051700868374005</v>
      </c>
      <c r="I747" s="1102">
        <v>1.0046797413085131</v>
      </c>
      <c r="K747">
        <v>1.5808001232870483</v>
      </c>
      <c r="L747">
        <v>0</v>
      </c>
      <c r="M747">
        <v>1.5765220812270697E-3</v>
      </c>
      <c r="N747">
        <v>0.14004758443344406</v>
      </c>
      <c r="O747">
        <v>0.12228621809703109</v>
      </c>
      <c r="P747">
        <v>1.5911746427242374E-2</v>
      </c>
      <c r="Q747">
        <v>8.7018267953620828E-4</v>
      </c>
      <c r="R747">
        <v>1.5729611503733248E-3</v>
      </c>
      <c r="S747">
        <v>0.11802592289184595</v>
      </c>
      <c r="T747">
        <v>0.85256249851665833</v>
      </c>
      <c r="U747">
        <v>0</v>
      </c>
      <c r="V747">
        <v>0.20663179736791543</v>
      </c>
      <c r="W747">
        <v>9.264408055016625E-2</v>
      </c>
      <c r="X747">
        <v>2.75425715292484E-2</v>
      </c>
      <c r="Y747">
        <v>4.2810817248123264E-3</v>
      </c>
    </row>
    <row r="748" spans="1:25" x14ac:dyDescent="0.25">
      <c r="A748" s="1098"/>
      <c r="B748" s="1457">
        <v>498</v>
      </c>
      <c r="C748" s="1102">
        <v>0.98791825745772588</v>
      </c>
      <c r="D748" s="1102">
        <v>1.0221294262208915</v>
      </c>
      <c r="E748" s="1102">
        <v>1.0095309426569432</v>
      </c>
      <c r="F748" s="1102">
        <v>1.0059322295792357</v>
      </c>
      <c r="G748" s="1102">
        <v>0.98007803933100079</v>
      </c>
      <c r="H748" s="1102">
        <v>0.95782725961626602</v>
      </c>
      <c r="I748" s="1102">
        <v>0.99832110927722861</v>
      </c>
      <c r="K748">
        <v>1.5502192895883438</v>
      </c>
      <c r="L748">
        <v>0</v>
      </c>
      <c r="M748">
        <v>1.464270697009292E-3</v>
      </c>
      <c r="N748">
        <v>0.13865631073982779</v>
      </c>
      <c r="O748">
        <v>0.12142046811950935</v>
      </c>
      <c r="P748">
        <v>1.5802833513740577E-2</v>
      </c>
      <c r="Q748">
        <v>9.1079028100221301E-4</v>
      </c>
      <c r="R748">
        <v>1.4607813225466239E-3</v>
      </c>
      <c r="S748">
        <v>0.11586396895229767</v>
      </c>
      <c r="T748">
        <v>0.82951369463627356</v>
      </c>
      <c r="U748">
        <v>0</v>
      </c>
      <c r="V748">
        <v>0.20541616726898265</v>
      </c>
      <c r="W748">
        <v>9.0575171180468525E-2</v>
      </c>
      <c r="X748">
        <v>2.8087609057166351E-2</v>
      </c>
      <c r="Y748">
        <v>3.9757652135383511E-3</v>
      </c>
    </row>
    <row r="749" spans="1:25" x14ac:dyDescent="0.25">
      <c r="A749" s="1098"/>
      <c r="B749" s="1457">
        <v>499</v>
      </c>
      <c r="C749" s="1102">
        <v>1.0149220066990265</v>
      </c>
      <c r="D749" s="1102">
        <v>1.0442086756094049</v>
      </c>
      <c r="E749" s="1102">
        <v>0.9797960273657883</v>
      </c>
      <c r="F749" s="1102">
        <v>0.96637139857886134</v>
      </c>
      <c r="G749" s="1102">
        <v>1.0134037794748245</v>
      </c>
      <c r="H749" s="1102">
        <v>1.0011459150140809</v>
      </c>
      <c r="I749" s="1102">
        <v>1.029870255249288</v>
      </c>
      <c r="K749">
        <v>1.5067456100857626</v>
      </c>
      <c r="L749">
        <v>0</v>
      </c>
      <c r="M749">
        <v>1.5637569924550091E-3</v>
      </c>
      <c r="N749">
        <v>0.1353622048604535</v>
      </c>
      <c r="O749">
        <v>0.11646997719037221</v>
      </c>
      <c r="P749">
        <v>1.502556469345584E-2</v>
      </c>
      <c r="Q749">
        <v>8.5224961108380196E-4</v>
      </c>
      <c r="R749">
        <v>1.5601753032999845E-3</v>
      </c>
      <c r="S749">
        <v>0.11812955287451909</v>
      </c>
      <c r="T749">
        <v>0.79879283099669418</v>
      </c>
      <c r="U749">
        <v>0</v>
      </c>
      <c r="V749">
        <v>0.20194479779569321</v>
      </c>
      <c r="W749">
        <v>9.0006689578028695E-2</v>
      </c>
      <c r="X749">
        <v>2.5919041310683743E-2</v>
      </c>
      <c r="Y749">
        <v>4.2462828639320488E-3</v>
      </c>
    </row>
    <row r="750" spans="1:25" x14ac:dyDescent="0.25">
      <c r="A750" s="1098"/>
      <c r="B750" s="1457">
        <v>500</v>
      </c>
      <c r="C750" s="1102">
        <v>0.99171741801620994</v>
      </c>
      <c r="D750" s="1102">
        <v>0.97220984379536313</v>
      </c>
      <c r="E750" s="1102">
        <v>0.98257406984616202</v>
      </c>
      <c r="F750" s="1102">
        <v>0.96546715993809562</v>
      </c>
      <c r="G750" s="1102">
        <v>1.000221901078526</v>
      </c>
      <c r="H750" s="1102">
        <v>1.0163718025790474</v>
      </c>
      <c r="I750" s="1102">
        <v>1.0089885562579279</v>
      </c>
      <c r="K750">
        <v>1.5398261517951826</v>
      </c>
      <c r="L750">
        <v>0</v>
      </c>
      <c r="M750">
        <v>1.6787921578198047E-3</v>
      </c>
      <c r="N750">
        <v>0.14655472693268304</v>
      </c>
      <c r="O750">
        <v>0.12062389532398289</v>
      </c>
      <c r="P750">
        <v>1.5178842790126166E-2</v>
      </c>
      <c r="Q750">
        <v>9.0009009168578796E-4</v>
      </c>
      <c r="R750">
        <v>1.6750420107249084E-3</v>
      </c>
      <c r="S750">
        <v>0.12468875054005825</v>
      </c>
      <c r="T750">
        <v>0.79786671086423699</v>
      </c>
      <c r="U750">
        <v>0</v>
      </c>
      <c r="V750">
        <v>0.20533423198767431</v>
      </c>
      <c r="W750">
        <v>9.7285782703592089E-2</v>
      </c>
      <c r="X750">
        <v>2.6837958532494991E-2</v>
      </c>
      <c r="Y750">
        <v>4.5589121757427667E-3</v>
      </c>
    </row>
    <row r="751" spans="1:25" x14ac:dyDescent="0.25">
      <c r="A751" s="1098"/>
      <c r="B751" s="1457">
        <v>501</v>
      </c>
      <c r="C751" s="1102">
        <v>1.0000770682283076</v>
      </c>
      <c r="D751" s="1102">
        <v>1.0443136057297637</v>
      </c>
      <c r="E751" s="1102">
        <v>1.0321124500383658</v>
      </c>
      <c r="F751" s="1102">
        <v>1.0153917787180609</v>
      </c>
      <c r="G751" s="1102">
        <v>0.99897029654349789</v>
      </c>
      <c r="H751" s="1102">
        <v>0.97748404185696924</v>
      </c>
      <c r="I751" s="1102">
        <v>0.98689430020726254</v>
      </c>
      <c r="K751">
        <v>1.5566924282154586</v>
      </c>
      <c r="L751">
        <v>0</v>
      </c>
      <c r="M751">
        <v>1.3934871856342954E-3</v>
      </c>
      <c r="N751">
        <v>0.14126153386581214</v>
      </c>
      <c r="O751">
        <v>0.12044068737907961</v>
      </c>
      <c r="P751">
        <v>1.6115394309857763E-2</v>
      </c>
      <c r="Q751">
        <v>9.129187388413931E-4</v>
      </c>
      <c r="R751">
        <v>1.3902265854447919E-3</v>
      </c>
      <c r="S751">
        <v>0.11335845324911893</v>
      </c>
      <c r="T751">
        <v>0.83581603044435993</v>
      </c>
      <c r="U751">
        <v>0</v>
      </c>
      <c r="V751">
        <v>0.20512227251739579</v>
      </c>
      <c r="W751">
        <v>9.106666272446183E-2</v>
      </c>
      <c r="X751">
        <v>2.8817997109211069E-2</v>
      </c>
      <c r="Y751">
        <v>3.7837384775099977E-3</v>
      </c>
    </row>
    <row r="752" spans="1:25" x14ac:dyDescent="0.25">
      <c r="A752" s="1098"/>
      <c r="B752" s="1457">
        <v>502</v>
      </c>
      <c r="C752" s="1102">
        <v>1.0455490410493398</v>
      </c>
      <c r="D752" s="1102">
        <v>0.98342319240851439</v>
      </c>
      <c r="E752" s="1102">
        <v>1.01454988489506</v>
      </c>
      <c r="F752" s="1102">
        <v>1.0079546259776035</v>
      </c>
      <c r="G752" s="1102">
        <v>1.0002042693145095</v>
      </c>
      <c r="H752" s="1102">
        <v>0.97671771202492974</v>
      </c>
      <c r="I752" s="1102">
        <v>0.97930211074504059</v>
      </c>
      <c r="K752">
        <v>1.541839696378454</v>
      </c>
      <c r="L752">
        <v>0</v>
      </c>
      <c r="M752">
        <v>1.4332084143466055E-3</v>
      </c>
      <c r="N752">
        <v>0.13779645487873315</v>
      </c>
      <c r="O752">
        <v>0.12034787960899818</v>
      </c>
      <c r="P752">
        <v>1.5786382908498549E-2</v>
      </c>
      <c r="Q752">
        <v>8.7850991168710892E-4</v>
      </c>
      <c r="R752">
        <v>1.429894810287616E-3</v>
      </c>
      <c r="S752">
        <v>0.11163744297377395</v>
      </c>
      <c r="T752">
        <v>0.83084941829567727</v>
      </c>
      <c r="U752">
        <v>0</v>
      </c>
      <c r="V752">
        <v>0.20286161481565915</v>
      </c>
      <c r="W752">
        <v>8.9747903880958685E-2</v>
      </c>
      <c r="X752">
        <v>2.8045700399619188E-2</v>
      </c>
      <c r="Y752">
        <v>3.8917023089053604E-3</v>
      </c>
    </row>
    <row r="753" spans="1:25" x14ac:dyDescent="0.25">
      <c r="A753" s="1098"/>
      <c r="B753" s="1457">
        <v>503</v>
      </c>
      <c r="C753" s="1102">
        <v>0.99864647650640803</v>
      </c>
      <c r="D753" s="1102">
        <v>1.0109521102360854</v>
      </c>
      <c r="E753" s="1102">
        <v>0.99536182128458228</v>
      </c>
      <c r="F753" s="1102">
        <v>0.98300116627752576</v>
      </c>
      <c r="G753" s="1102">
        <v>0.98246396161165672</v>
      </c>
      <c r="H753" s="1102">
        <v>1.0125827156538345</v>
      </c>
      <c r="I753" s="1102">
        <v>1.0113110756654689</v>
      </c>
      <c r="K753">
        <v>1.5426391809072557</v>
      </c>
      <c r="L753">
        <v>0</v>
      </c>
      <c r="M753">
        <v>1.5853551026589103E-3</v>
      </c>
      <c r="N753">
        <v>0.14385131462698758</v>
      </c>
      <c r="O753">
        <v>0.1197857470981151</v>
      </c>
      <c r="P753">
        <v>1.5441223605193812E-2</v>
      </c>
      <c r="Q753">
        <v>8.9179694743937341E-4</v>
      </c>
      <c r="R753">
        <v>1.5817845441904836E-3</v>
      </c>
      <c r="S753">
        <v>0.12113741419698837</v>
      </c>
      <c r="T753">
        <v>0.81152259959650619</v>
      </c>
      <c r="U753">
        <v>0</v>
      </c>
      <c r="V753">
        <v>0.2037243110634202</v>
      </c>
      <c r="W753">
        <v>9.4761880912109159E-2</v>
      </c>
      <c r="X753">
        <v>2.7221367324813159E-2</v>
      </c>
      <c r="Y753">
        <v>4.3050960941516418E-3</v>
      </c>
    </row>
    <row r="754" spans="1:25" x14ac:dyDescent="0.25">
      <c r="A754" s="1098"/>
      <c r="B754" s="1457">
        <v>504</v>
      </c>
      <c r="C754" s="1102">
        <v>0.95744316033203236</v>
      </c>
      <c r="D754" s="1102">
        <v>1.0234870331820884</v>
      </c>
      <c r="E754" s="1102">
        <v>0.98600739218978828</v>
      </c>
      <c r="F754" s="1102">
        <v>0.97165284482243053</v>
      </c>
      <c r="G754" s="1102">
        <v>0.98793969576060281</v>
      </c>
      <c r="H754" s="1102">
        <v>0.97038703799963111</v>
      </c>
      <c r="I754" s="1102">
        <v>1.0489502801595787</v>
      </c>
      <c r="K754">
        <v>1.5379579769629541</v>
      </c>
      <c r="L754">
        <v>0</v>
      </c>
      <c r="M754">
        <v>1.5980421262200468E-3</v>
      </c>
      <c r="N754">
        <v>0.14094327077060484</v>
      </c>
      <c r="O754">
        <v>0.12061002449776061</v>
      </c>
      <c r="P754">
        <v>1.5320724780844569E-2</v>
      </c>
      <c r="Q754">
        <v>9.1662344505207883E-4</v>
      </c>
      <c r="R754">
        <v>1.5942637170631999E-3</v>
      </c>
      <c r="S754">
        <v>0.12613187409779283</v>
      </c>
      <c r="T754">
        <v>0.80275667627439373</v>
      </c>
      <c r="U754">
        <v>0</v>
      </c>
      <c r="V754">
        <v>0.20658710938580807</v>
      </c>
      <c r="W754">
        <v>9.3367687593745766E-2</v>
      </c>
      <c r="X754">
        <v>2.6988704237155901E-2</v>
      </c>
      <c r="Y754">
        <v>4.3390602889529445E-3</v>
      </c>
    </row>
    <row r="755" spans="1:25" x14ac:dyDescent="0.25">
      <c r="A755" s="1098"/>
      <c r="B755" s="1457">
        <v>505</v>
      </c>
      <c r="C755" s="1102">
        <v>0.9819365668775687</v>
      </c>
      <c r="D755" s="1102">
        <v>0.99615313123545157</v>
      </c>
      <c r="E755" s="1102">
        <v>1.001753885390585</v>
      </c>
      <c r="F755" s="1102">
        <v>1.0159857751635502</v>
      </c>
      <c r="G755" s="1102">
        <v>0.98982864255240011</v>
      </c>
      <c r="H755" s="1102">
        <v>0.99354858728009465</v>
      </c>
      <c r="I755" s="1102">
        <v>1.0092794484624192</v>
      </c>
      <c r="K755">
        <v>1.5831603019231013</v>
      </c>
      <c r="L755">
        <v>0</v>
      </c>
      <c r="M755">
        <v>1.5763031427183472E-3</v>
      </c>
      <c r="N755">
        <v>0.14581421425156774</v>
      </c>
      <c r="O755">
        <v>0.12360787681392936</v>
      </c>
      <c r="P755">
        <v>1.5954831596206701E-2</v>
      </c>
      <c r="Q755">
        <v>9.1840986049273384E-4</v>
      </c>
      <c r="R755">
        <v>1.5726984419470607E-3</v>
      </c>
      <c r="S755">
        <v>0.12260197167538958</v>
      </c>
      <c r="T755">
        <v>0.83832423020280655</v>
      </c>
      <c r="U755">
        <v>0</v>
      </c>
      <c r="V755">
        <v>0.20766337473018723</v>
      </c>
      <c r="W755">
        <v>9.5690294679739454E-2</v>
      </c>
      <c r="X755">
        <v>2.8308336094473779E-2</v>
      </c>
      <c r="Y755">
        <v>4.2803667190778457E-3</v>
      </c>
    </row>
    <row r="756" spans="1:25" x14ac:dyDescent="0.25">
      <c r="A756" s="1098"/>
      <c r="B756" s="1457">
        <v>506</v>
      </c>
      <c r="C756" s="1102">
        <v>1.0284972235792944</v>
      </c>
      <c r="D756" s="1102">
        <v>0.9742321824448873</v>
      </c>
      <c r="E756" s="1102">
        <v>0.99189017750721398</v>
      </c>
      <c r="F756" s="1102">
        <v>0.98790918163823671</v>
      </c>
      <c r="G756" s="1102">
        <v>1.0283700817007879</v>
      </c>
      <c r="H756" s="1102">
        <v>1.0049794202073896</v>
      </c>
      <c r="I756" s="1102">
        <v>1.0225602698407441</v>
      </c>
      <c r="K756">
        <v>1.5445442834860901</v>
      </c>
      <c r="L756">
        <v>0</v>
      </c>
      <c r="M756">
        <v>1.5754085128218346E-3</v>
      </c>
      <c r="N756">
        <v>0.14145696732213328</v>
      </c>
      <c r="O756">
        <v>0.12025366650405211</v>
      </c>
      <c r="P756">
        <v>1.547251133619721E-2</v>
      </c>
      <c r="Q756">
        <v>8.7565563584518686E-4</v>
      </c>
      <c r="R756">
        <v>1.5718644908820048E-3</v>
      </c>
      <c r="S756">
        <v>0.12117478029725805</v>
      </c>
      <c r="T756">
        <v>0.81580155386860942</v>
      </c>
      <c r="U756">
        <v>0</v>
      </c>
      <c r="V756">
        <v>0.20468406655017485</v>
      </c>
      <c r="W756">
        <v>9.3378051618210209E-2</v>
      </c>
      <c r="X756">
        <v>2.717247739635802E-2</v>
      </c>
      <c r="Y756">
        <v>4.2780969791906577E-3</v>
      </c>
    </row>
    <row r="757" spans="1:25" x14ac:dyDescent="0.25">
      <c r="A757" s="1098"/>
      <c r="B757" s="1457">
        <v>507</v>
      </c>
      <c r="C757" s="1102">
        <v>1.0177179992604122</v>
      </c>
      <c r="D757" s="1102">
        <v>0.99804594200936902</v>
      </c>
      <c r="E757" s="1102">
        <v>0.99927144724937866</v>
      </c>
      <c r="F757" s="1102">
        <v>0.99986552750912683</v>
      </c>
      <c r="G757" s="1102">
        <v>1.0064940589398987</v>
      </c>
      <c r="H757" s="1102">
        <v>1.0265158730147503</v>
      </c>
      <c r="I757" s="1102">
        <v>0.9768032435683035</v>
      </c>
      <c r="K757">
        <v>1.555971901718237</v>
      </c>
      <c r="L757">
        <v>0</v>
      </c>
      <c r="M757">
        <v>1.5799627557543418E-3</v>
      </c>
      <c r="N757">
        <v>0.14507176583228271</v>
      </c>
      <c r="O757">
        <v>0.12055462134120096</v>
      </c>
      <c r="P757">
        <v>1.5626197025966466E-2</v>
      </c>
      <c r="Q757">
        <v>8.8317193668094329E-4</v>
      </c>
      <c r="R757">
        <v>1.5764694875388913E-3</v>
      </c>
      <c r="S757">
        <v>0.11697072043230618</v>
      </c>
      <c r="T757">
        <v>0.82518668131718764</v>
      </c>
      <c r="U757">
        <v>0</v>
      </c>
      <c r="V757">
        <v>0.20448762433150328</v>
      </c>
      <c r="W757">
        <v>9.5343576133698316E-2</v>
      </c>
      <c r="X757">
        <v>2.7560406373571072E-2</v>
      </c>
      <c r="Y757">
        <v>4.290630262053962E-3</v>
      </c>
    </row>
    <row r="758" spans="1:25" x14ac:dyDescent="0.25">
      <c r="A758" s="1098"/>
      <c r="B758" s="1457">
        <v>508</v>
      </c>
      <c r="C758" s="1102">
        <v>1.0185650609124992</v>
      </c>
      <c r="D758" s="1102">
        <v>1.0022161214626184</v>
      </c>
      <c r="E758" s="1102">
        <v>1.0237461050155496</v>
      </c>
      <c r="F758" s="1102">
        <v>0.97882877246561673</v>
      </c>
      <c r="G758" s="1102">
        <v>1.004765213203404</v>
      </c>
      <c r="H758" s="1102">
        <v>0.9562539378031133</v>
      </c>
      <c r="I758" s="1102">
        <v>1.0009381020759964</v>
      </c>
      <c r="K758">
        <v>1.5171774832231826</v>
      </c>
      <c r="L758">
        <v>0</v>
      </c>
      <c r="M758">
        <v>1.3922060978556524E-3</v>
      </c>
      <c r="N758">
        <v>0.13761080965692735</v>
      </c>
      <c r="O758">
        <v>0.1187913595283934</v>
      </c>
      <c r="P758">
        <v>1.558805633007752E-2</v>
      </c>
      <c r="Q758">
        <v>9.0346820397937901E-4</v>
      </c>
      <c r="R758">
        <v>1.3888943363560612E-3</v>
      </c>
      <c r="S758">
        <v>0.11391928161457833</v>
      </c>
      <c r="T758">
        <v>0.80625253807140529</v>
      </c>
      <c r="U758">
        <v>0</v>
      </c>
      <c r="V758">
        <v>0.20316991510368124</v>
      </c>
      <c r="W758">
        <v>8.9145745824401018E-2</v>
      </c>
      <c r="X758">
        <v>2.8019508116570516E-2</v>
      </c>
      <c r="Y758">
        <v>3.7801125346662691E-3</v>
      </c>
    </row>
    <row r="759" spans="1:25" x14ac:dyDescent="0.25">
      <c r="A759" s="1098"/>
      <c r="B759" s="1457">
        <v>509</v>
      </c>
      <c r="C759" s="1102">
        <v>0.99862771593005561</v>
      </c>
      <c r="D759" s="1102">
        <v>1.0157591121655927</v>
      </c>
      <c r="E759" s="1102">
        <v>0.98707559347812035</v>
      </c>
      <c r="F759" s="1102">
        <v>0.98327303745054018</v>
      </c>
      <c r="G759" s="1102">
        <v>1.0029694847492467</v>
      </c>
      <c r="H759" s="1102">
        <v>1.0410988053265777</v>
      </c>
      <c r="I759" s="1102">
        <v>0.9903650042532488</v>
      </c>
      <c r="K759">
        <v>1.5477820567867591</v>
      </c>
      <c r="L759">
        <v>0</v>
      </c>
      <c r="M759">
        <v>1.6538416593902504E-3</v>
      </c>
      <c r="N759">
        <v>0.14636187840475415</v>
      </c>
      <c r="O759">
        <v>0.11962071398607869</v>
      </c>
      <c r="P759">
        <v>1.5357534500062196E-2</v>
      </c>
      <c r="Q759">
        <v>8.8247304715982351E-4</v>
      </c>
      <c r="R759">
        <v>1.650216102321508E-3</v>
      </c>
      <c r="S759">
        <v>0.12050017814189092</v>
      </c>
      <c r="T759">
        <v>0.81228721238462764</v>
      </c>
      <c r="U759">
        <v>0</v>
      </c>
      <c r="V759">
        <v>0.20450802542576368</v>
      </c>
      <c r="W759">
        <v>9.6895042494805003E-2</v>
      </c>
      <c r="X759">
        <v>2.6881279721755875E-2</v>
      </c>
      <c r="Y759">
        <v>4.4913442369272152E-3</v>
      </c>
    </row>
    <row r="760" spans="1:25" x14ac:dyDescent="0.25">
      <c r="A760" s="1098"/>
      <c r="B760" s="1457">
        <v>510</v>
      </c>
      <c r="C760" s="1102">
        <v>0.99706902115416496</v>
      </c>
      <c r="D760" s="1102">
        <v>0.97922661105191022</v>
      </c>
      <c r="E760" s="1102">
        <v>1.0053886483729919</v>
      </c>
      <c r="F760" s="1102">
        <v>0.96841221969122626</v>
      </c>
      <c r="G760" s="1102">
        <v>1.0176260813422187</v>
      </c>
      <c r="H760" s="1102">
        <v>1.0039914531737655</v>
      </c>
      <c r="I760" s="1102">
        <v>0.99414572658504308</v>
      </c>
      <c r="K760">
        <v>1.5363581743489199</v>
      </c>
      <c r="L760">
        <v>0</v>
      </c>
      <c r="M760">
        <v>1.5679477916999535E-3</v>
      </c>
      <c r="N760">
        <v>0.14664598997085587</v>
      </c>
      <c r="O760">
        <v>0.12018570484367744</v>
      </c>
      <c r="P760">
        <v>1.5405067778938832E-2</v>
      </c>
      <c r="Q760">
        <v>9.1412472069769401E-4</v>
      </c>
      <c r="R760">
        <v>1.5644002429979144E-3</v>
      </c>
      <c r="S760">
        <v>0.1207843815770112</v>
      </c>
      <c r="T760">
        <v>0.79883772016867005</v>
      </c>
      <c r="U760">
        <v>0</v>
      </c>
      <c r="V760">
        <v>0.20564392659390604</v>
      </c>
      <c r="W760">
        <v>9.6029054727425373E-2</v>
      </c>
      <c r="X760">
        <v>2.7657969759399676E-2</v>
      </c>
      <c r="Y760">
        <v>4.2577817570388157E-3</v>
      </c>
    </row>
    <row r="761" spans="1:25" x14ac:dyDescent="0.25">
      <c r="A761" s="1098"/>
      <c r="B761" s="1457">
        <v>511</v>
      </c>
      <c r="C761" s="1102">
        <v>0.97651638259746809</v>
      </c>
      <c r="D761" s="1102">
        <v>0.9996028636255383</v>
      </c>
      <c r="E761" s="1102">
        <v>0.97649421366265399</v>
      </c>
      <c r="F761" s="1102">
        <v>1.0008635206497432</v>
      </c>
      <c r="G761" s="1102">
        <v>1.031342583918565</v>
      </c>
      <c r="H761" s="1102">
        <v>0.99060407910539006</v>
      </c>
      <c r="I761" s="1102">
        <v>1.0045483134087474</v>
      </c>
      <c r="K761">
        <v>1.5663436667818882</v>
      </c>
      <c r="L761">
        <v>0</v>
      </c>
      <c r="M761">
        <v>1.6593599946279503E-3</v>
      </c>
      <c r="N761">
        <v>0.14220864097812702</v>
      </c>
      <c r="O761">
        <v>0.12274617816654514</v>
      </c>
      <c r="P761">
        <v>1.5520494709499186E-2</v>
      </c>
      <c r="Q761">
        <v>8.9825505402391743E-4</v>
      </c>
      <c r="R761">
        <v>1.6555459199615197E-3</v>
      </c>
      <c r="S761">
        <v>0.12203538749663617</v>
      </c>
      <c r="T761">
        <v>0.82752415552341385</v>
      </c>
      <c r="U761">
        <v>0</v>
      </c>
      <c r="V761">
        <v>0.20907192536413072</v>
      </c>
      <c r="W761">
        <v>9.4748095208942576E-2</v>
      </c>
      <c r="X761">
        <v>2.7088498111664281E-2</v>
      </c>
      <c r="Y761">
        <v>4.505850243569416E-3</v>
      </c>
    </row>
    <row r="762" spans="1:25" x14ac:dyDescent="0.25">
      <c r="A762" s="1098"/>
      <c r="B762" s="1457">
        <v>512</v>
      </c>
      <c r="C762" s="1102">
        <v>0.97380821311236865</v>
      </c>
      <c r="D762" s="1102">
        <v>0.98573462067482776</v>
      </c>
      <c r="E762" s="1102">
        <v>1.018315809871994</v>
      </c>
      <c r="F762" s="1102">
        <v>1.0145428791789122</v>
      </c>
      <c r="G762" s="1102">
        <v>1.0045662773504977</v>
      </c>
      <c r="H762" s="1102">
        <v>0.96914703994895546</v>
      </c>
      <c r="I762" s="1102">
        <v>0.96623884360808299</v>
      </c>
      <c r="K762">
        <v>1.5786197047611006</v>
      </c>
      <c r="L762">
        <v>0</v>
      </c>
      <c r="M762">
        <v>1.505815988456211E-3</v>
      </c>
      <c r="N762">
        <v>0.14642756548491714</v>
      </c>
      <c r="O762">
        <v>0.1243637706892413</v>
      </c>
      <c r="P762">
        <v>1.6067221379416127E-2</v>
      </c>
      <c r="Q762">
        <v>9.459992305175188E-4</v>
      </c>
      <c r="R762">
        <v>1.5022893362576844E-3</v>
      </c>
      <c r="S762">
        <v>0.1171380566291141</v>
      </c>
      <c r="T762">
        <v>0.83602987490229197</v>
      </c>
      <c r="U762">
        <v>0</v>
      </c>
      <c r="V762">
        <v>0.20932228511784756</v>
      </c>
      <c r="W762">
        <v>9.5158931352287673E-2</v>
      </c>
      <c r="X762">
        <v>2.9080790283916698E-2</v>
      </c>
      <c r="Y762">
        <v>4.0887363437468165E-3</v>
      </c>
    </row>
    <row r="763" spans="1:25" x14ac:dyDescent="0.25">
      <c r="A763" s="1098"/>
      <c r="B763" s="1457">
        <v>513</v>
      </c>
      <c r="C763" s="1102">
        <v>0.97306691981535298</v>
      </c>
      <c r="D763" s="1102">
        <v>1.0380108726579413</v>
      </c>
      <c r="E763" s="1102">
        <v>0.98964607211848477</v>
      </c>
      <c r="F763" s="1102">
        <v>0.98081472220894794</v>
      </c>
      <c r="G763" s="1102">
        <v>1.00624409480058</v>
      </c>
      <c r="H763" s="1102">
        <v>0.98660946003595873</v>
      </c>
      <c r="I763" s="1102">
        <v>1.0056359334904612</v>
      </c>
      <c r="K763">
        <v>1.5365878810279028</v>
      </c>
      <c r="L763">
        <v>0</v>
      </c>
      <c r="M763">
        <v>1.5771900566705259E-3</v>
      </c>
      <c r="N763">
        <v>0.14064855948299521</v>
      </c>
      <c r="O763">
        <v>0.11981734802665212</v>
      </c>
      <c r="P763">
        <v>1.5364724912453186E-2</v>
      </c>
      <c r="Q763">
        <v>9.0024875373704693E-4</v>
      </c>
      <c r="R763">
        <v>1.5735209549233768E-3</v>
      </c>
      <c r="S763">
        <v>0.11944250793855604</v>
      </c>
      <c r="T763">
        <v>0.810089005168246</v>
      </c>
      <c r="U763">
        <v>0</v>
      </c>
      <c r="V763">
        <v>0.20609074224059376</v>
      </c>
      <c r="W763">
        <v>9.2969232360968657E-2</v>
      </c>
      <c r="X763">
        <v>2.6986575917190496E-2</v>
      </c>
      <c r="Y763">
        <v>4.2826053282580476E-3</v>
      </c>
    </row>
    <row r="764" spans="1:25" x14ac:dyDescent="0.25">
      <c r="A764" s="1098"/>
      <c r="B764" s="1457">
        <v>514</v>
      </c>
      <c r="C764" s="1102">
        <v>0.97698526282383025</v>
      </c>
      <c r="D764" s="1102">
        <v>0.98611762148405113</v>
      </c>
      <c r="E764" s="1102">
        <v>1.0091790226240456</v>
      </c>
      <c r="F764" s="1102">
        <v>0.97299234828302672</v>
      </c>
      <c r="G764" s="1102">
        <v>1.0248713333762325</v>
      </c>
      <c r="H764" s="1102">
        <v>1.0178012988398588</v>
      </c>
      <c r="I764" s="1102">
        <v>0.98548860710844222</v>
      </c>
      <c r="K764">
        <v>1.5534188469496764</v>
      </c>
      <c r="L764">
        <v>0</v>
      </c>
      <c r="M764">
        <v>1.6012276906396446E-3</v>
      </c>
      <c r="N764">
        <v>0.15148633614588206</v>
      </c>
      <c r="O764">
        <v>0.12123397657639132</v>
      </c>
      <c r="P764">
        <v>1.5552151626042432E-2</v>
      </c>
      <c r="Q764">
        <v>9.3395205068971473E-4</v>
      </c>
      <c r="R764">
        <v>1.5976456629878271E-3</v>
      </c>
      <c r="S764">
        <v>0.12270598285122282</v>
      </c>
      <c r="T764">
        <v>0.80237324959759171</v>
      </c>
      <c r="U764">
        <v>0</v>
      </c>
      <c r="V764">
        <v>0.20773908935793153</v>
      </c>
      <c r="W764">
        <v>9.897674215724156E-2</v>
      </c>
      <c r="X764">
        <v>2.8072683783431716E-2</v>
      </c>
      <c r="Y764">
        <v>4.3482648309016046E-3</v>
      </c>
    </row>
    <row r="765" spans="1:25" x14ac:dyDescent="0.25">
      <c r="A765" s="1098"/>
      <c r="B765" s="1457">
        <v>515</v>
      </c>
      <c r="C765" s="1102">
        <v>0.96954367221768789</v>
      </c>
      <c r="D765" s="1102">
        <v>0.96737846069835964</v>
      </c>
      <c r="E765" s="1102">
        <v>1.000389420679225</v>
      </c>
      <c r="F765" s="1102">
        <v>0.98870261254651703</v>
      </c>
      <c r="G765" s="1102">
        <v>0.96002538229089862</v>
      </c>
      <c r="H765" s="1102">
        <v>0.98906796171128009</v>
      </c>
      <c r="I765" s="1102">
        <v>1.0099322957455577</v>
      </c>
      <c r="K765">
        <v>1.5679365178694833</v>
      </c>
      <c r="L765">
        <v>0</v>
      </c>
      <c r="M765">
        <v>1.6152921506203098E-3</v>
      </c>
      <c r="N765">
        <v>0.14880523832804782</v>
      </c>
      <c r="O765">
        <v>0.12363829094914039</v>
      </c>
      <c r="P765">
        <v>1.5665811076257884E-2</v>
      </c>
      <c r="Q765">
        <v>9.3978916302160252E-4</v>
      </c>
      <c r="R765">
        <v>1.6115878472338966E-3</v>
      </c>
      <c r="S765">
        <v>0.1257989550347729</v>
      </c>
      <c r="T765">
        <v>0.81590097943241069</v>
      </c>
      <c r="U765">
        <v>0</v>
      </c>
      <c r="V765">
        <v>0.20687944853677107</v>
      </c>
      <c r="W765">
        <v>9.7732306619088702E-2</v>
      </c>
      <c r="X765">
        <v>2.8193192172976913E-2</v>
      </c>
      <c r="Y765">
        <v>4.3862108603796059E-3</v>
      </c>
    </row>
    <row r="766" spans="1:25" x14ac:dyDescent="0.25">
      <c r="A766" s="1098"/>
      <c r="B766" s="1457">
        <v>516</v>
      </c>
      <c r="C766" s="1102">
        <v>1.0160127488254438</v>
      </c>
      <c r="D766" s="1102">
        <v>1.0404993239481295</v>
      </c>
      <c r="E766" s="1102">
        <v>0.95423632739264208</v>
      </c>
      <c r="F766" s="1102">
        <v>0.98969093444973399</v>
      </c>
      <c r="G766" s="1102">
        <v>1.0072234152759159</v>
      </c>
      <c r="H766" s="1102">
        <v>0.97594734071224276</v>
      </c>
      <c r="I766" s="1102">
        <v>0.99757207308341866</v>
      </c>
      <c r="K766">
        <v>1.5153263234975778</v>
      </c>
      <c r="L766">
        <v>0</v>
      </c>
      <c r="M766">
        <v>1.6114032200400003E-3</v>
      </c>
      <c r="N766">
        <v>0.12908947678309451</v>
      </c>
      <c r="O766">
        <v>0.11825281449265777</v>
      </c>
      <c r="P766">
        <v>1.4949480870188965E-2</v>
      </c>
      <c r="Q766">
        <v>8.2985926960425891E-4</v>
      </c>
      <c r="R766">
        <v>1.6076262389080635E-3</v>
      </c>
      <c r="S766">
        <v>0.11271963289258323</v>
      </c>
      <c r="T766">
        <v>0.81976533716134037</v>
      </c>
      <c r="U766">
        <v>0</v>
      </c>
      <c r="V766">
        <v>0.20283497892827207</v>
      </c>
      <c r="W766">
        <v>8.7184741216166581E-2</v>
      </c>
      <c r="X766">
        <v>2.5328350196342185E-2</v>
      </c>
      <c r="Y766">
        <v>4.375428668460522E-3</v>
      </c>
    </row>
    <row r="767" spans="1:25" x14ac:dyDescent="0.25">
      <c r="A767" s="1098"/>
      <c r="B767" s="1457">
        <v>517</v>
      </c>
      <c r="C767" s="1102">
        <v>0.98073884161860125</v>
      </c>
      <c r="D767" s="1102">
        <v>1.0132960902628991</v>
      </c>
      <c r="E767" s="1102">
        <v>1.0444308302512322</v>
      </c>
      <c r="F767" s="1102">
        <v>0.98290606782172529</v>
      </c>
      <c r="G767" s="1102">
        <v>0.99728150553149186</v>
      </c>
      <c r="H767" s="1102">
        <v>1.0036204699159286</v>
      </c>
      <c r="I767" s="1102">
        <v>0.9929828223781586</v>
      </c>
      <c r="K767">
        <v>1.5537552119223204</v>
      </c>
      <c r="L767">
        <v>0</v>
      </c>
      <c r="M767">
        <v>1.4409052173299552E-3</v>
      </c>
      <c r="N767">
        <v>0.15160085894321115</v>
      </c>
      <c r="O767">
        <v>0.12046218740382887</v>
      </c>
      <c r="P767">
        <v>1.5980014571882806E-2</v>
      </c>
      <c r="Q767">
        <v>9.5408132927615676E-4</v>
      </c>
      <c r="R767">
        <v>1.4376253669071794E-3</v>
      </c>
      <c r="S767">
        <v>0.12022239316775865</v>
      </c>
      <c r="T767">
        <v>0.80829122665513586</v>
      </c>
      <c r="U767">
        <v>0</v>
      </c>
      <c r="V767">
        <v>0.20594087693437918</v>
      </c>
      <c r="W767">
        <v>9.7040224431648003E-2</v>
      </c>
      <c r="X767">
        <v>2.9353885999974072E-2</v>
      </c>
      <c r="Y767">
        <v>3.9127423356465083E-3</v>
      </c>
    </row>
    <row r="768" spans="1:25" x14ac:dyDescent="0.25">
      <c r="A768" s="1098"/>
      <c r="B768" s="1457">
        <v>518</v>
      </c>
      <c r="C768" s="1102">
        <v>1.0206037109244326</v>
      </c>
      <c r="D768" s="1102">
        <v>1.0098018881072308</v>
      </c>
      <c r="E768" s="1102">
        <v>0.99111431660660787</v>
      </c>
      <c r="F768" s="1102">
        <v>0.97830731609805877</v>
      </c>
      <c r="G768" s="1102">
        <v>1.007828656944882</v>
      </c>
      <c r="H768" s="1102">
        <v>1.0111337203477726</v>
      </c>
      <c r="I768" s="1102">
        <v>0.99583396416411774</v>
      </c>
      <c r="K768">
        <v>1.5259651269336858</v>
      </c>
      <c r="L768">
        <v>0</v>
      </c>
      <c r="M768">
        <v>1.5656374306390365E-3</v>
      </c>
      <c r="N768">
        <v>0.1402498950595539</v>
      </c>
      <c r="O768">
        <v>0.1184191191945201</v>
      </c>
      <c r="P768">
        <v>1.5272075492223465E-2</v>
      </c>
      <c r="Q768">
        <v>8.6915834547661246E-4</v>
      </c>
      <c r="R768">
        <v>1.5621111983745268E-3</v>
      </c>
      <c r="S768">
        <v>0.11677200143264352</v>
      </c>
      <c r="T768">
        <v>0.80792278284984642</v>
      </c>
      <c r="U768">
        <v>0</v>
      </c>
      <c r="V768">
        <v>0.20283665801146603</v>
      </c>
      <c r="W768">
        <v>9.262423304693522E-2</v>
      </c>
      <c r="X768">
        <v>2.675117800112773E-2</v>
      </c>
      <c r="Y768">
        <v>4.2515517321573141E-3</v>
      </c>
    </row>
    <row r="769" spans="1:25" x14ac:dyDescent="0.25">
      <c r="A769" s="1098"/>
      <c r="B769" s="1457">
        <v>519</v>
      </c>
      <c r="C769" s="1102">
        <v>1.0019046840385775</v>
      </c>
      <c r="D769" s="1102">
        <v>0.98483778829260415</v>
      </c>
      <c r="E769" s="1102">
        <v>1.0014154740312797</v>
      </c>
      <c r="F769" s="1102">
        <v>0.98589818007222874</v>
      </c>
      <c r="G769" s="1102">
        <v>1.0011948856586843</v>
      </c>
      <c r="H769" s="1102">
        <v>0.97582947684965127</v>
      </c>
      <c r="I769" s="1102">
        <v>1.018244721319193</v>
      </c>
      <c r="K769">
        <v>1.5422141877099171</v>
      </c>
      <c r="L769">
        <v>0</v>
      </c>
      <c r="M769">
        <v>1.5269587858038906E-3</v>
      </c>
      <c r="N769">
        <v>0.14109981606734909</v>
      </c>
      <c r="O769">
        <v>0.12094448480569463</v>
      </c>
      <c r="P769">
        <v>1.555107618832257E-2</v>
      </c>
      <c r="Q769">
        <v>9.0391142030102421E-4</v>
      </c>
      <c r="R769">
        <v>1.5234072537234271E-3</v>
      </c>
      <c r="S769">
        <v>0.12054747995720612</v>
      </c>
      <c r="T769">
        <v>0.81351994554493778</v>
      </c>
      <c r="U769">
        <v>0</v>
      </c>
      <c r="V769">
        <v>0.20523316360305663</v>
      </c>
      <c r="W769">
        <v>9.261508284520896E-2</v>
      </c>
      <c r="X769">
        <v>2.7656566456350923E-2</v>
      </c>
      <c r="Y769">
        <v>4.1462123535689456E-3</v>
      </c>
    </row>
    <row r="770" spans="1:25" x14ac:dyDescent="0.25">
      <c r="A770" s="1098"/>
      <c r="B770" s="1457">
        <v>520</v>
      </c>
      <c r="C770" s="1102">
        <v>0.99407685848500138</v>
      </c>
      <c r="D770" s="1102">
        <v>0.97622064497798555</v>
      </c>
      <c r="E770" s="1102">
        <v>0.98767805956524279</v>
      </c>
      <c r="F770" s="1102">
        <v>1.0091652760501688</v>
      </c>
      <c r="G770" s="1102">
        <v>0.97779782302364737</v>
      </c>
      <c r="H770" s="1102">
        <v>0.96424162881794839</v>
      </c>
      <c r="I770" s="1102">
        <v>1.0011761310191885</v>
      </c>
      <c r="K770">
        <v>1.5629836091757827</v>
      </c>
      <c r="L770">
        <v>0</v>
      </c>
      <c r="M770">
        <v>1.5743744422250779E-3</v>
      </c>
      <c r="N770">
        <v>0.13956152533429286</v>
      </c>
      <c r="O770">
        <v>0.12342959765458247</v>
      </c>
      <c r="P770">
        <v>1.5659864582832642E-2</v>
      </c>
      <c r="Q770">
        <v>9.0127081575299816E-4</v>
      </c>
      <c r="R770">
        <v>1.5706785965606547E-3</v>
      </c>
      <c r="S770">
        <v>0.11922181815413146</v>
      </c>
      <c r="T770">
        <v>0.83363654821784317</v>
      </c>
      <c r="U770">
        <v>0</v>
      </c>
      <c r="V770">
        <v>0.2063046656614004</v>
      </c>
      <c r="W770">
        <v>9.2359637945020584E-2</v>
      </c>
      <c r="X770">
        <v>2.7637507289809769E-2</v>
      </c>
      <c r="Y770">
        <v>4.2748693657778999E-3</v>
      </c>
    </row>
    <row r="771" spans="1:25" x14ac:dyDescent="0.25">
      <c r="A771" s="1098"/>
      <c r="B771" s="1457">
        <v>521</v>
      </c>
      <c r="C771" s="1102">
        <v>1.0063288003424253</v>
      </c>
      <c r="D771" s="1102">
        <v>0.97573668344386455</v>
      </c>
      <c r="E771" s="1102">
        <v>0.97305891452926685</v>
      </c>
      <c r="F771" s="1102">
        <v>0.98000287184298018</v>
      </c>
      <c r="G771" s="1102">
        <v>1.006972627923473</v>
      </c>
      <c r="H771" s="1102">
        <v>1.0033702730100855</v>
      </c>
      <c r="I771" s="1102">
        <v>0.98446971578678355</v>
      </c>
      <c r="K771">
        <v>1.5378327081604306</v>
      </c>
      <c r="L771">
        <v>0</v>
      </c>
      <c r="M771">
        <v>1.6661486873255659E-3</v>
      </c>
      <c r="N771">
        <v>0.1413190025840341</v>
      </c>
      <c r="O771">
        <v>0.12078800458596191</v>
      </c>
      <c r="P771">
        <v>1.5155071608724454E-2</v>
      </c>
      <c r="Q771">
        <v>8.7693903757487212E-4</v>
      </c>
      <c r="R771">
        <v>1.6623850377727556E-3</v>
      </c>
      <c r="S771">
        <v>0.11877961750350265</v>
      </c>
      <c r="T771">
        <v>0.81050134161116039</v>
      </c>
      <c r="U771">
        <v>0</v>
      </c>
      <c r="V771">
        <v>0.20504408142053687</v>
      </c>
      <c r="W771">
        <v>9.4351686663036186E-2</v>
      </c>
      <c r="X771">
        <v>2.6496262727713864E-2</v>
      </c>
      <c r="Y771">
        <v>4.5244640677370189E-3</v>
      </c>
    </row>
    <row r="772" spans="1:25" x14ac:dyDescent="0.25">
      <c r="A772" s="1098"/>
      <c r="B772" s="1457">
        <v>522</v>
      </c>
      <c r="C772" s="1102">
        <v>1.0062673539748346</v>
      </c>
      <c r="D772" s="1102">
        <v>1.0056741447615472</v>
      </c>
      <c r="E772" s="1102">
        <v>0.98396722592167307</v>
      </c>
      <c r="F772" s="1102">
        <v>1.0203538910430878</v>
      </c>
      <c r="G772" s="1102">
        <v>0.98998617269400047</v>
      </c>
      <c r="H772" s="1102">
        <v>1.0176645317808231</v>
      </c>
      <c r="I772" s="1102">
        <v>1.0119733477780324</v>
      </c>
      <c r="K772">
        <v>1.578196207909135</v>
      </c>
      <c r="L772">
        <v>0</v>
      </c>
      <c r="M772">
        <v>1.629288376444261E-3</v>
      </c>
      <c r="N772">
        <v>0.14283416028627735</v>
      </c>
      <c r="O772">
        <v>0.12226731753247953</v>
      </c>
      <c r="P772">
        <v>1.5761289288864909E-2</v>
      </c>
      <c r="Q772">
        <v>8.7642461740175103E-4</v>
      </c>
      <c r="R772">
        <v>1.6256526415590205E-3</v>
      </c>
      <c r="S772">
        <v>0.12132833702405711</v>
      </c>
      <c r="T772">
        <v>0.84313076239885631</v>
      </c>
      <c r="U772">
        <v>0</v>
      </c>
      <c r="V772">
        <v>0.20549217775172898</v>
      </c>
      <c r="W772">
        <v>9.4736479292508169E-2</v>
      </c>
      <c r="X772">
        <v>2.7348404857773029E-2</v>
      </c>
      <c r="Y772">
        <v>4.4244905940743892E-3</v>
      </c>
    </row>
    <row r="773" spans="1:25" x14ac:dyDescent="0.25">
      <c r="A773" s="1098"/>
      <c r="B773" s="1457">
        <v>523</v>
      </c>
      <c r="C773" s="1102">
        <v>0.95453790122771831</v>
      </c>
      <c r="D773" s="1102">
        <v>1.0299654060029213</v>
      </c>
      <c r="E773" s="1102">
        <v>0.95174955361874924</v>
      </c>
      <c r="F773" s="1102">
        <v>0.96806288426026899</v>
      </c>
      <c r="G773" s="1102">
        <v>1.0120066362361884</v>
      </c>
      <c r="H773" s="1102">
        <v>0.98898240220629763</v>
      </c>
      <c r="I773" s="1102">
        <v>1.0059795062333088</v>
      </c>
      <c r="K773">
        <v>1.5309666532829838</v>
      </c>
      <c r="L773">
        <v>0</v>
      </c>
      <c r="M773">
        <v>1.7462283243339235E-3</v>
      </c>
      <c r="N773">
        <v>0.13884247162696595</v>
      </c>
      <c r="O773">
        <v>0.12033207503849613</v>
      </c>
      <c r="P773">
        <v>1.4874590151502921E-2</v>
      </c>
      <c r="Q773">
        <v>8.8456504925769029E-4</v>
      </c>
      <c r="R773">
        <v>1.7421709800855595E-3</v>
      </c>
      <c r="S773">
        <v>0.12229000908321133</v>
      </c>
      <c r="T773">
        <v>0.80201329462746929</v>
      </c>
      <c r="U773">
        <v>0</v>
      </c>
      <c r="V773">
        <v>0.2075014496021019</v>
      </c>
      <c r="W773">
        <v>9.3915711071387811E-2</v>
      </c>
      <c r="X773">
        <v>2.5574929275554808E-2</v>
      </c>
      <c r="Y773">
        <v>4.7416151012836562E-3</v>
      </c>
    </row>
    <row r="774" spans="1:25" x14ac:dyDescent="0.25">
      <c r="A774" s="1098"/>
      <c r="B774" s="1457">
        <v>524</v>
      </c>
      <c r="C774" s="1102">
        <v>0.980535686561954</v>
      </c>
      <c r="D774" s="1102">
        <v>0.98927138822222005</v>
      </c>
      <c r="E774" s="1102">
        <v>0.98191891374528839</v>
      </c>
      <c r="F774" s="1102">
        <v>1.0051569476205635</v>
      </c>
      <c r="G774" s="1102">
        <v>1.0027415542989957</v>
      </c>
      <c r="H774" s="1102">
        <v>0.99353066231740961</v>
      </c>
      <c r="I774" s="1102">
        <v>0.99459356885880668</v>
      </c>
      <c r="K774">
        <v>1.5708946767141214</v>
      </c>
      <c r="L774">
        <v>0</v>
      </c>
      <c r="M774">
        <v>1.6496494507641441E-3</v>
      </c>
      <c r="N774">
        <v>0.14371792742866854</v>
      </c>
      <c r="O774">
        <v>0.12328141097557337</v>
      </c>
      <c r="P774">
        <v>1.5603913915875062E-2</v>
      </c>
      <c r="Q774">
        <v>9.034217263655034E-4</v>
      </c>
      <c r="R774">
        <v>1.6458777326748988E-3</v>
      </c>
      <c r="S774">
        <v>0.12137603256883693</v>
      </c>
      <c r="T774">
        <v>0.83071039246461986</v>
      </c>
      <c r="U774">
        <v>0</v>
      </c>
      <c r="V774">
        <v>0.20797713263658668</v>
      </c>
      <c r="W774">
        <v>9.5440343332450106E-2</v>
      </c>
      <c r="X774">
        <v>2.7408336758341569E-2</v>
      </c>
      <c r="Y774">
        <v>4.4795366248923142E-3</v>
      </c>
    </row>
    <row r="775" spans="1:25" x14ac:dyDescent="0.25">
      <c r="A775" s="1098"/>
      <c r="B775" s="1457">
        <v>525</v>
      </c>
      <c r="C775" s="1102">
        <v>0.9994411638052122</v>
      </c>
      <c r="D775" s="1102">
        <v>0.97520774115222253</v>
      </c>
      <c r="E775" s="1102">
        <v>1.0045812944259296</v>
      </c>
      <c r="F775" s="1102">
        <v>0.97495881063422252</v>
      </c>
      <c r="G775" s="1102">
        <v>1.0349791752531989</v>
      </c>
      <c r="H775" s="1102">
        <v>0.95956219415465305</v>
      </c>
      <c r="I775" s="1102">
        <v>0.98348414271051554</v>
      </c>
      <c r="K775">
        <v>1.5277486520801822</v>
      </c>
      <c r="L775">
        <v>0</v>
      </c>
      <c r="M775">
        <v>1.5020600792207918E-3</v>
      </c>
      <c r="N775">
        <v>0.14012730997935924</v>
      </c>
      <c r="O775">
        <v>0.12071095702555287</v>
      </c>
      <c r="P775">
        <v>1.541979935231186E-2</v>
      </c>
      <c r="Q775">
        <v>9.1269422013653511E-4</v>
      </c>
      <c r="R775">
        <v>1.4985091774614592E-3</v>
      </c>
      <c r="S775">
        <v>0.11604405756723082</v>
      </c>
      <c r="T775">
        <v>0.80428980109743753</v>
      </c>
      <c r="U775">
        <v>0</v>
      </c>
      <c r="V775">
        <v>0.20668946515065872</v>
      </c>
      <c r="W775">
        <v>9.180425779868201E-2</v>
      </c>
      <c r="X775">
        <v>2.7675412792940134E-2</v>
      </c>
      <c r="Y775">
        <v>4.0784479976325042E-3</v>
      </c>
    </row>
    <row r="776" spans="1:25" x14ac:dyDescent="0.25">
      <c r="A776" s="1098"/>
      <c r="B776" s="1457">
        <v>526</v>
      </c>
      <c r="C776" s="1102">
        <v>1.0166127627117203</v>
      </c>
      <c r="D776" s="1102">
        <v>1.0070919844628863</v>
      </c>
      <c r="E776" s="1102">
        <v>0.98052291627962229</v>
      </c>
      <c r="F776" s="1102">
        <v>0.98672642921215792</v>
      </c>
      <c r="G776" s="1102">
        <v>0.97880384084625194</v>
      </c>
      <c r="H776" s="1102">
        <v>1.0050990220888703</v>
      </c>
      <c r="I776" s="1102">
        <v>0.99099114123732446</v>
      </c>
      <c r="K776">
        <v>1.5317089031142352</v>
      </c>
      <c r="L776">
        <v>0</v>
      </c>
      <c r="M776">
        <v>1.6000480017621605E-3</v>
      </c>
      <c r="N776">
        <v>0.13881226432696628</v>
      </c>
      <c r="O776">
        <v>0.11935084698299468</v>
      </c>
      <c r="P776">
        <v>1.5241297334198871E-2</v>
      </c>
      <c r="Q776">
        <v>8.6389702153869853E-4</v>
      </c>
      <c r="R776">
        <v>1.5964255760831452E-3</v>
      </c>
      <c r="S776">
        <v>0.1163915587322345</v>
      </c>
      <c r="T776">
        <v>0.81557028636528373</v>
      </c>
      <c r="U776">
        <v>0</v>
      </c>
      <c r="V776">
        <v>0.20234901393997762</v>
      </c>
      <c r="W776">
        <v>9.2260247287530073E-2</v>
      </c>
      <c r="X776">
        <v>2.65281693926381E-2</v>
      </c>
      <c r="Y776">
        <v>4.3449441565486021E-3</v>
      </c>
    </row>
    <row r="777" spans="1:25" x14ac:dyDescent="0.25">
      <c r="A777" s="1098"/>
      <c r="B777" s="1457">
        <v>527</v>
      </c>
      <c r="C777" s="1102">
        <v>0.99755651185947691</v>
      </c>
      <c r="D777" s="1102">
        <v>0.99723879737979304</v>
      </c>
      <c r="E777" s="1102">
        <v>1.0102541859869096</v>
      </c>
      <c r="F777" s="1102">
        <v>1.0038273276960157</v>
      </c>
      <c r="G777" s="1102">
        <v>0.9992360595389953</v>
      </c>
      <c r="H777" s="1102">
        <v>0.99391461847805329</v>
      </c>
      <c r="I777" s="1102">
        <v>1.0363511993173153</v>
      </c>
      <c r="K777">
        <v>1.5679724796977732</v>
      </c>
      <c r="L777">
        <v>0</v>
      </c>
      <c r="M777">
        <v>1.5244550174678918E-3</v>
      </c>
      <c r="N777">
        <v>0.14468498312264902</v>
      </c>
      <c r="O777">
        <v>0.12185948336867651</v>
      </c>
      <c r="P777">
        <v>1.5906614962636321E-2</v>
      </c>
      <c r="Q777">
        <v>9.116088500442822E-4</v>
      </c>
      <c r="R777">
        <v>1.5209703508325513E-3</v>
      </c>
      <c r="S777">
        <v>0.12390511072261637</v>
      </c>
      <c r="T777">
        <v>0.82773025159138325</v>
      </c>
      <c r="U777">
        <v>0</v>
      </c>
      <c r="V777">
        <v>0.20608861038679535</v>
      </c>
      <c r="W777">
        <v>9.4473008891711396E-2</v>
      </c>
      <c r="X777">
        <v>2.8276712560668295E-2</v>
      </c>
      <c r="Y777">
        <v>4.1395799072248031E-3</v>
      </c>
    </row>
    <row r="778" spans="1:25" x14ac:dyDescent="0.25">
      <c r="A778" s="1098"/>
      <c r="B778" s="1457">
        <v>528</v>
      </c>
      <c r="C778" s="1102">
        <v>1.003269597752896</v>
      </c>
      <c r="D778" s="1102">
        <v>0.97530092345887553</v>
      </c>
      <c r="E778" s="1102">
        <v>1.0242615770240999</v>
      </c>
      <c r="F778" s="1102">
        <v>0.97800340335667257</v>
      </c>
      <c r="G778" s="1102">
        <v>0.98931379190289559</v>
      </c>
      <c r="H778" s="1102">
        <v>1.0128480255402312</v>
      </c>
      <c r="I778" s="1102">
        <v>1.0310682113033225</v>
      </c>
      <c r="K778">
        <v>1.553222550408824</v>
      </c>
      <c r="L778">
        <v>0</v>
      </c>
      <c r="M778">
        <v>1.5168499670774817E-3</v>
      </c>
      <c r="N778">
        <v>0.15018545871484676</v>
      </c>
      <c r="O778">
        <v>0.12067824264539863</v>
      </c>
      <c r="P778">
        <v>1.5765796848076264E-2</v>
      </c>
      <c r="Q778">
        <v>9.2777413683135942E-4</v>
      </c>
      <c r="R778">
        <v>1.5134545494111069E-3</v>
      </c>
      <c r="S778">
        <v>0.12566734154734002</v>
      </c>
      <c r="T778">
        <v>0.80553980002273629</v>
      </c>
      <c r="U778">
        <v>0</v>
      </c>
      <c r="V778">
        <v>0.20450421762502582</v>
      </c>
      <c r="W778">
        <v>9.7262492689207211E-2</v>
      </c>
      <c r="X778">
        <v>2.8575697223690286E-2</v>
      </c>
      <c r="Y778">
        <v>4.1191243733389041E-3</v>
      </c>
    </row>
    <row r="779" spans="1:25" x14ac:dyDescent="0.25">
      <c r="A779" s="1098"/>
      <c r="B779" s="1457">
        <v>529</v>
      </c>
      <c r="C779" s="1102">
        <v>1.007255761552829</v>
      </c>
      <c r="D779" s="1102">
        <v>0.97902481874677505</v>
      </c>
      <c r="E779" s="1102">
        <v>1.0151779356027566</v>
      </c>
      <c r="F779" s="1102">
        <v>0.97821492371112473</v>
      </c>
      <c r="G779" s="1102">
        <v>1.0293766420277062</v>
      </c>
      <c r="H779" s="1102">
        <v>0.96367762926042921</v>
      </c>
      <c r="I779" s="1102">
        <v>0.98191634120160864</v>
      </c>
      <c r="K779">
        <v>1.5285948229542432</v>
      </c>
      <c r="L779">
        <v>0</v>
      </c>
      <c r="M779">
        <v>1.4622378197856542E-3</v>
      </c>
      <c r="N779">
        <v>0.1408483784293702</v>
      </c>
      <c r="O779">
        <v>0.12034732936411499</v>
      </c>
      <c r="P779">
        <v>1.5544261429716081E-2</v>
      </c>
      <c r="Q779">
        <v>9.1413551722160089E-4</v>
      </c>
      <c r="R779">
        <v>1.4587965645850407E-3</v>
      </c>
      <c r="S779">
        <v>0.11509814084675209</v>
      </c>
      <c r="T779">
        <v>0.80629494342077201</v>
      </c>
      <c r="U779">
        <v>0</v>
      </c>
      <c r="V779">
        <v>0.20585462713072888</v>
      </c>
      <c r="W779">
        <v>9.1701807599671614E-2</v>
      </c>
      <c r="X779">
        <v>2.8024277114454196E-2</v>
      </c>
      <c r="Y779">
        <v>3.970363356642209E-3</v>
      </c>
    </row>
    <row r="780" spans="1:25" x14ac:dyDescent="0.25">
      <c r="A780" s="1098"/>
      <c r="B780" s="1457">
        <v>530</v>
      </c>
      <c r="C780" s="1102">
        <v>0.95979470940750156</v>
      </c>
      <c r="D780" s="1102">
        <v>1.0016766097511856</v>
      </c>
      <c r="E780" s="1102">
        <v>0.97303691905288503</v>
      </c>
      <c r="F780" s="1102">
        <v>1.0022845023991458</v>
      </c>
      <c r="G780" s="1102">
        <v>1.011572369523815</v>
      </c>
      <c r="H780" s="1102">
        <v>0.99978576255112039</v>
      </c>
      <c r="I780" s="1102">
        <v>1.0200144586960975</v>
      </c>
      <c r="K780">
        <v>1.5792700075684933</v>
      </c>
      <c r="L780">
        <v>0</v>
      </c>
      <c r="M780">
        <v>1.7120922864124171E-3</v>
      </c>
      <c r="N780">
        <v>0.14520296470701402</v>
      </c>
      <c r="O780">
        <v>0.12365895164710254</v>
      </c>
      <c r="P780">
        <v>1.5567256964978437E-2</v>
      </c>
      <c r="Q780">
        <v>9.0983564221968835E-4</v>
      </c>
      <c r="R780">
        <v>1.7081871833615387E-3</v>
      </c>
      <c r="S780">
        <v>0.12658211827009538</v>
      </c>
      <c r="T780">
        <v>0.82893061053484085</v>
      </c>
      <c r="U780">
        <v>0</v>
      </c>
      <c r="V780">
        <v>0.20967831193264158</v>
      </c>
      <c r="W780">
        <v>9.6946110164079252E-2</v>
      </c>
      <c r="X780">
        <v>2.7148630399216472E-2</v>
      </c>
      <c r="Y780">
        <v>4.649122409356451E-3</v>
      </c>
    </row>
    <row r="781" spans="1:25" x14ac:dyDescent="0.25">
      <c r="A781" s="1098"/>
      <c r="B781" s="1457">
        <v>531</v>
      </c>
      <c r="C781" s="1102">
        <v>1.0161893433927178</v>
      </c>
      <c r="D781" s="1102">
        <v>0.97093920956503366</v>
      </c>
      <c r="E781" s="1102">
        <v>1.0286818724102282</v>
      </c>
      <c r="F781" s="1102">
        <v>1.0190601131676411</v>
      </c>
      <c r="G781" s="1102">
        <v>1.0334014154134379</v>
      </c>
      <c r="H781" s="1102">
        <v>0.99225079065924338</v>
      </c>
      <c r="I781" s="1102">
        <v>1.0220155941741607</v>
      </c>
      <c r="K781">
        <v>1.584006156539111</v>
      </c>
      <c r="L781">
        <v>0</v>
      </c>
      <c r="M781">
        <v>1.4634559276552098E-3</v>
      </c>
      <c r="N781">
        <v>0.14683789970179348</v>
      </c>
      <c r="O781">
        <v>0.12310431823185675</v>
      </c>
      <c r="P781">
        <v>1.6276667878763758E-2</v>
      </c>
      <c r="Q781">
        <v>9.2177836001800385E-4</v>
      </c>
      <c r="R781">
        <v>1.4601284380464522E-3</v>
      </c>
      <c r="S781">
        <v>0.12198649110989143</v>
      </c>
      <c r="T781">
        <v>0.83906295521776497</v>
      </c>
      <c r="U781">
        <v>0</v>
      </c>
      <c r="V781">
        <v>0.20770134063395529</v>
      </c>
      <c r="W781">
        <v>9.4850197219720961E-2</v>
      </c>
      <c r="X781">
        <v>2.9293847397803559E-2</v>
      </c>
      <c r="Y781">
        <v>3.9739882771522017E-3</v>
      </c>
    </row>
    <row r="782" spans="1:25" x14ac:dyDescent="0.25">
      <c r="A782" s="1098"/>
      <c r="B782" s="1457">
        <v>532</v>
      </c>
      <c r="C782" s="1102">
        <v>1.0296369612569718</v>
      </c>
      <c r="D782" s="1102">
        <v>0.99290305472708618</v>
      </c>
      <c r="E782" s="1102">
        <v>1.0157543010865326</v>
      </c>
      <c r="F782" s="1102">
        <v>0.99814671928872123</v>
      </c>
      <c r="G782" s="1102">
        <v>1.0096168209855694</v>
      </c>
      <c r="H782" s="1102">
        <v>0.99279111776262507</v>
      </c>
      <c r="I782" s="1102">
        <v>0.97380825135172622</v>
      </c>
      <c r="K782">
        <v>1.5416190893597208</v>
      </c>
      <c r="L782">
        <v>0</v>
      </c>
      <c r="M782">
        <v>1.4648765601620397E-3</v>
      </c>
      <c r="N782">
        <v>0.14135824348728915</v>
      </c>
      <c r="O782">
        <v>0.12002367042790785</v>
      </c>
      <c r="P782">
        <v>1.5721208395735469E-2</v>
      </c>
      <c r="Q782">
        <v>8.8977123360664122E-4</v>
      </c>
      <c r="R782">
        <v>1.4615330180298991E-3</v>
      </c>
      <c r="S782">
        <v>0.1131600043548127</v>
      </c>
      <c r="T782">
        <v>0.8226860620077816</v>
      </c>
      <c r="U782">
        <v>0</v>
      </c>
      <c r="V782">
        <v>0.2037579909521039</v>
      </c>
      <c r="W782">
        <v>9.2002624386192777E-2</v>
      </c>
      <c r="X782">
        <v>2.8045046575574356E-2</v>
      </c>
      <c r="Y782">
        <v>3.9778110808474758E-3</v>
      </c>
    </row>
    <row r="783" spans="1:25" x14ac:dyDescent="0.25">
      <c r="A783" s="1098"/>
      <c r="B783" s="1457">
        <v>533</v>
      </c>
      <c r="C783" s="1102">
        <v>0.98687316224416077</v>
      </c>
      <c r="D783" s="1102">
        <v>1.0182470806977735</v>
      </c>
      <c r="E783" s="1102">
        <v>0.99053960363097704</v>
      </c>
      <c r="F783" s="1102">
        <v>1.003565887644748</v>
      </c>
      <c r="G783" s="1102">
        <v>1.0028470172648154</v>
      </c>
      <c r="H783" s="1102">
        <v>0.96623904167414387</v>
      </c>
      <c r="I783" s="1102">
        <v>1.0230586447906986</v>
      </c>
      <c r="K783">
        <v>1.5535324262873156</v>
      </c>
      <c r="L783">
        <v>0</v>
      </c>
      <c r="M783">
        <v>1.5410375351465049E-3</v>
      </c>
      <c r="N783">
        <v>0.13779151863650099</v>
      </c>
      <c r="O783">
        <v>0.12153284605464461</v>
      </c>
      <c r="P783">
        <v>1.5638304241843749E-2</v>
      </c>
      <c r="Q783">
        <v>8.9533973869324046E-4</v>
      </c>
      <c r="R783">
        <v>1.5373985782140215E-3</v>
      </c>
      <c r="S783">
        <v>0.11975873941179491</v>
      </c>
      <c r="T783">
        <v>0.8288205014783484</v>
      </c>
      <c r="U783">
        <v>0</v>
      </c>
      <c r="V783">
        <v>0.20649128565811958</v>
      </c>
      <c r="W783">
        <v>9.1031980464405512E-2</v>
      </c>
      <c r="X783">
        <v>2.7391257433300977E-2</v>
      </c>
      <c r="Y783">
        <v>4.1842921265934649E-3</v>
      </c>
    </row>
    <row r="784" spans="1:25" x14ac:dyDescent="0.25">
      <c r="A784" s="1098"/>
      <c r="B784" s="1457">
        <v>534</v>
      </c>
      <c r="C784" s="1102">
        <v>0.97351389724580439</v>
      </c>
      <c r="D784" s="1102">
        <v>1.0022667847327029</v>
      </c>
      <c r="E784" s="1102">
        <v>0.96562685948633786</v>
      </c>
      <c r="F784" s="1102">
        <v>0.98811060770636872</v>
      </c>
      <c r="G784" s="1102">
        <v>1.0109312763788838</v>
      </c>
      <c r="H784" s="1102">
        <v>1.0024222098321147</v>
      </c>
      <c r="I784" s="1102">
        <v>0.99948254307878126</v>
      </c>
      <c r="K784">
        <v>1.5549534602136075</v>
      </c>
      <c r="L784">
        <v>0</v>
      </c>
      <c r="M784">
        <v>1.717848627739996E-3</v>
      </c>
      <c r="N784">
        <v>0.14245936496736614</v>
      </c>
      <c r="O784">
        <v>0.12190669671074464</v>
      </c>
      <c r="P784">
        <v>1.5247663343496386E-2</v>
      </c>
      <c r="Q784">
        <v>8.8982587675960297E-4</v>
      </c>
      <c r="R784">
        <v>1.7139401342186951E-3</v>
      </c>
      <c r="S784">
        <v>0.12243844549693222</v>
      </c>
      <c r="T784">
        <v>0.81769881071139483</v>
      </c>
      <c r="U784">
        <v>0</v>
      </c>
      <c r="V784">
        <v>0.20764487844495319</v>
      </c>
      <c r="W784">
        <v>9.5544484947329811E-2</v>
      </c>
      <c r="X784">
        <v>2.6462418163023034E-2</v>
      </c>
      <c r="Y784">
        <v>4.6647800451298915E-3</v>
      </c>
    </row>
    <row r="785" spans="1:25" x14ac:dyDescent="0.25">
      <c r="A785" s="1098"/>
      <c r="B785" s="1457">
        <v>535</v>
      </c>
      <c r="C785" s="1102">
        <v>0.9877762438563702</v>
      </c>
      <c r="D785" s="1102">
        <v>1.0109925311712085</v>
      </c>
      <c r="E785" s="1102">
        <v>0.98473878776313828</v>
      </c>
      <c r="F785" s="1102">
        <v>0.99814921333450279</v>
      </c>
      <c r="G785" s="1102">
        <v>0.98940168045312449</v>
      </c>
      <c r="H785" s="1102">
        <v>1.0321412132584526</v>
      </c>
      <c r="I785" s="1102">
        <v>1.0043741140269107</v>
      </c>
      <c r="K785">
        <v>1.567389613433817</v>
      </c>
      <c r="L785">
        <v>0</v>
      </c>
      <c r="M785">
        <v>1.670675045552218E-3</v>
      </c>
      <c r="N785">
        <v>0.1468079384812005</v>
      </c>
      <c r="O785">
        <v>0.12143545375096082</v>
      </c>
      <c r="P785">
        <v>1.5551024147255585E-2</v>
      </c>
      <c r="Q785">
        <v>8.9166853396986765E-4</v>
      </c>
      <c r="R785">
        <v>1.6669849519356816E-3</v>
      </c>
      <c r="S785">
        <v>0.12320107334902602</v>
      </c>
      <c r="T785">
        <v>0.82473153998036497</v>
      </c>
      <c r="U785">
        <v>0</v>
      </c>
      <c r="V785">
        <v>0.20572876701839718</v>
      </c>
      <c r="W785">
        <v>9.7326937862069501E-2</v>
      </c>
      <c r="X785">
        <v>2.7181916886463011E-2</v>
      </c>
      <c r="Y785">
        <v>4.536983517727208E-3</v>
      </c>
    </row>
    <row r="786" spans="1:25" x14ac:dyDescent="0.25">
      <c r="A786" s="1098"/>
      <c r="B786" s="1457">
        <v>536</v>
      </c>
      <c r="C786" s="1102">
        <v>1.0157177974106113</v>
      </c>
      <c r="D786" s="1102">
        <v>1.0095701175638885</v>
      </c>
      <c r="E786" s="1102">
        <v>0.98175748952678932</v>
      </c>
      <c r="F786" s="1102">
        <v>0.99444918166297291</v>
      </c>
      <c r="G786" s="1102">
        <v>0.99873898050179799</v>
      </c>
      <c r="H786" s="1102">
        <v>1.0295936432217605</v>
      </c>
      <c r="I786" s="1102">
        <v>0.97346598127883965</v>
      </c>
      <c r="K786">
        <v>1.5457986096257688</v>
      </c>
      <c r="L786">
        <v>0</v>
      </c>
      <c r="M786">
        <v>1.6348828757626801E-3</v>
      </c>
      <c r="N786">
        <v>0.14237284164965963</v>
      </c>
      <c r="O786">
        <v>0.11982582781459247</v>
      </c>
      <c r="P786">
        <v>1.5354723879099962E-2</v>
      </c>
      <c r="Q786">
        <v>8.6492622041262632E-4</v>
      </c>
      <c r="R786">
        <v>1.6312700571531876E-3</v>
      </c>
      <c r="S786">
        <v>0.11616016266283005</v>
      </c>
      <c r="T786">
        <v>0.82187166719806626</v>
      </c>
      <c r="U786">
        <v>0</v>
      </c>
      <c r="V786">
        <v>0.2036511215565297</v>
      </c>
      <c r="W786">
        <v>9.4556300138737961E-2</v>
      </c>
      <c r="X786">
        <v>2.6704871976909409E-2</v>
      </c>
      <c r="Y786">
        <v>4.4397793475411586E-3</v>
      </c>
    </row>
    <row r="787" spans="1:25" x14ac:dyDescent="0.25">
      <c r="A787" s="1098"/>
      <c r="B787" s="1457">
        <v>537</v>
      </c>
      <c r="C787" s="1102">
        <v>1.0024231916163773</v>
      </c>
      <c r="D787" s="1102">
        <v>0.99497179123670854</v>
      </c>
      <c r="E787" s="1102">
        <v>0.97920227392379022</v>
      </c>
      <c r="F787" s="1102">
        <v>0.9838229248629482</v>
      </c>
      <c r="G787" s="1102">
        <v>1.007638274434512</v>
      </c>
      <c r="H787" s="1102">
        <v>1.0191940839539242</v>
      </c>
      <c r="I787" s="1102">
        <v>1.0205839183760805</v>
      </c>
      <c r="K787">
        <v>1.5483172710107913</v>
      </c>
      <c r="L787">
        <v>0</v>
      </c>
      <c r="M787">
        <v>1.6592089253938374E-3</v>
      </c>
      <c r="N787">
        <v>0.14337547910172127</v>
      </c>
      <c r="O787">
        <v>0.12038955312248284</v>
      </c>
      <c r="P787">
        <v>1.532618546282607E-2</v>
      </c>
      <c r="Q787">
        <v>8.7916155458437392E-4</v>
      </c>
      <c r="R787">
        <v>1.6555072934724365E-3</v>
      </c>
      <c r="S787">
        <v>0.12347924040599138</v>
      </c>
      <c r="T787">
        <v>0.8132570347218574</v>
      </c>
      <c r="U787">
        <v>0</v>
      </c>
      <c r="V787">
        <v>0.20502919608281342</v>
      </c>
      <c r="W787">
        <v>9.5369173111921723E-2</v>
      </c>
      <c r="X787">
        <v>2.6710203963515772E-2</v>
      </c>
      <c r="Y787">
        <v>4.5057451149993497E-3</v>
      </c>
    </row>
    <row r="788" spans="1:25" x14ac:dyDescent="0.25">
      <c r="A788" s="1098"/>
      <c r="B788" s="1457">
        <v>538</v>
      </c>
      <c r="C788" s="1102">
        <v>0.97087448038669877</v>
      </c>
      <c r="D788" s="1102">
        <v>1.0286547258538059</v>
      </c>
      <c r="E788" s="1102">
        <v>0.98252125159069958</v>
      </c>
      <c r="F788" s="1102">
        <v>1.009148337259907</v>
      </c>
      <c r="G788" s="1102">
        <v>0.97222627070279244</v>
      </c>
      <c r="H788" s="1102">
        <v>1.0079797468240475</v>
      </c>
      <c r="I788" s="1102">
        <v>0.98358387826844473</v>
      </c>
      <c r="K788">
        <v>1.5703070799151408</v>
      </c>
      <c r="L788">
        <v>0</v>
      </c>
      <c r="M788">
        <v>1.6506654538110065E-3</v>
      </c>
      <c r="N788">
        <v>0.1440712123557692</v>
      </c>
      <c r="O788">
        <v>0.12234122385820033</v>
      </c>
      <c r="P788">
        <v>1.5610098078926478E-2</v>
      </c>
      <c r="Q788">
        <v>8.9884123129174449E-4</v>
      </c>
      <c r="R788">
        <v>1.6469198937549387E-3</v>
      </c>
      <c r="S788">
        <v>0.11954761111393579</v>
      </c>
      <c r="T788">
        <v>0.83396859485131536</v>
      </c>
      <c r="U788">
        <v>0</v>
      </c>
      <c r="V788">
        <v>0.20648040135461732</v>
      </c>
      <c r="W788">
        <v>9.56402230852966E-2</v>
      </c>
      <c r="X788">
        <v>2.7270246502040144E-2</v>
      </c>
      <c r="Y788">
        <v>4.4823730438038759E-3</v>
      </c>
    </row>
    <row r="789" spans="1:25" x14ac:dyDescent="0.25">
      <c r="A789" s="1098"/>
      <c r="B789" s="1457">
        <v>539</v>
      </c>
      <c r="C789" s="1102">
        <v>0.97672562869235013</v>
      </c>
      <c r="D789" s="1102">
        <v>1.0233721116871426</v>
      </c>
      <c r="E789" s="1102">
        <v>0.99729359475352375</v>
      </c>
      <c r="F789" s="1102">
        <v>0.98897297731925615</v>
      </c>
      <c r="G789" s="1102">
        <v>0.96587222740918055</v>
      </c>
      <c r="H789" s="1102">
        <v>0.99737911340546548</v>
      </c>
      <c r="I789" s="1102">
        <v>0.97575583656312759</v>
      </c>
      <c r="K789">
        <v>1.5461600273676805</v>
      </c>
      <c r="L789">
        <v>0</v>
      </c>
      <c r="M789">
        <v>1.5774521212563505E-3</v>
      </c>
      <c r="N789">
        <v>0.14396625786012018</v>
      </c>
      <c r="O789">
        <v>0.12079745668472816</v>
      </c>
      <c r="P789">
        <v>1.549229820099478E-2</v>
      </c>
      <c r="Q789">
        <v>9.0919180956589821E-4</v>
      </c>
      <c r="R789">
        <v>1.5738337353855057E-3</v>
      </c>
      <c r="S789">
        <v>0.11736270863883844</v>
      </c>
      <c r="T789">
        <v>0.81632631997569216</v>
      </c>
      <c r="U789">
        <v>0</v>
      </c>
      <c r="V789">
        <v>0.20480906530837589</v>
      </c>
      <c r="W789">
        <v>9.4728459326830286E-2</v>
      </c>
      <c r="X789">
        <v>2.7488431334838324E-2</v>
      </c>
      <c r="Y789">
        <v>4.2834566135679106E-3</v>
      </c>
    </row>
    <row r="790" spans="1:25" x14ac:dyDescent="0.25">
      <c r="A790" s="1098"/>
      <c r="B790" s="1457">
        <v>540</v>
      </c>
      <c r="C790" s="1102">
        <v>1.0005260185090539</v>
      </c>
      <c r="D790" s="1102">
        <v>0.99620566204217242</v>
      </c>
      <c r="E790" s="1102">
        <v>0.99374354978054236</v>
      </c>
      <c r="F790" s="1102">
        <v>1.0399829974040402</v>
      </c>
      <c r="G790" s="1102">
        <v>1.0186864502095536</v>
      </c>
      <c r="H790" s="1102">
        <v>0.99802171169535825</v>
      </c>
      <c r="I790" s="1102">
        <v>0.97489704964801049</v>
      </c>
      <c r="K790">
        <v>1.5952643067236241</v>
      </c>
      <c r="L790">
        <v>0</v>
      </c>
      <c r="M790">
        <v>1.5849052075742008E-3</v>
      </c>
      <c r="N790">
        <v>0.14310634169854733</v>
      </c>
      <c r="O790">
        <v>0.12431823912557297</v>
      </c>
      <c r="P790">
        <v>1.6069219664210026E-2</v>
      </c>
      <c r="Q790">
        <v>8.9386350729571417E-4</v>
      </c>
      <c r="R790">
        <v>1.581308304241553E-3</v>
      </c>
      <c r="S790">
        <v>0.11679430289705049</v>
      </c>
      <c r="T790">
        <v>0.85867569338777683</v>
      </c>
      <c r="U790">
        <v>0</v>
      </c>
      <c r="V790">
        <v>0.2085833596617781</v>
      </c>
      <c r="W790">
        <v>9.4362236985533407E-2</v>
      </c>
      <c r="X790">
        <v>2.816084677318785E-2</v>
      </c>
      <c r="Y790">
        <v>4.3037999260031115E-3</v>
      </c>
    </row>
    <row r="791" spans="1:25" x14ac:dyDescent="0.25">
      <c r="A791" s="1098"/>
      <c r="B791" s="1457">
        <v>541</v>
      </c>
      <c r="C791" s="1102">
        <v>0.95403982290781864</v>
      </c>
      <c r="D791" s="1102">
        <v>0.9833559190823844</v>
      </c>
      <c r="E791" s="1102">
        <v>1.006582340259828</v>
      </c>
      <c r="F791" s="1102">
        <v>0.98213260804750901</v>
      </c>
      <c r="G791" s="1102">
        <v>0.98504769179776552</v>
      </c>
      <c r="H791" s="1102">
        <v>0.9841850301230628</v>
      </c>
      <c r="I791" s="1102">
        <v>0.98197971757320601</v>
      </c>
      <c r="K791">
        <v>1.5613990361562553</v>
      </c>
      <c r="L791">
        <v>0</v>
      </c>
      <c r="M791">
        <v>1.5949323823757646E-3</v>
      </c>
      <c r="N791">
        <v>0.14970062666406403</v>
      </c>
      <c r="O791">
        <v>0.12325191362706236</v>
      </c>
      <c r="P791">
        <v>1.5637280986128647E-2</v>
      </c>
      <c r="Q791">
        <v>9.5492430210181612E-4</v>
      </c>
      <c r="R791">
        <v>1.5912402290288101E-3</v>
      </c>
      <c r="S791">
        <v>0.12256674101897411</v>
      </c>
      <c r="T791">
        <v>0.81007842446658329</v>
      </c>
      <c r="U791">
        <v>0</v>
      </c>
      <c r="V791">
        <v>0.20857005897419348</v>
      </c>
      <c r="W791">
        <v>9.7960144123850498E-2</v>
      </c>
      <c r="X791">
        <v>2.835178279542741E-2</v>
      </c>
      <c r="Y791">
        <v>4.3308313512158995E-3</v>
      </c>
    </row>
    <row r="792" spans="1:25" x14ac:dyDescent="0.25">
      <c r="A792" s="1098"/>
      <c r="B792" s="1457">
        <v>542</v>
      </c>
      <c r="C792" s="1102">
        <v>1.0208216645702906</v>
      </c>
      <c r="D792" s="1102">
        <v>1.0047787674653996</v>
      </c>
      <c r="E792" s="1102">
        <v>1.0251437057092823</v>
      </c>
      <c r="F792" s="1102">
        <v>1.0233939761899649</v>
      </c>
      <c r="G792" s="1102">
        <v>1.0087050566636844</v>
      </c>
      <c r="H792" s="1102">
        <v>0.9971267077710716</v>
      </c>
      <c r="I792" s="1102">
        <v>1.0067384473501777</v>
      </c>
      <c r="K792">
        <v>1.5740704484593158</v>
      </c>
      <c r="L792">
        <v>0</v>
      </c>
      <c r="M792">
        <v>1.4472541316666162E-3</v>
      </c>
      <c r="N792">
        <v>0.143671228800301</v>
      </c>
      <c r="O792">
        <v>0.1216614515776154</v>
      </c>
      <c r="P792">
        <v>1.6194674610847726E-2</v>
      </c>
      <c r="Q792">
        <v>9.018396755840403E-4</v>
      </c>
      <c r="R792">
        <v>1.4439626565284887E-3</v>
      </c>
      <c r="S792">
        <v>0.11761369742112852</v>
      </c>
      <c r="T792">
        <v>0.84286720940828719</v>
      </c>
      <c r="U792">
        <v>0</v>
      </c>
      <c r="V792">
        <v>0.20539170786154298</v>
      </c>
      <c r="W792">
        <v>9.2995944030285244E-2</v>
      </c>
      <c r="X792">
        <v>2.884599619995273E-2</v>
      </c>
      <c r="Y792">
        <v>3.9299903489087504E-3</v>
      </c>
    </row>
    <row r="793" spans="1:25" x14ac:dyDescent="0.25">
      <c r="A793" s="1098"/>
      <c r="B793" s="1457">
        <v>543</v>
      </c>
      <c r="C793" s="1102">
        <v>0.99804160751249149</v>
      </c>
      <c r="D793" s="1102">
        <v>0.97401183561882676</v>
      </c>
      <c r="E793" s="1102">
        <v>0.96740007282711615</v>
      </c>
      <c r="F793" s="1102">
        <v>0.98594820559381147</v>
      </c>
      <c r="G793" s="1102">
        <v>1.0012401487053639</v>
      </c>
      <c r="H793" s="1102">
        <v>1.0000602788000128</v>
      </c>
      <c r="I793" s="1102">
        <v>0.98397920116565962</v>
      </c>
      <c r="K793">
        <v>1.5461173356584095</v>
      </c>
      <c r="L793">
        <v>0</v>
      </c>
      <c r="M793">
        <v>1.6955590688696998E-3</v>
      </c>
      <c r="N793">
        <v>0.14136939409856936</v>
      </c>
      <c r="O793">
        <v>0.12173005390789472</v>
      </c>
      <c r="P793">
        <v>1.5180603274045763E-2</v>
      </c>
      <c r="Q793">
        <v>8.79587521306892E-4</v>
      </c>
      <c r="R793">
        <v>1.6917168543368675E-3</v>
      </c>
      <c r="S793">
        <v>0.11954763051838059</v>
      </c>
      <c r="T793">
        <v>0.81579204101526293</v>
      </c>
      <c r="U793">
        <v>0</v>
      </c>
      <c r="V793">
        <v>0.20583933453178319</v>
      </c>
      <c r="W793">
        <v>9.471091002993294E-2</v>
      </c>
      <c r="X793">
        <v>2.6467327372572735E-2</v>
      </c>
      <c r="Y793">
        <v>4.6042956031937983E-3</v>
      </c>
    </row>
    <row r="794" spans="1:25" x14ac:dyDescent="0.25">
      <c r="A794" s="1098"/>
      <c r="B794" s="1457">
        <v>544</v>
      </c>
      <c r="C794" s="1102">
        <v>0.99208674652355788</v>
      </c>
      <c r="D794" s="1102">
        <v>0.95227645665959693</v>
      </c>
      <c r="E794" s="1102">
        <v>1.0089947521789568</v>
      </c>
      <c r="F794" s="1102">
        <v>1.0152217262552068</v>
      </c>
      <c r="G794" s="1102">
        <v>0.96972584402709761</v>
      </c>
      <c r="H794" s="1102">
        <v>1.0058506557339031</v>
      </c>
      <c r="I794" s="1102">
        <v>0.96442206062302971</v>
      </c>
      <c r="K794">
        <v>1.5894585247720083</v>
      </c>
      <c r="L794">
        <v>0</v>
      </c>
      <c r="M794">
        <v>1.5972450227344484E-3</v>
      </c>
      <c r="N794">
        <v>0.15102499502084463</v>
      </c>
      <c r="O794">
        <v>0.1250200905824489</v>
      </c>
      <c r="P794">
        <v>1.5986177280702819E-2</v>
      </c>
      <c r="Q794">
        <v>9.3249527732314371E-4</v>
      </c>
      <c r="R794">
        <v>1.593666532779527E-3</v>
      </c>
      <c r="S794">
        <v>0.12015952499418592</v>
      </c>
      <c r="T794">
        <v>0.83720978858461192</v>
      </c>
      <c r="U794">
        <v>0</v>
      </c>
      <c r="V794">
        <v>0.20723531975950021</v>
      </c>
      <c r="W794">
        <v>9.8686045705658976E-2</v>
      </c>
      <c r="X794">
        <v>2.8870231106492429E-2</v>
      </c>
      <c r="Y794">
        <v>4.3374349501945336E-3</v>
      </c>
    </row>
    <row r="795" spans="1:25" x14ac:dyDescent="0.25">
      <c r="A795" s="1098"/>
      <c r="B795" s="1457">
        <v>545</v>
      </c>
      <c r="C795" s="1102">
        <v>0.99157981062792833</v>
      </c>
      <c r="D795" s="1102">
        <v>1.0325780126300688</v>
      </c>
      <c r="E795" s="1102">
        <v>0.98361338514035623</v>
      </c>
      <c r="F795" s="1102">
        <v>1.0066504563777545</v>
      </c>
      <c r="G795" s="1102">
        <v>0.99247971661203982</v>
      </c>
      <c r="H795" s="1102">
        <v>1.0133867532082779</v>
      </c>
      <c r="I795" s="1102">
        <v>0.98121235052553635</v>
      </c>
      <c r="K795">
        <v>1.5589090626190796</v>
      </c>
      <c r="L795">
        <v>0</v>
      </c>
      <c r="M795">
        <v>1.6198422020948333E-3</v>
      </c>
      <c r="N795">
        <v>0.14185072842526236</v>
      </c>
      <c r="O795">
        <v>0.12090579926322985</v>
      </c>
      <c r="P795">
        <v>1.5544975309558817E-2</v>
      </c>
      <c r="Q795">
        <v>8.7973795256113209E-4</v>
      </c>
      <c r="R795">
        <v>1.6161886977313911E-3</v>
      </c>
      <c r="S795">
        <v>0.117024987986506</v>
      </c>
      <c r="T795">
        <v>0.83183114875983855</v>
      </c>
      <c r="U795">
        <v>0</v>
      </c>
      <c r="V795">
        <v>0.20534795904605177</v>
      </c>
      <c r="W795">
        <v>9.4104249886794611E-2</v>
      </c>
      <c r="X795">
        <v>2.7024396634875554E-2</v>
      </c>
      <c r="Y795">
        <v>4.3987328587638264E-3</v>
      </c>
    </row>
    <row r="796" spans="1:25" x14ac:dyDescent="0.25">
      <c r="A796" s="1098"/>
      <c r="B796" s="1457">
        <v>546</v>
      </c>
      <c r="C796" s="1102">
        <v>0.99478829921579215</v>
      </c>
      <c r="D796" s="1102">
        <v>1.0088285783889628</v>
      </c>
      <c r="E796" s="1102">
        <v>0.98841579954413861</v>
      </c>
      <c r="F796" s="1102">
        <v>0.99696691339850119</v>
      </c>
      <c r="G796" s="1102">
        <v>0.99374455027440933</v>
      </c>
      <c r="H796" s="1102">
        <v>1.0148850979453061</v>
      </c>
      <c r="I796" s="1102">
        <v>0.98275441453930545</v>
      </c>
      <c r="K796">
        <v>1.5558605865894204</v>
      </c>
      <c r="L796">
        <v>0</v>
      </c>
      <c r="M796">
        <v>1.6214495102366275E-3</v>
      </c>
      <c r="N796">
        <v>0.14407039901703017</v>
      </c>
      <c r="O796">
        <v>0.12107286604439509</v>
      </c>
      <c r="P796">
        <v>1.5509528355239407E-2</v>
      </c>
      <c r="Q796">
        <v>8.8955163520964566E-4</v>
      </c>
      <c r="R796">
        <v>1.6178100916473775E-3</v>
      </c>
      <c r="S796">
        <v>0.11854989383984751</v>
      </c>
      <c r="T796">
        <v>0.82351106519543749</v>
      </c>
      <c r="U796">
        <v>0</v>
      </c>
      <c r="V796">
        <v>0.2053333931022949</v>
      </c>
      <c r="W796">
        <v>9.5301347121000066E-2</v>
      </c>
      <c r="X796">
        <v>2.7223035939043041E-2</v>
      </c>
      <c r="Y796">
        <v>4.4031457585107809E-3</v>
      </c>
    </row>
    <row r="797" spans="1:25" x14ac:dyDescent="0.25">
      <c r="A797" s="1098"/>
      <c r="B797" s="1457">
        <v>547</v>
      </c>
      <c r="C797" s="1102">
        <v>0.98982365120514171</v>
      </c>
      <c r="D797" s="1102">
        <v>0.98511310054204348</v>
      </c>
      <c r="E797" s="1102">
        <v>0.98020642905957445</v>
      </c>
      <c r="F797" s="1102">
        <v>0.96984076782239714</v>
      </c>
      <c r="G797" s="1102">
        <v>1.0203542778657195</v>
      </c>
      <c r="H797" s="1102">
        <v>1.0412657786329076</v>
      </c>
      <c r="I797" s="1102">
        <v>1.0401461086514225</v>
      </c>
      <c r="K797">
        <v>1.5539156264665914</v>
      </c>
      <c r="L797">
        <v>0</v>
      </c>
      <c r="M797">
        <v>1.7192282124303354E-3</v>
      </c>
      <c r="N797">
        <v>0.14902084149076081</v>
      </c>
      <c r="O797">
        <v>0.12046887324869753</v>
      </c>
      <c r="P797">
        <v>1.5284065371931246E-2</v>
      </c>
      <c r="Q797">
        <v>8.94847265673364E-4</v>
      </c>
      <c r="R797">
        <v>1.7154723068721358E-3</v>
      </c>
      <c r="S797">
        <v>0.12987749903828835</v>
      </c>
      <c r="T797">
        <v>0.80163404445261199</v>
      </c>
      <c r="U797">
        <v>0</v>
      </c>
      <c r="V797">
        <v>0.20623660333454902</v>
      </c>
      <c r="W797">
        <v>9.9064204841016884E-2</v>
      </c>
      <c r="X797">
        <v>2.6769453214606539E-2</v>
      </c>
      <c r="Y797">
        <v>4.6689501140119776E-3</v>
      </c>
    </row>
    <row r="798" spans="1:25" x14ac:dyDescent="0.25">
      <c r="A798" s="1098"/>
      <c r="B798" s="1457">
        <v>548</v>
      </c>
      <c r="C798" s="1102">
        <v>1.0173626403623182</v>
      </c>
      <c r="D798" s="1102">
        <v>1.0144207217734562</v>
      </c>
      <c r="E798" s="1102">
        <v>0.98721803770766214</v>
      </c>
      <c r="F798" s="1102">
        <v>0.99202968316745377</v>
      </c>
      <c r="G798" s="1102">
        <v>0.97916502976957553</v>
      </c>
      <c r="H798" s="1102">
        <v>0.99817778049497741</v>
      </c>
      <c r="I798" s="1102">
        <v>0.96465510120886089</v>
      </c>
      <c r="K798">
        <v>1.530267825221904</v>
      </c>
      <c r="L798">
        <v>0</v>
      </c>
      <c r="M798">
        <v>1.5603037204250489E-3</v>
      </c>
      <c r="N798">
        <v>0.13813109674793891</v>
      </c>
      <c r="O798">
        <v>0.11935315993156531</v>
      </c>
      <c r="P798">
        <v>1.5316506613101166E-2</v>
      </c>
      <c r="Q798">
        <v>8.6680799187821924E-4</v>
      </c>
      <c r="R798">
        <v>1.5567441010885335E-3</v>
      </c>
      <c r="S798">
        <v>0.11225614253769257</v>
      </c>
      <c r="T798">
        <v>0.81951173810129696</v>
      </c>
      <c r="U798">
        <v>0</v>
      </c>
      <c r="V798">
        <v>0.20237823322539072</v>
      </c>
      <c r="W798">
        <v>9.1438248745515677E-2</v>
      </c>
      <c r="X798">
        <v>2.6782506684254814E-2</v>
      </c>
      <c r="Y798">
        <v>4.2369442626079843E-3</v>
      </c>
    </row>
    <row r="799" spans="1:25" x14ac:dyDescent="0.25">
      <c r="A799" s="1098"/>
      <c r="B799" s="1457">
        <v>549</v>
      </c>
      <c r="C799" s="1102">
        <v>0.99608379816526849</v>
      </c>
      <c r="D799" s="1102">
        <v>0.96855785077497247</v>
      </c>
      <c r="E799" s="1102">
        <v>1.0301040791174789</v>
      </c>
      <c r="F799" s="1102">
        <v>1.0128004338392926</v>
      </c>
      <c r="G799" s="1102">
        <v>0.98821000404676007</v>
      </c>
      <c r="H799" s="1102">
        <v>1.012705417443744</v>
      </c>
      <c r="I799" s="1102">
        <v>0.99239021081827405</v>
      </c>
      <c r="K799">
        <v>1.5898226661134283</v>
      </c>
      <c r="L799">
        <v>0</v>
      </c>
      <c r="M799">
        <v>1.5183869712470039E-3</v>
      </c>
      <c r="N799">
        <v>0.15301059864732577</v>
      </c>
      <c r="O799">
        <v>0.12380936649428173</v>
      </c>
      <c r="P799">
        <v>1.6219446011259058E-2</v>
      </c>
      <c r="Q799">
        <v>9.426757542891147E-4</v>
      </c>
      <c r="R799">
        <v>1.5149990359042183E-3</v>
      </c>
      <c r="S799">
        <v>0.12251097978992717</v>
      </c>
      <c r="T799">
        <v>0.83381520731562131</v>
      </c>
      <c r="U799">
        <v>0</v>
      </c>
      <c r="V799">
        <v>0.20710942533244298</v>
      </c>
      <c r="W799">
        <v>9.8755861786985727E-2</v>
      </c>
      <c r="X799">
        <v>2.9529164960204836E-2</v>
      </c>
      <c r="Y799">
        <v>4.1233279564333175E-3</v>
      </c>
    </row>
    <row r="800" spans="1:25" x14ac:dyDescent="0.25">
      <c r="A800" s="1098"/>
      <c r="B800" s="1457">
        <v>550</v>
      </c>
      <c r="C800" s="1102">
        <v>1.0275517651301216</v>
      </c>
      <c r="D800" s="1102">
        <v>0.97650560334846159</v>
      </c>
      <c r="E800" s="1102">
        <v>1.0358423932817844</v>
      </c>
      <c r="F800" s="1102">
        <v>0.98702935788486901</v>
      </c>
      <c r="G800" s="1102">
        <v>1.0183597288268731</v>
      </c>
      <c r="H800" s="1102">
        <v>0.97897071409489755</v>
      </c>
      <c r="I800" s="1102">
        <v>0.99779633396295186</v>
      </c>
      <c r="K800">
        <v>1.537962243415002</v>
      </c>
      <c r="L800">
        <v>0</v>
      </c>
      <c r="M800">
        <v>1.3998868027903619E-3</v>
      </c>
      <c r="N800">
        <v>0.14351869708348017</v>
      </c>
      <c r="O800">
        <v>0.120013547678032</v>
      </c>
      <c r="P800">
        <v>1.5857153706936893E-2</v>
      </c>
      <c r="Q800">
        <v>9.1616539745213266E-4</v>
      </c>
      <c r="R800">
        <v>1.3966522645090791E-3</v>
      </c>
      <c r="S800">
        <v>0.11622507188550736</v>
      </c>
      <c r="T800">
        <v>0.81223061507504313</v>
      </c>
      <c r="U800">
        <v>0</v>
      </c>
      <c r="V800">
        <v>0.20427080967851521</v>
      </c>
      <c r="W800">
        <v>9.2322298082141957E-2</v>
      </c>
      <c r="X800">
        <v>2.8809892308477074E-2</v>
      </c>
      <c r="Y800">
        <v>3.8012270576984562E-3</v>
      </c>
    </row>
    <row r="801" spans="1:25" x14ac:dyDescent="0.25">
      <c r="A801" s="1098"/>
      <c r="B801" s="1457">
        <v>551</v>
      </c>
      <c r="C801" s="1102">
        <v>1.0110874606483087</v>
      </c>
      <c r="D801" s="1102">
        <v>1.0150989892377182</v>
      </c>
      <c r="E801" s="1102">
        <v>0.98836106838921933</v>
      </c>
      <c r="F801" s="1102">
        <v>1.0167881755338495</v>
      </c>
      <c r="G801" s="1102">
        <v>0.98820898729616424</v>
      </c>
      <c r="H801" s="1102">
        <v>1.0011017770819173</v>
      </c>
      <c r="I801" s="1102">
        <v>1.0307464851841392</v>
      </c>
      <c r="K801">
        <v>1.5670975473797968</v>
      </c>
      <c r="L801">
        <v>0</v>
      </c>
      <c r="M801">
        <v>1.5724470244970342E-3</v>
      </c>
      <c r="N801">
        <v>0.139689452095522</v>
      </c>
      <c r="O801">
        <v>0.12134915956718337</v>
      </c>
      <c r="P801">
        <v>1.5752679111733534E-2</v>
      </c>
      <c r="Q801">
        <v>8.7299529172530201E-4</v>
      </c>
      <c r="R801">
        <v>1.5688747340586793E-3</v>
      </c>
      <c r="S801">
        <v>0.12099135163814581</v>
      </c>
      <c r="T801">
        <v>0.83988744821604966</v>
      </c>
      <c r="U801">
        <v>0</v>
      </c>
      <c r="V801">
        <v>0.20455573278562489</v>
      </c>
      <c r="W801">
        <v>9.2406421458311835E-2</v>
      </c>
      <c r="X801">
        <v>2.732591965924731E-2</v>
      </c>
      <c r="Y801">
        <v>4.2699598466906397E-3</v>
      </c>
    </row>
    <row r="802" spans="1:25" x14ac:dyDescent="0.25">
      <c r="A802" s="1098"/>
      <c r="B802" s="1457">
        <v>552</v>
      </c>
      <c r="C802" s="1102">
        <v>0.96570909934152827</v>
      </c>
      <c r="D802" s="1102">
        <v>1.0094806403008276</v>
      </c>
      <c r="E802" s="1102">
        <v>0.96796310399487095</v>
      </c>
      <c r="F802" s="1102">
        <v>0.9980165590925606</v>
      </c>
      <c r="G802" s="1102">
        <v>0.9869296731103876</v>
      </c>
      <c r="H802" s="1102">
        <v>1.0156429847385031</v>
      </c>
      <c r="I802" s="1102">
        <v>0.99676488740488567</v>
      </c>
      <c r="K802">
        <v>1.5699937537340249</v>
      </c>
      <c r="L802">
        <v>0</v>
      </c>
      <c r="M802">
        <v>1.7394029594891686E-3</v>
      </c>
      <c r="N802">
        <v>0.14527507581255703</v>
      </c>
      <c r="O802">
        <v>0.12270626928555337</v>
      </c>
      <c r="P802">
        <v>1.5397292710621647E-2</v>
      </c>
      <c r="Q802">
        <v>8.9665592384839123E-4</v>
      </c>
      <c r="R802">
        <v>1.735493058008639E-3</v>
      </c>
      <c r="S802">
        <v>0.12366012676819432</v>
      </c>
      <c r="T802">
        <v>0.82573994309346099</v>
      </c>
      <c r="U802">
        <v>0</v>
      </c>
      <c r="V802">
        <v>0.20756519273419433</v>
      </c>
      <c r="W802">
        <v>9.7294126982899645E-2</v>
      </c>
      <c r="X802">
        <v>2.6739540325409511E-2</v>
      </c>
      <c r="Y802">
        <v>4.7234399987666998E-3</v>
      </c>
    </row>
    <row r="803" spans="1:25" x14ac:dyDescent="0.25">
      <c r="A803" s="1098"/>
      <c r="B803" s="1457">
        <v>553</v>
      </c>
      <c r="C803" s="1102">
        <v>1.0159152342352364</v>
      </c>
      <c r="D803" s="1102">
        <v>0.99314135678569448</v>
      </c>
      <c r="E803" s="1102">
        <v>1.0281015446839059</v>
      </c>
      <c r="F803" s="1102">
        <v>1.0215173578398586</v>
      </c>
      <c r="G803" s="1102">
        <v>0.98788181206924386</v>
      </c>
      <c r="H803" s="1102">
        <v>1.0117890469175466</v>
      </c>
      <c r="I803" s="1102">
        <v>0.97201898623822391</v>
      </c>
      <c r="K803">
        <v>1.5780323791703688</v>
      </c>
      <c r="L803">
        <v>0</v>
      </c>
      <c r="M803">
        <v>1.4756254197000258E-3</v>
      </c>
      <c r="N803">
        <v>0.14780541366276934</v>
      </c>
      <c r="O803">
        <v>0.12228633050211077</v>
      </c>
      <c r="P803">
        <v>1.6178962194334585E-2</v>
      </c>
      <c r="Q803">
        <v>9.1318476835849699E-4</v>
      </c>
      <c r="R803">
        <v>1.4723230072254726E-3</v>
      </c>
      <c r="S803">
        <v>0.11599405011922624</v>
      </c>
      <c r="T803">
        <v>0.84112476560554317</v>
      </c>
      <c r="U803">
        <v>0</v>
      </c>
      <c r="V803">
        <v>0.20511407191990616</v>
      </c>
      <c r="W803">
        <v>9.5507372948471739E-2</v>
      </c>
      <c r="X803">
        <v>2.910435198760326E-2</v>
      </c>
      <c r="Y803">
        <v>4.0071778745188451E-3</v>
      </c>
    </row>
    <row r="804" spans="1:25" x14ac:dyDescent="0.25">
      <c r="A804" s="1098"/>
      <c r="B804" s="1457">
        <v>554</v>
      </c>
      <c r="C804" s="1102">
        <v>1.0308809421284533</v>
      </c>
      <c r="D804" s="1102">
        <v>0.9998113041517025</v>
      </c>
      <c r="E804" s="1102">
        <v>1.0148677173064209</v>
      </c>
      <c r="F804" s="1102">
        <v>0.99320933300116376</v>
      </c>
      <c r="G804" s="1102">
        <v>1.0314463552787163</v>
      </c>
      <c r="H804" s="1102">
        <v>1.0141831999931541</v>
      </c>
      <c r="I804" s="1102">
        <v>1.0034852049487093</v>
      </c>
      <c r="K804">
        <v>1.5453237022976956</v>
      </c>
      <c r="L804">
        <v>0</v>
      </c>
      <c r="M804">
        <v>1.4910810561425585E-3</v>
      </c>
      <c r="N804">
        <v>0.14350893109617624</v>
      </c>
      <c r="O804">
        <v>0.11932343340357991</v>
      </c>
      <c r="P804">
        <v>1.5723009780745756E-2</v>
      </c>
      <c r="Q804">
        <v>8.8542855233968913E-4</v>
      </c>
      <c r="R804">
        <v>1.487744653149435E-3</v>
      </c>
      <c r="S804">
        <v>0.11761654667375537</v>
      </c>
      <c r="T804">
        <v>0.81867429525646074</v>
      </c>
      <c r="U804">
        <v>0</v>
      </c>
      <c r="V804">
        <v>0.20418323190425322</v>
      </c>
      <c r="W804">
        <v>9.3451032891604391E-2</v>
      </c>
      <c r="X804">
        <v>2.7911978630792977E-2</v>
      </c>
      <c r="Y804">
        <v>4.0491505109796601E-3</v>
      </c>
    </row>
    <row r="805" spans="1:25" x14ac:dyDescent="0.25">
      <c r="A805" s="1098"/>
      <c r="B805" s="1457">
        <v>555</v>
      </c>
      <c r="C805" s="1102">
        <v>1.0255508708799708</v>
      </c>
      <c r="D805" s="1102">
        <v>1.0243984007199152</v>
      </c>
      <c r="E805" s="1102">
        <v>0.9580213427586256</v>
      </c>
      <c r="F805" s="1102">
        <v>0.98604858149275243</v>
      </c>
      <c r="G805" s="1102">
        <v>1.0035451639766086</v>
      </c>
      <c r="H805" s="1102">
        <v>1.0008181133962071</v>
      </c>
      <c r="I805" s="1102">
        <v>0.96396345865601507</v>
      </c>
      <c r="K805">
        <v>1.5156609644505674</v>
      </c>
      <c r="L805">
        <v>0</v>
      </c>
      <c r="M805">
        <v>1.6394693788811315E-3</v>
      </c>
      <c r="N805">
        <v>0.13286195127392217</v>
      </c>
      <c r="O805">
        <v>0.11819603350577375</v>
      </c>
      <c r="P805">
        <v>1.4916024886770868E-2</v>
      </c>
      <c r="Q805">
        <v>8.306162446922754E-4</v>
      </c>
      <c r="R805">
        <v>1.6357333516480875E-3</v>
      </c>
      <c r="S805">
        <v>0.11078243439562191</v>
      </c>
      <c r="T805">
        <v>0.816496704078427</v>
      </c>
      <c r="U805">
        <v>0</v>
      </c>
      <c r="V805">
        <v>0.20217425538849249</v>
      </c>
      <c r="W805">
        <v>8.9523837961542951E-2</v>
      </c>
      <c r="X805">
        <v>2.5430915778724437E-2</v>
      </c>
      <c r="Y805">
        <v>4.4519269638316414E-3</v>
      </c>
    </row>
    <row r="806" spans="1:25" x14ac:dyDescent="0.25">
      <c r="A806" s="1098"/>
      <c r="B806" s="1457">
        <v>556</v>
      </c>
      <c r="C806" s="1102">
        <v>1.0302890345550957</v>
      </c>
      <c r="D806" s="1102">
        <v>1.0219679311393195</v>
      </c>
      <c r="E806" s="1102">
        <v>1.0215639296189678</v>
      </c>
      <c r="F806" s="1102">
        <v>0.99072395984042039</v>
      </c>
      <c r="G806" s="1102">
        <v>0.98018225498676526</v>
      </c>
      <c r="H806" s="1102">
        <v>1.0109864976851708</v>
      </c>
      <c r="I806" s="1102">
        <v>0.98959010021173732</v>
      </c>
      <c r="K806">
        <v>1.5327413349904839</v>
      </c>
      <c r="L806">
        <v>0</v>
      </c>
      <c r="M806">
        <v>1.4481661871932113E-3</v>
      </c>
      <c r="N806">
        <v>0.14222092554563734</v>
      </c>
      <c r="O806">
        <v>0.11821179754435718</v>
      </c>
      <c r="P806">
        <v>1.5678217059016387E-2</v>
      </c>
      <c r="Q806">
        <v>8.8426285389822494E-4</v>
      </c>
      <c r="R806">
        <v>1.4449027816791529E-3</v>
      </c>
      <c r="S806">
        <v>0.11429793114191968</v>
      </c>
      <c r="T806">
        <v>0.81619163332036437</v>
      </c>
      <c r="U806">
        <v>0</v>
      </c>
      <c r="V806">
        <v>0.2011590178639717</v>
      </c>
      <c r="W806">
        <v>9.2249681661487143E-2</v>
      </c>
      <c r="X806">
        <v>2.7918582345688486E-2</v>
      </c>
      <c r="Y806">
        <v>3.9325490596566846E-3</v>
      </c>
    </row>
    <row r="807" spans="1:25" x14ac:dyDescent="0.25">
      <c r="A807" s="1098"/>
      <c r="B807" s="1457">
        <v>557</v>
      </c>
      <c r="C807" s="1102">
        <v>0.99804700806067947</v>
      </c>
      <c r="D807" s="1102">
        <v>0.98962793045991193</v>
      </c>
      <c r="E807" s="1102">
        <v>1.0187247015895522</v>
      </c>
      <c r="F807" s="1102">
        <v>0.99485017579848112</v>
      </c>
      <c r="G807" s="1102">
        <v>1.0015949983732946</v>
      </c>
      <c r="H807" s="1102">
        <v>1.0007958568192605</v>
      </c>
      <c r="I807" s="1102">
        <v>1.0182839061951776</v>
      </c>
      <c r="K807">
        <v>1.5624736729488278</v>
      </c>
      <c r="L807">
        <v>0</v>
      </c>
      <c r="M807">
        <v>1.5130354094131258E-3</v>
      </c>
      <c r="N807">
        <v>0.14732203595797219</v>
      </c>
      <c r="O807">
        <v>0.12151918919498088</v>
      </c>
      <c r="P807">
        <v>1.5878389136482495E-2</v>
      </c>
      <c r="Q807">
        <v>9.2195719429606529E-4</v>
      </c>
      <c r="R807">
        <v>1.509602748591139E-3</v>
      </c>
      <c r="S807">
        <v>0.12276626247231059</v>
      </c>
      <c r="T807">
        <v>0.81977557372533805</v>
      </c>
      <c r="U807">
        <v>0</v>
      </c>
      <c r="V807">
        <v>0.20593424802576649</v>
      </c>
      <c r="W807">
        <v>9.5717293961597158E-2</v>
      </c>
      <c r="X807">
        <v>2.8533514899651301E-2</v>
      </c>
      <c r="Y807">
        <v>4.1086410412527518E-3</v>
      </c>
    </row>
    <row r="808" spans="1:25" x14ac:dyDescent="0.25">
      <c r="A808" s="1098"/>
      <c r="B808" s="1457">
        <v>558</v>
      </c>
      <c r="C808" s="1102">
        <v>0.99785754564460927</v>
      </c>
      <c r="D808" s="1102">
        <v>1.0008642688686655</v>
      </c>
      <c r="E808" s="1102">
        <v>0.99711081977390414</v>
      </c>
      <c r="F808" s="1102">
        <v>1.0098765290033895</v>
      </c>
      <c r="G808" s="1102">
        <v>0.99985912790621656</v>
      </c>
      <c r="H808" s="1102">
        <v>0.99955768571259096</v>
      </c>
      <c r="I808" s="1102">
        <v>1.0130110934945595</v>
      </c>
      <c r="K808">
        <v>1.5699054289459682</v>
      </c>
      <c r="L808">
        <v>0</v>
      </c>
      <c r="M808">
        <v>1.5725518356237856E-3</v>
      </c>
      <c r="N808">
        <v>0.14344274787908981</v>
      </c>
      <c r="O808">
        <v>0.12214447482428518</v>
      </c>
      <c r="P808">
        <v>1.5798325370752254E-2</v>
      </c>
      <c r="Q808">
        <v>8.9771914478180954E-4</v>
      </c>
      <c r="R808">
        <v>1.5689770758956249E-3</v>
      </c>
      <c r="S808">
        <v>0.12128297620741087</v>
      </c>
      <c r="T808">
        <v>0.83359290544592346</v>
      </c>
      <c r="U808">
        <v>0</v>
      </c>
      <c r="V808">
        <v>0.20627181141002734</v>
      </c>
      <c r="W808">
        <v>9.4394270932970703E-2</v>
      </c>
      <c r="X808">
        <v>2.781353410302155E-2</v>
      </c>
      <c r="Y808">
        <v>4.2702383874338263E-3</v>
      </c>
    </row>
    <row r="809" spans="1:25" x14ac:dyDescent="0.25">
      <c r="A809" s="1098"/>
      <c r="B809" s="1457">
        <v>559</v>
      </c>
      <c r="C809" s="1102">
        <v>1.0106003320573218</v>
      </c>
      <c r="D809" s="1102">
        <v>0.97145082862680654</v>
      </c>
      <c r="E809" s="1102">
        <v>1.0126483802904365</v>
      </c>
      <c r="F809" s="1102">
        <v>0.9593756949908917</v>
      </c>
      <c r="G809" s="1102">
        <v>1.0310597121508736</v>
      </c>
      <c r="H809" s="1102">
        <v>0.99399830804526679</v>
      </c>
      <c r="I809" s="1102">
        <v>1.0295449090066342</v>
      </c>
      <c r="K809">
        <v>1.525765503164257</v>
      </c>
      <c r="L809">
        <v>0</v>
      </c>
      <c r="M809">
        <v>1.5158624276205544E-3</v>
      </c>
      <c r="N809">
        <v>0.14491362855606943</v>
      </c>
      <c r="O809">
        <v>0.11918098408975115</v>
      </c>
      <c r="P809">
        <v>1.5402387018706771E-2</v>
      </c>
      <c r="Q809">
        <v>9.1156879323891376E-4</v>
      </c>
      <c r="R809">
        <v>1.5124037506093677E-3</v>
      </c>
      <c r="S809">
        <v>0.12321689566360333</v>
      </c>
      <c r="T809">
        <v>0.79092579598167478</v>
      </c>
      <c r="U809">
        <v>0</v>
      </c>
      <c r="V809">
        <v>0.20489107744361187</v>
      </c>
      <c r="W809">
        <v>9.4488963390913797E-2</v>
      </c>
      <c r="X809">
        <v>2.7721396458303182E-2</v>
      </c>
      <c r="Y809">
        <v>4.1162644453963029E-3</v>
      </c>
    </row>
    <row r="810" spans="1:25" x14ac:dyDescent="0.25">
      <c r="A810" s="1098"/>
      <c r="B810" s="1457">
        <v>560</v>
      </c>
      <c r="C810" s="1102">
        <v>0.98415985297659458</v>
      </c>
      <c r="D810" s="1102">
        <v>0.99449807070546647</v>
      </c>
      <c r="E810" s="1102">
        <v>0.99135976799829262</v>
      </c>
      <c r="F810" s="1102">
        <v>1.012614405778989</v>
      </c>
      <c r="G810" s="1102">
        <v>1.0195465057789324</v>
      </c>
      <c r="H810" s="1102">
        <v>1.0017543672316942</v>
      </c>
      <c r="I810" s="1102">
        <v>1.0404834580465978</v>
      </c>
      <c r="K810">
        <v>1.5855516889660259</v>
      </c>
      <c r="L810">
        <v>0</v>
      </c>
      <c r="M810">
        <v>1.6216454886482019E-3</v>
      </c>
      <c r="N810">
        <v>0.14537269072847553</v>
      </c>
      <c r="O810">
        <v>0.12335186407816201</v>
      </c>
      <c r="P810">
        <v>1.5874574864694513E-2</v>
      </c>
      <c r="Q810">
        <v>9.0709826341629264E-4</v>
      </c>
      <c r="R810">
        <v>1.6179681426715601E-3</v>
      </c>
      <c r="S810">
        <v>0.1268927059124034</v>
      </c>
      <c r="T810">
        <v>0.83623838306933984</v>
      </c>
      <c r="U810">
        <v>0</v>
      </c>
      <c r="V810">
        <v>0.208661717544257</v>
      </c>
      <c r="W810">
        <v>9.5993342153529199E-2</v>
      </c>
      <c r="X810">
        <v>2.7859413776427994E-2</v>
      </c>
      <c r="Y810">
        <v>4.403575921297101E-3</v>
      </c>
    </row>
    <row r="811" spans="1:25" x14ac:dyDescent="0.25">
      <c r="A811" s="1098"/>
      <c r="B811" s="1457">
        <v>561</v>
      </c>
      <c r="C811" s="1102">
        <v>1.0292123127216812</v>
      </c>
      <c r="D811" s="1102">
        <v>0.99582906827514517</v>
      </c>
      <c r="E811" s="1102">
        <v>1.0093717564379212</v>
      </c>
      <c r="F811" s="1102">
        <v>0.97969825392899546</v>
      </c>
      <c r="G811" s="1102">
        <v>0.98497051402566471</v>
      </c>
      <c r="H811" s="1102">
        <v>0.97975236223111362</v>
      </c>
      <c r="I811" s="1102">
        <v>1.0023666805649887</v>
      </c>
      <c r="K811">
        <v>1.5197423940305097</v>
      </c>
      <c r="L811">
        <v>0</v>
      </c>
      <c r="M811">
        <v>1.4609898514041267E-3</v>
      </c>
      <c r="N811">
        <v>0.13828826779794887</v>
      </c>
      <c r="O811">
        <v>0.11864883801106291</v>
      </c>
      <c r="P811">
        <v>1.5442858970384334E-2</v>
      </c>
      <c r="Q811">
        <v>8.8326606334043452E-4</v>
      </c>
      <c r="R811">
        <v>1.457604251238935E-3</v>
      </c>
      <c r="S811">
        <v>0.11518906773478328</v>
      </c>
      <c r="T811">
        <v>0.80789083271664119</v>
      </c>
      <c r="U811">
        <v>0</v>
      </c>
      <c r="V811">
        <v>0.20162955311073058</v>
      </c>
      <c r="W811">
        <v>9.0343236242293484E-2</v>
      </c>
      <c r="X811">
        <v>2.7462740710730266E-2</v>
      </c>
      <c r="Y811">
        <v>3.9671182727600979E-3</v>
      </c>
    </row>
    <row r="812" spans="1:25" x14ac:dyDescent="0.25">
      <c r="A812" s="1098"/>
      <c r="B812" s="1457">
        <v>562</v>
      </c>
      <c r="C812" s="1102">
        <v>1.036656126944155</v>
      </c>
      <c r="D812" s="1102">
        <v>1.0462079655058505</v>
      </c>
      <c r="E812" s="1102">
        <v>1.0455323513463488</v>
      </c>
      <c r="F812" s="1102">
        <v>0.99865829072483892</v>
      </c>
      <c r="G812" s="1102">
        <v>1.0222453378804783</v>
      </c>
      <c r="H812" s="1102">
        <v>1.0233123677860039</v>
      </c>
      <c r="I812" s="1102">
        <v>0.99863603075394525</v>
      </c>
      <c r="K812">
        <v>1.5412561909204572</v>
      </c>
      <c r="L812">
        <v>0</v>
      </c>
      <c r="M812">
        <v>1.3687791413360966E-3</v>
      </c>
      <c r="N812">
        <v>0.14449705473137756</v>
      </c>
      <c r="O812">
        <v>0.11737297643660863</v>
      </c>
      <c r="P812">
        <v>1.6036384196766611E-2</v>
      </c>
      <c r="Q812">
        <v>8.9214554408574087E-4</v>
      </c>
      <c r="R812">
        <v>1.3657226653576984E-3</v>
      </c>
      <c r="S812">
        <v>0.11407649149432664</v>
      </c>
      <c r="T812">
        <v>0.82117402281656338</v>
      </c>
      <c r="U812">
        <v>0</v>
      </c>
      <c r="V812">
        <v>0.2023182330935977</v>
      </c>
      <c r="W812">
        <v>9.243462315092589E-2</v>
      </c>
      <c r="X812">
        <v>2.8740269047432602E-2</v>
      </c>
      <c r="Y812">
        <v>3.7170468847480174E-3</v>
      </c>
    </row>
    <row r="813" spans="1:25" x14ac:dyDescent="0.25">
      <c r="A813" s="1098"/>
      <c r="B813" s="1457">
        <v>563</v>
      </c>
      <c r="C813" s="1102">
        <v>0.98253536635783323</v>
      </c>
      <c r="D813" s="1102">
        <v>0.98615905359332845</v>
      </c>
      <c r="E813" s="1102">
        <v>1.0058489140286544</v>
      </c>
      <c r="F813" s="1102">
        <v>0.98819847207689704</v>
      </c>
      <c r="G813" s="1102">
        <v>1.0046829184617367</v>
      </c>
      <c r="H813" s="1102">
        <v>1.0284424913212391</v>
      </c>
      <c r="I813" s="1102">
        <v>0.98926995787208527</v>
      </c>
      <c r="K813">
        <v>1.5684097240238648</v>
      </c>
      <c r="L813">
        <v>0</v>
      </c>
      <c r="M813">
        <v>1.6226581127702117E-3</v>
      </c>
      <c r="N813">
        <v>0.15198196406795614</v>
      </c>
      <c r="O813">
        <v>0.12204117447655648</v>
      </c>
      <c r="P813">
        <v>1.5690568941582043E-2</v>
      </c>
      <c r="Q813">
        <v>9.2547269539120186E-4</v>
      </c>
      <c r="R813">
        <v>1.6190716617935919E-3</v>
      </c>
      <c r="S813">
        <v>0.12346168482119201</v>
      </c>
      <c r="T813">
        <v>0.8151293440932692</v>
      </c>
      <c r="U813">
        <v>0</v>
      </c>
      <c r="V813">
        <v>0.20713926445312875</v>
      </c>
      <c r="W813">
        <v>9.9496140854468687E-2</v>
      </c>
      <c r="X813">
        <v>2.8141116734724966E-2</v>
      </c>
      <c r="Y813">
        <v>4.406579336572289E-3</v>
      </c>
    </row>
    <row r="814" spans="1:25" x14ac:dyDescent="0.25">
      <c r="A814" s="1098"/>
      <c r="B814" s="1457">
        <v>564</v>
      </c>
      <c r="C814" s="1102">
        <v>1.0396695372656781</v>
      </c>
      <c r="D814" s="1102">
        <v>0.97742317410292168</v>
      </c>
      <c r="E814" s="1102">
        <v>1.0145837855032027</v>
      </c>
      <c r="F814" s="1102">
        <v>0.96327216509665303</v>
      </c>
      <c r="G814" s="1102">
        <v>0.97820355719072805</v>
      </c>
      <c r="H814" s="1102">
        <v>0.99069956489790478</v>
      </c>
      <c r="I814" s="1102">
        <v>0.99500674648479581</v>
      </c>
      <c r="K814">
        <v>1.5068813052239751</v>
      </c>
      <c r="L814">
        <v>0</v>
      </c>
      <c r="M814">
        <v>1.4612584225330287E-3</v>
      </c>
      <c r="N814">
        <v>0.14051138994527868</v>
      </c>
      <c r="O814">
        <v>0.11777344998583117</v>
      </c>
      <c r="P814">
        <v>1.529261578233038E-2</v>
      </c>
      <c r="Q814">
        <v>8.8567426864256894E-4</v>
      </c>
      <c r="R814">
        <v>1.4579181475560205E-3</v>
      </c>
      <c r="S814">
        <v>0.11527096535575836</v>
      </c>
      <c r="T814">
        <v>0.79401586145196068</v>
      </c>
      <c r="U814">
        <v>0</v>
      </c>
      <c r="V814">
        <v>0.20019743150358643</v>
      </c>
      <c r="W814">
        <v>9.1514339370173017E-2</v>
      </c>
      <c r="X814">
        <v>2.7454945240330611E-2</v>
      </c>
      <c r="Y814">
        <v>3.9679725950593102E-3</v>
      </c>
    </row>
    <row r="815" spans="1:25" x14ac:dyDescent="0.25">
      <c r="A815" s="1098"/>
      <c r="B815" s="1457">
        <v>565</v>
      </c>
      <c r="C815" s="1102">
        <v>1.0095752976149337</v>
      </c>
      <c r="D815" s="1102">
        <v>0.98866019188168619</v>
      </c>
      <c r="E815" s="1102">
        <v>1.0432749612550136</v>
      </c>
      <c r="F815" s="1102">
        <v>1.0054185099407995</v>
      </c>
      <c r="G815" s="1102">
        <v>0.99957617367134832</v>
      </c>
      <c r="H815" s="1102">
        <v>1.0016296751568983</v>
      </c>
      <c r="I815" s="1102">
        <v>1.0289104396402453</v>
      </c>
      <c r="K815">
        <v>1.5728136299445445</v>
      </c>
      <c r="L815">
        <v>0</v>
      </c>
      <c r="M815">
        <v>1.4254932527454679E-3</v>
      </c>
      <c r="N815">
        <v>0.14946020199333129</v>
      </c>
      <c r="O815">
        <v>0.1216435470615109</v>
      </c>
      <c r="P815">
        <v>1.6260531306991528E-2</v>
      </c>
      <c r="Q815">
        <v>9.3490453853415983E-4</v>
      </c>
      <c r="R815">
        <v>1.4222677858303904E-3</v>
      </c>
      <c r="S815">
        <v>0.12295469172091426</v>
      </c>
      <c r="T815">
        <v>0.82687936721312927</v>
      </c>
      <c r="U815">
        <v>0</v>
      </c>
      <c r="V815">
        <v>0.2054974491774551</v>
      </c>
      <c r="W815">
        <v>9.5733500913586775E-2</v>
      </c>
      <c r="X815">
        <v>2.9581717423425823E-2</v>
      </c>
      <c r="Y815">
        <v>3.8709440625807304E-3</v>
      </c>
    </row>
    <row r="816" spans="1:25" x14ac:dyDescent="0.25">
      <c r="A816" s="1098"/>
      <c r="B816" s="1457">
        <v>566</v>
      </c>
      <c r="C816" s="1102">
        <v>1.0129959276902709</v>
      </c>
      <c r="D816" s="1102">
        <v>0.98244584778625443</v>
      </c>
      <c r="E816" s="1102">
        <v>1.0130882459133579</v>
      </c>
      <c r="F816" s="1102">
        <v>0.97639722039955157</v>
      </c>
      <c r="G816" s="1102">
        <v>1.0047687454072565</v>
      </c>
      <c r="H816" s="1102">
        <v>0.99253160615667446</v>
      </c>
      <c r="I816" s="1102">
        <v>1.0072218121743379</v>
      </c>
      <c r="K816">
        <v>1.5340633731171933</v>
      </c>
      <c r="L816">
        <v>0</v>
      </c>
      <c r="M816">
        <v>1.501472964073607E-3</v>
      </c>
      <c r="N816">
        <v>0.14372814375887852</v>
      </c>
      <c r="O816">
        <v>0.11978669089926158</v>
      </c>
      <c r="P816">
        <v>1.5537121719343802E-2</v>
      </c>
      <c r="Q816">
        <v>9.0573839458236093E-4</v>
      </c>
      <c r="R816">
        <v>1.4980411039151582E-3</v>
      </c>
      <c r="S816">
        <v>0.11946488623883873</v>
      </c>
      <c r="T816">
        <v>0.8049304603849573</v>
      </c>
      <c r="U816">
        <v>0</v>
      </c>
      <c r="V816">
        <v>0.20406883608476184</v>
      </c>
      <c r="W816">
        <v>9.3691734234867374E-2</v>
      </c>
      <c r="X816">
        <v>2.7876019206119672E-2</v>
      </c>
      <c r="Y816">
        <v>4.0771740557398756E-3</v>
      </c>
    </row>
    <row r="817" spans="1:25" x14ac:dyDescent="0.25">
      <c r="A817" s="1098"/>
      <c r="B817" s="1457">
        <v>567</v>
      </c>
      <c r="C817" s="1102">
        <v>0.99099455999323616</v>
      </c>
      <c r="D817" s="1102">
        <v>0.98452140514301656</v>
      </c>
      <c r="E817" s="1102">
        <v>1.0249207191870713</v>
      </c>
      <c r="F817" s="1102">
        <v>0.99449067186487394</v>
      </c>
      <c r="G817" s="1102">
        <v>0.98857527987490224</v>
      </c>
      <c r="H817" s="1102">
        <v>0.98716446484729181</v>
      </c>
      <c r="I817" s="1102">
        <v>1.0035054718796275</v>
      </c>
      <c r="K817">
        <v>1.5611382180913238</v>
      </c>
      <c r="L817">
        <v>0</v>
      </c>
      <c r="M817">
        <v>1.487293622885867E-3</v>
      </c>
      <c r="N817">
        <v>0.14754304966909271</v>
      </c>
      <c r="O817">
        <v>0.12206388988791975</v>
      </c>
      <c r="P817">
        <v>1.5919755142718293E-2</v>
      </c>
      <c r="Q817">
        <v>9.3636889757949915E-4</v>
      </c>
      <c r="R817">
        <v>1.4838737579919703E-3</v>
      </c>
      <c r="S817">
        <v>0.12108509633571989</v>
      </c>
      <c r="T817">
        <v>0.81907690969744784</v>
      </c>
      <c r="U817">
        <v>0</v>
      </c>
      <c r="V817">
        <v>0.20609461798302256</v>
      </c>
      <c r="W817">
        <v>9.5514518595170628E-2</v>
      </c>
      <c r="X817">
        <v>2.8868816537144442E-2</v>
      </c>
      <c r="Y817">
        <v>4.0386152104012855E-3</v>
      </c>
    </row>
    <row r="818" spans="1:25" x14ac:dyDescent="0.25">
      <c r="A818" s="1098"/>
      <c r="B818" s="1457">
        <v>568</v>
      </c>
      <c r="C818" s="1102">
        <v>1.0034236910529151</v>
      </c>
      <c r="D818" s="1102">
        <v>1.0191030129240572</v>
      </c>
      <c r="E818" s="1102">
        <v>0.98908811841982947</v>
      </c>
      <c r="F818" s="1102">
        <v>1.0139519120710092</v>
      </c>
      <c r="G818" s="1102">
        <v>0.99005313925372396</v>
      </c>
      <c r="H818" s="1102">
        <v>0.98183113664267585</v>
      </c>
      <c r="I818" s="1102">
        <v>1.002907876375875</v>
      </c>
      <c r="K818">
        <v>1.5575146764655958</v>
      </c>
      <c r="L818">
        <v>0</v>
      </c>
      <c r="M818">
        <v>1.5469980966283231E-3</v>
      </c>
      <c r="N818">
        <v>0.13772452749884911</v>
      </c>
      <c r="O818">
        <v>0.12136526949550701</v>
      </c>
      <c r="P818">
        <v>1.5678099175771572E-2</v>
      </c>
      <c r="Q818">
        <v>8.7894510077966153E-4</v>
      </c>
      <c r="R818">
        <v>1.5434095925589181E-3</v>
      </c>
      <c r="S818">
        <v>0.11677445490990443</v>
      </c>
      <c r="T818">
        <v>0.83749570413228347</v>
      </c>
      <c r="U818">
        <v>0</v>
      </c>
      <c r="V818">
        <v>0.20501336640382226</v>
      </c>
      <c r="W818">
        <v>9.1066885202993983E-2</v>
      </c>
      <c r="X818">
        <v>2.7320360923642234E-2</v>
      </c>
      <c r="Y818">
        <v>4.2006521261099255E-3</v>
      </c>
    </row>
    <row r="819" spans="1:25" x14ac:dyDescent="0.25">
      <c r="A819" s="1098"/>
      <c r="B819" s="1457">
        <v>569</v>
      </c>
      <c r="C819" s="1102">
        <v>1.0348318782406294</v>
      </c>
      <c r="D819" s="1102">
        <v>0.97284695319725933</v>
      </c>
      <c r="E819" s="1102">
        <v>0.99021051865858167</v>
      </c>
      <c r="F819" s="1102">
        <v>1.009955647247637</v>
      </c>
      <c r="G819" s="1102">
        <v>1.0104835257384863</v>
      </c>
      <c r="H819" s="1102">
        <v>1.0050211717617994</v>
      </c>
      <c r="I819" s="1102">
        <v>1.0185782030762947</v>
      </c>
      <c r="K819">
        <v>1.562536669177343</v>
      </c>
      <c r="L819">
        <v>0</v>
      </c>
      <c r="M819">
        <v>1.5759554344123518E-3</v>
      </c>
      <c r="N819">
        <v>0.1407901096892912</v>
      </c>
      <c r="O819">
        <v>0.12155971033439082</v>
      </c>
      <c r="P819">
        <v>1.5686440062741579E-2</v>
      </c>
      <c r="Q819">
        <v>8.6926845140380547E-4</v>
      </c>
      <c r="R819">
        <v>1.572418818231554E-3</v>
      </c>
      <c r="S819">
        <v>0.12023847169358429</v>
      </c>
      <c r="T819">
        <v>0.8341196913283464</v>
      </c>
      <c r="U819">
        <v>0</v>
      </c>
      <c r="V819">
        <v>0.20455803246415222</v>
      </c>
      <c r="W819">
        <v>9.3031333069288069E-2</v>
      </c>
      <c r="X819">
        <v>2.7407543024822699E-2</v>
      </c>
      <c r="Y819">
        <v>4.2796056755021678E-3</v>
      </c>
    </row>
    <row r="820" spans="1:25" x14ac:dyDescent="0.25">
      <c r="A820" s="1098"/>
      <c r="B820" s="1457">
        <v>570</v>
      </c>
      <c r="C820" s="1102">
        <v>0.98669161317327991</v>
      </c>
      <c r="D820" s="1102">
        <v>1.0104306844065691</v>
      </c>
      <c r="E820" s="1102">
        <v>0.96287706332896461</v>
      </c>
      <c r="F820" s="1102">
        <v>1.0186723141067393</v>
      </c>
      <c r="G820" s="1102">
        <v>1.0361571629720678</v>
      </c>
      <c r="H820" s="1102">
        <v>0.98948171371393057</v>
      </c>
      <c r="I820" s="1102">
        <v>0.97346681180067429</v>
      </c>
      <c r="K820">
        <v>1.5700985078659839</v>
      </c>
      <c r="L820">
        <v>0</v>
      </c>
      <c r="M820">
        <v>1.6804414666902994E-3</v>
      </c>
      <c r="N820">
        <v>0.1381977751949339</v>
      </c>
      <c r="O820">
        <v>0.12301685836709431</v>
      </c>
      <c r="P820">
        <v>1.5489701781877706E-2</v>
      </c>
      <c r="Q820">
        <v>8.7255814460934561E-4</v>
      </c>
      <c r="R820">
        <v>1.6765758039490775E-3</v>
      </c>
      <c r="S820">
        <v>0.1163398062254964</v>
      </c>
      <c r="T820">
        <v>0.84317791983437607</v>
      </c>
      <c r="U820">
        <v>0</v>
      </c>
      <c r="V820">
        <v>0.20897310429985957</v>
      </c>
      <c r="W820">
        <v>9.2842289470054074E-2</v>
      </c>
      <c r="X820">
        <v>2.6629273555138888E-2</v>
      </c>
      <c r="Y820">
        <v>4.5630866552841542E-3</v>
      </c>
    </row>
    <row r="821" spans="1:25" x14ac:dyDescent="0.25">
      <c r="A821" s="1098"/>
      <c r="B821" s="1457">
        <v>571</v>
      </c>
      <c r="C821" s="1102">
        <v>0.99739602891096546</v>
      </c>
      <c r="D821" s="1102">
        <v>0.98851429703130311</v>
      </c>
      <c r="E821" s="1102">
        <v>1.0137025204637036</v>
      </c>
      <c r="F821" s="1102">
        <v>0.97159843757854458</v>
      </c>
      <c r="G821" s="1102">
        <v>1.027968541387176</v>
      </c>
      <c r="H821" s="1102">
        <v>1.0288282135458378</v>
      </c>
      <c r="I821" s="1102">
        <v>1.0145462125306681</v>
      </c>
      <c r="K821">
        <v>1.5490650653226665</v>
      </c>
      <c r="L821">
        <v>0</v>
      </c>
      <c r="M821">
        <v>1.5707764764530535E-3</v>
      </c>
      <c r="N821">
        <v>0.15065255829362231</v>
      </c>
      <c r="O821">
        <v>0.11996225917148713</v>
      </c>
      <c r="P821">
        <v>1.5586084103993763E-2</v>
      </c>
      <c r="Q821">
        <v>9.1822209879491724E-4</v>
      </c>
      <c r="R821">
        <v>1.5673039513149033E-3</v>
      </c>
      <c r="S821">
        <v>0.12458336244418614</v>
      </c>
      <c r="T821">
        <v>0.80093525911782193</v>
      </c>
      <c r="U821">
        <v>0</v>
      </c>
      <c r="V821">
        <v>0.20598207926765119</v>
      </c>
      <c r="W821">
        <v>9.8170065501677575E-2</v>
      </c>
      <c r="X821">
        <v>2.8012963154699914E-2</v>
      </c>
      <c r="Y821">
        <v>4.2656846938704711E-3</v>
      </c>
    </row>
    <row r="822" spans="1:25" x14ac:dyDescent="0.25">
      <c r="A822" s="1098"/>
      <c r="B822" s="1457">
        <v>572</v>
      </c>
      <c r="C822" s="1102">
        <v>1.0137449993442804</v>
      </c>
      <c r="D822" s="1102">
        <v>0.96824304746455936</v>
      </c>
      <c r="E822" s="1102">
        <v>1.0182405617506536</v>
      </c>
      <c r="F822" s="1102">
        <v>1.025627719402695</v>
      </c>
      <c r="G822" s="1102">
        <v>0.95917568701889366</v>
      </c>
      <c r="H822" s="1102">
        <v>1.0199597353103946</v>
      </c>
      <c r="I822" s="1102">
        <v>0.9938404033456919</v>
      </c>
      <c r="K822">
        <v>1.5933477302050478</v>
      </c>
      <c r="L822">
        <v>0</v>
      </c>
      <c r="M822">
        <v>1.5440209375012551E-3</v>
      </c>
      <c r="N822">
        <v>0.15012841528125623</v>
      </c>
      <c r="O822">
        <v>0.12384805233921543</v>
      </c>
      <c r="P822">
        <v>1.6190148963274503E-2</v>
      </c>
      <c r="Q822">
        <v>9.1519193715576715E-4</v>
      </c>
      <c r="R822">
        <v>1.540608336085396E-3</v>
      </c>
      <c r="S822">
        <v>0.12131323905838112</v>
      </c>
      <c r="T822">
        <v>0.84516934092803542</v>
      </c>
      <c r="U822">
        <v>0</v>
      </c>
      <c r="V822">
        <v>0.20496868493643389</v>
      </c>
      <c r="W822">
        <v>9.7568304943705775E-2</v>
      </c>
      <c r="X822">
        <v>2.9056736389582269E-2</v>
      </c>
      <c r="Y822">
        <v>4.1930280294229473E-3</v>
      </c>
    </row>
    <row r="823" spans="1:25" x14ac:dyDescent="0.25">
      <c r="A823" s="1098"/>
      <c r="B823" s="1457">
        <v>573</v>
      </c>
      <c r="C823" s="1102">
        <v>0.98949431882385286</v>
      </c>
      <c r="D823" s="1102">
        <v>0.96669421871350103</v>
      </c>
      <c r="E823" s="1102">
        <v>0.98251872687057873</v>
      </c>
      <c r="F823" s="1102">
        <v>1.0012640294556812</v>
      </c>
      <c r="G823" s="1102">
        <v>1.0242288230996957</v>
      </c>
      <c r="H823" s="1102">
        <v>0.97034747511867303</v>
      </c>
      <c r="I823" s="1102">
        <v>1.0370425236609309</v>
      </c>
      <c r="K823">
        <v>1.5679795062391935</v>
      </c>
      <c r="L823">
        <v>0</v>
      </c>
      <c r="M823">
        <v>1.616142990209685E-3</v>
      </c>
      <c r="N823">
        <v>0.14104821289052422</v>
      </c>
      <c r="O823">
        <v>0.12356093008625016</v>
      </c>
      <c r="P823">
        <v>1.562830507870052E-2</v>
      </c>
      <c r="Q823">
        <v>9.0411530460582628E-4</v>
      </c>
      <c r="R823">
        <v>1.6123754229386748E-3</v>
      </c>
      <c r="S823">
        <v>0.12522042230354552</v>
      </c>
      <c r="T823">
        <v>0.82745310548820805</v>
      </c>
      <c r="U823">
        <v>0</v>
      </c>
      <c r="V823">
        <v>0.20867003289825184</v>
      </c>
      <c r="W823">
        <v>9.36335777992401E-2</v>
      </c>
      <c r="X823">
        <v>2.7476217575315629E-2</v>
      </c>
      <c r="Y823">
        <v>4.3883543818237503E-3</v>
      </c>
    </row>
    <row r="824" spans="1:25" x14ac:dyDescent="0.25">
      <c r="A824" s="1098"/>
      <c r="B824" s="1457">
        <v>574</v>
      </c>
      <c r="C824" s="1102">
        <v>0.96873303256767529</v>
      </c>
      <c r="D824" s="1102">
        <v>0.96954772539070921</v>
      </c>
      <c r="E824" s="1102">
        <v>1.02314546287199</v>
      </c>
      <c r="F824" s="1102">
        <v>0.99071551391384671</v>
      </c>
      <c r="G824" s="1102">
        <v>0.98231534838732804</v>
      </c>
      <c r="H824" s="1102">
        <v>0.97509138592343847</v>
      </c>
      <c r="I824" s="1102">
        <v>1.0099579439959725</v>
      </c>
      <c r="K824">
        <v>1.5694593756967132</v>
      </c>
      <c r="L824">
        <v>0</v>
      </c>
      <c r="M824">
        <v>1.5184229674399068E-3</v>
      </c>
      <c r="N824">
        <v>0.14982272319028045</v>
      </c>
      <c r="O824">
        <v>0.12366343965644158</v>
      </c>
      <c r="P824">
        <v>1.5933670550383899E-2</v>
      </c>
      <c r="Q824">
        <v>9.6202709993293558E-4</v>
      </c>
      <c r="R824">
        <v>1.5148899675013947E-3</v>
      </c>
      <c r="S824">
        <v>0.12462209810840022</v>
      </c>
      <c r="T824">
        <v>0.81608237295683861</v>
      </c>
      <c r="U824">
        <v>0</v>
      </c>
      <c r="V824">
        <v>0.20803796486333642</v>
      </c>
      <c r="W824">
        <v>9.7090773456904866E-2</v>
      </c>
      <c r="X824">
        <v>2.9124807705937984E-2</v>
      </c>
      <c r="Y824">
        <v>4.123031108195222E-3</v>
      </c>
    </row>
    <row r="825" spans="1:25" x14ac:dyDescent="0.25">
      <c r="A825" s="1098"/>
      <c r="B825" s="1457">
        <v>575</v>
      </c>
      <c r="C825" s="1102">
        <v>0.98287282786521168</v>
      </c>
      <c r="D825" s="1102">
        <v>0.99787676718877327</v>
      </c>
      <c r="E825" s="1102">
        <v>1.0297622696934792</v>
      </c>
      <c r="F825" s="1102">
        <v>0.95307810941054538</v>
      </c>
      <c r="G825" s="1102">
        <v>0.97785867920859082</v>
      </c>
      <c r="H825" s="1102">
        <v>0.99767794523095488</v>
      </c>
      <c r="I825" s="1102">
        <v>0.98852571832153058</v>
      </c>
      <c r="K825">
        <v>1.5215928420455751</v>
      </c>
      <c r="L825">
        <v>0</v>
      </c>
      <c r="M825">
        <v>1.4830839094747694E-3</v>
      </c>
      <c r="N825">
        <v>0.14929044797339569</v>
      </c>
      <c r="O825">
        <v>0.11892649831360877</v>
      </c>
      <c r="P825">
        <v>1.5446275764731329E-2</v>
      </c>
      <c r="Q825">
        <v>9.4368893230578155E-4</v>
      </c>
      <c r="R825">
        <v>1.4796887322572347E-3</v>
      </c>
      <c r="S825">
        <v>0.11983454653640951</v>
      </c>
      <c r="T825">
        <v>0.78466838720309551</v>
      </c>
      <c r="U825">
        <v>0</v>
      </c>
      <c r="V825">
        <v>0.20373767223653155</v>
      </c>
      <c r="W825">
        <v>9.637392879904326E-2</v>
      </c>
      <c r="X825">
        <v>2.8347566513724991E-2</v>
      </c>
      <c r="Y825">
        <v>4.0272249499446978E-3</v>
      </c>
    </row>
    <row r="826" spans="1:25" x14ac:dyDescent="0.25">
      <c r="A826" s="1098"/>
      <c r="B826" s="1457">
        <v>576</v>
      </c>
      <c r="C826" s="1102">
        <v>0.98161744077258961</v>
      </c>
      <c r="D826" s="1102">
        <v>0.99233980677236799</v>
      </c>
      <c r="E826" s="1102">
        <v>0.97948193090170166</v>
      </c>
      <c r="F826" s="1102">
        <v>1.0064812332715569</v>
      </c>
      <c r="G826" s="1102">
        <v>1.0452859000841348</v>
      </c>
      <c r="H826" s="1102">
        <v>0.99027289722233025</v>
      </c>
      <c r="I826" s="1102">
        <v>1.0330416676213252</v>
      </c>
      <c r="K826">
        <v>1.5760447561846074</v>
      </c>
      <c r="L826">
        <v>0</v>
      </c>
      <c r="M826">
        <v>1.6481434139539581E-3</v>
      </c>
      <c r="N826">
        <v>0.14253075303621335</v>
      </c>
      <c r="O826">
        <v>0.12318542664428069</v>
      </c>
      <c r="P826">
        <v>1.5670561456876602E-2</v>
      </c>
      <c r="Q826">
        <v>8.9901096974494938E-4</v>
      </c>
      <c r="R826">
        <v>1.6443615047328191E-3</v>
      </c>
      <c r="S826">
        <v>0.12543461297880673</v>
      </c>
      <c r="T826">
        <v>0.83196829186877808</v>
      </c>
      <c r="U826">
        <v>0</v>
      </c>
      <c r="V826">
        <v>0.20977045004394565</v>
      </c>
      <c r="W826">
        <v>9.4791269571817383E-2</v>
      </c>
      <c r="X826">
        <v>2.7322751571105659E-2</v>
      </c>
      <c r="Y826">
        <v>4.4754099522583812E-3</v>
      </c>
    </row>
    <row r="827" spans="1:25" x14ac:dyDescent="0.25">
      <c r="A827" s="1098"/>
      <c r="B827" s="1457">
        <v>577</v>
      </c>
      <c r="C827" s="1102">
        <v>0.96126522698941552</v>
      </c>
      <c r="D827" s="1102">
        <v>0.9978543921319214</v>
      </c>
      <c r="E827" s="1102">
        <v>1.033590041219391</v>
      </c>
      <c r="F827" s="1102">
        <v>0.97215045947437739</v>
      </c>
      <c r="G827" s="1102">
        <v>0.96240922945919893</v>
      </c>
      <c r="H827" s="1102">
        <v>1.0022274087540746</v>
      </c>
      <c r="I827" s="1102">
        <v>0.96448969324308897</v>
      </c>
      <c r="K827">
        <v>1.550297795285428</v>
      </c>
      <c r="L827">
        <v>0</v>
      </c>
      <c r="M827">
        <v>1.5110530747624599E-3</v>
      </c>
      <c r="N827">
        <v>0.15387255499812011</v>
      </c>
      <c r="O827">
        <v>0.12141727274771234</v>
      </c>
      <c r="P827">
        <v>1.5737469628804013E-2</v>
      </c>
      <c r="Q827">
        <v>9.6868304860468204E-4</v>
      </c>
      <c r="R827">
        <v>1.5076091350216146E-3</v>
      </c>
      <c r="S827">
        <v>0.11990827020420218</v>
      </c>
      <c r="T827">
        <v>0.80012879630570299</v>
      </c>
      <c r="U827">
        <v>0</v>
      </c>
      <c r="V827">
        <v>0.20596588261564894</v>
      </c>
      <c r="W827">
        <v>9.9111718008551189E-2</v>
      </c>
      <c r="X827">
        <v>2.9087376585511877E-2</v>
      </c>
      <c r="Y827">
        <v>4.103215082311042E-3</v>
      </c>
    </row>
    <row r="828" spans="1:25" x14ac:dyDescent="0.25">
      <c r="A828" s="1098"/>
      <c r="B828" s="1457">
        <v>578</v>
      </c>
      <c r="C828" s="1102">
        <v>1.0288385787247465</v>
      </c>
      <c r="D828" s="1102">
        <v>1.0010056667512379</v>
      </c>
      <c r="E828" s="1102">
        <v>1.0299813758235288</v>
      </c>
      <c r="F828" s="1102">
        <v>0.95313368623195693</v>
      </c>
      <c r="G828" s="1102">
        <v>1.0106606282833648</v>
      </c>
      <c r="H828" s="1102">
        <v>1.0134680375575484</v>
      </c>
      <c r="I828" s="1102">
        <v>1.0122105286917868</v>
      </c>
      <c r="K828">
        <v>1.5079515717679823</v>
      </c>
      <c r="L828">
        <v>0</v>
      </c>
      <c r="M828">
        <v>1.4410272591178594E-3</v>
      </c>
      <c r="N828">
        <v>0.14515893162197932</v>
      </c>
      <c r="O828">
        <v>0.11651827051648711</v>
      </c>
      <c r="P828">
        <v>1.5396843640333984E-2</v>
      </c>
      <c r="Q828">
        <v>9.0060054895322803E-4</v>
      </c>
      <c r="R828">
        <v>1.4377893071309533E-3</v>
      </c>
      <c r="S828">
        <v>0.11850334812630625</v>
      </c>
      <c r="T828">
        <v>0.78470055894337909</v>
      </c>
      <c r="U828">
        <v>0</v>
      </c>
      <c r="V828">
        <v>0.20131756584893934</v>
      </c>
      <c r="W828">
        <v>9.3694924187992149E-2</v>
      </c>
      <c r="X828">
        <v>2.7850577758704361E-2</v>
      </c>
      <c r="Y828">
        <v>3.913188526892741E-3</v>
      </c>
    </row>
    <row r="829" spans="1:25" x14ac:dyDescent="0.25">
      <c r="A829" s="1098"/>
      <c r="B829" s="1457">
        <v>579</v>
      </c>
      <c r="C829" s="1102">
        <v>1.0031611313874607</v>
      </c>
      <c r="D829" s="1102">
        <v>0.97770540158572672</v>
      </c>
      <c r="E829" s="1102">
        <v>0.98921970628973221</v>
      </c>
      <c r="F829" s="1102">
        <v>0.98965310420525665</v>
      </c>
      <c r="G829" s="1102">
        <v>1.0119983544428404</v>
      </c>
      <c r="H829" s="1102">
        <v>0.98769535964619148</v>
      </c>
      <c r="I829" s="1102">
        <v>0.99582360803741787</v>
      </c>
      <c r="K829">
        <v>1.5473851404696655</v>
      </c>
      <c r="L829">
        <v>0</v>
      </c>
      <c r="M829">
        <v>1.5902587969623965E-3</v>
      </c>
      <c r="N829">
        <v>0.14163583973886537</v>
      </c>
      <c r="O829">
        <v>0.12150522226258838</v>
      </c>
      <c r="P829">
        <v>1.5454651453207516E-2</v>
      </c>
      <c r="Q829">
        <v>8.9400310513045869E-4</v>
      </c>
      <c r="R829">
        <v>1.5866103101217569E-3</v>
      </c>
      <c r="S829">
        <v>0.11920993403640311</v>
      </c>
      <c r="T829">
        <v>0.81741693125309023</v>
      </c>
      <c r="U829">
        <v>0</v>
      </c>
      <c r="V829">
        <v>0.20601186689538215</v>
      </c>
      <c r="W829">
        <v>9.3645754950381146E-2</v>
      </c>
      <c r="X829">
        <v>2.7296355023254778E-2</v>
      </c>
      <c r="Y829">
        <v>4.3182302382032568E-3</v>
      </c>
    </row>
    <row r="830" spans="1:25" x14ac:dyDescent="0.25">
      <c r="A830" s="1098"/>
      <c r="B830" s="1457">
        <v>580</v>
      </c>
      <c r="C830" s="1102">
        <v>1.0110579418967234</v>
      </c>
      <c r="D830" s="1102">
        <v>1.0054649200772665</v>
      </c>
      <c r="E830" s="1102">
        <v>1.0059857887002499</v>
      </c>
      <c r="F830" s="1102">
        <v>0.98813475884661806</v>
      </c>
      <c r="G830" s="1102">
        <v>0.95281266576782331</v>
      </c>
      <c r="H830" s="1102">
        <v>0.97455459883801787</v>
      </c>
      <c r="I830" s="1102">
        <v>0.98559492888440614</v>
      </c>
      <c r="K830">
        <v>1.5282640270826775</v>
      </c>
      <c r="L830">
        <v>0</v>
      </c>
      <c r="M830">
        <v>1.4806998604212271E-3</v>
      </c>
      <c r="N830">
        <v>0.13872581578079421</v>
      </c>
      <c r="O830">
        <v>0.11972443477644665</v>
      </c>
      <c r="P830">
        <v>1.5490860655185585E-2</v>
      </c>
      <c r="Q830">
        <v>8.9254313118265608E-4</v>
      </c>
      <c r="R830">
        <v>1.4772424921251272E-3</v>
      </c>
      <c r="S830">
        <v>0.11417826813247961</v>
      </c>
      <c r="T830">
        <v>0.81506788674912056</v>
      </c>
      <c r="U830">
        <v>0</v>
      </c>
      <c r="V830">
        <v>0.20179787779688266</v>
      </c>
      <c r="W830">
        <v>9.081054984266522E-2</v>
      </c>
      <c r="X830">
        <v>2.7558680495506756E-2</v>
      </c>
      <c r="Y830">
        <v>4.0205670907079438E-3</v>
      </c>
    </row>
    <row r="831" spans="1:25" x14ac:dyDescent="0.25">
      <c r="A831" s="1098"/>
      <c r="B831" s="1457">
        <v>581</v>
      </c>
      <c r="C831" s="1102">
        <v>1.0097431057388537</v>
      </c>
      <c r="D831" s="1102">
        <v>0.98632006707107067</v>
      </c>
      <c r="E831" s="1102">
        <v>0.99971748717015629</v>
      </c>
      <c r="F831" s="1102">
        <v>0.98146870298200417</v>
      </c>
      <c r="G831" s="1102">
        <v>1.0403037411940892</v>
      </c>
      <c r="H831" s="1102">
        <v>0.99595907617047919</v>
      </c>
      <c r="I831" s="1102">
        <v>1.0023110261014068</v>
      </c>
      <c r="K831">
        <v>1.5397445707922897</v>
      </c>
      <c r="L831">
        <v>0</v>
      </c>
      <c r="M831">
        <v>1.5508596850914139E-3</v>
      </c>
      <c r="N831">
        <v>0.14258185356759293</v>
      </c>
      <c r="O831">
        <v>0.12017354714110405</v>
      </c>
      <c r="P831">
        <v>1.547660550619046E-2</v>
      </c>
      <c r="Q831">
        <v>8.9477899705409905E-4</v>
      </c>
      <c r="R831">
        <v>1.547325414728276E-3</v>
      </c>
      <c r="S831">
        <v>0.11924447198396954</v>
      </c>
      <c r="T831">
        <v>0.80997491865111049</v>
      </c>
      <c r="U831">
        <v>0</v>
      </c>
      <c r="V831">
        <v>0.20606276323774284</v>
      </c>
      <c r="W831">
        <v>9.3682315851236528E-2</v>
      </c>
      <c r="X831">
        <v>2.7445540423447348E-2</v>
      </c>
      <c r="Y831">
        <v>4.2113097032044876E-3</v>
      </c>
    </row>
    <row r="832" spans="1:25" x14ac:dyDescent="0.25">
      <c r="A832" s="1098"/>
      <c r="B832" s="1457">
        <v>582</v>
      </c>
      <c r="C832" s="1102">
        <v>0.98687114159011935</v>
      </c>
      <c r="D832" s="1102">
        <v>1.0222476991895653</v>
      </c>
      <c r="E832" s="1102">
        <v>1.0288363599508303</v>
      </c>
      <c r="F832" s="1102">
        <v>0.97500628739204709</v>
      </c>
      <c r="G832" s="1102">
        <v>0.98641798267263114</v>
      </c>
      <c r="H832" s="1102">
        <v>1.0135606300437459</v>
      </c>
      <c r="I832" s="1102">
        <v>1.0241625943676038</v>
      </c>
      <c r="K832">
        <v>1.5443342418325348</v>
      </c>
      <c r="L832">
        <v>0</v>
      </c>
      <c r="M832">
        <v>1.4863122554975448E-3</v>
      </c>
      <c r="N832">
        <v>0.14920311600608227</v>
      </c>
      <c r="O832">
        <v>0.11924532810300155</v>
      </c>
      <c r="P832">
        <v>1.574367278131111E-2</v>
      </c>
      <c r="Q832">
        <v>9.2995848894875588E-4</v>
      </c>
      <c r="R832">
        <v>1.4829568464403554E-3</v>
      </c>
      <c r="S832">
        <v>0.12334525637190638</v>
      </c>
      <c r="T832">
        <v>0.80278057786805368</v>
      </c>
      <c r="U832">
        <v>0</v>
      </c>
      <c r="V832">
        <v>0.20421607671889319</v>
      </c>
      <c r="W832">
        <v>9.6369361962073075E-2</v>
      </c>
      <c r="X832">
        <v>2.8468129261904594E-2</v>
      </c>
      <c r="Y832">
        <v>4.0361196794176032E-3</v>
      </c>
    </row>
    <row r="833" spans="1:25" x14ac:dyDescent="0.25">
      <c r="A833" s="1098"/>
      <c r="B833" s="1457">
        <v>583</v>
      </c>
      <c r="C833" s="1102">
        <v>0.99315434523178325</v>
      </c>
      <c r="D833" s="1102">
        <v>0.97568746042889076</v>
      </c>
      <c r="E833" s="1102">
        <v>1.0003451631534173</v>
      </c>
      <c r="F833" s="1102">
        <v>1.0186934095951619</v>
      </c>
      <c r="G833" s="1102">
        <v>0.97631995795981907</v>
      </c>
      <c r="H833" s="1102">
        <v>1.0098204296613966</v>
      </c>
      <c r="I833" s="1102">
        <v>0.99774770639182164</v>
      </c>
      <c r="K833">
        <v>1.5895607110064285</v>
      </c>
      <c r="L833">
        <v>0</v>
      </c>
      <c r="M833">
        <v>1.6091336005059518E-3</v>
      </c>
      <c r="N833">
        <v>0.1482260121890272</v>
      </c>
      <c r="O833">
        <v>0.12414037945883712</v>
      </c>
      <c r="P833">
        <v>1.5960453457773648E-2</v>
      </c>
      <c r="Q833">
        <v>9.1427198750399787E-4</v>
      </c>
      <c r="R833">
        <v>1.6055293802268468E-3</v>
      </c>
      <c r="S833">
        <v>0.12272316551954066</v>
      </c>
      <c r="T833">
        <v>0.84065307622874763</v>
      </c>
      <c r="U833">
        <v>0</v>
      </c>
      <c r="V833">
        <v>0.20685521897203846</v>
      </c>
      <c r="W833">
        <v>9.7354442526395871E-2</v>
      </c>
      <c r="X833">
        <v>2.8367573176483047E-2</v>
      </c>
      <c r="Y833">
        <v>4.369721710359529E-3</v>
      </c>
    </row>
    <row r="834" spans="1:25" x14ac:dyDescent="0.25">
      <c r="A834" s="1098"/>
      <c r="B834" s="1457">
        <v>584</v>
      </c>
      <c r="C834" s="1102">
        <v>1.0078706075333361</v>
      </c>
      <c r="D834" s="1102">
        <v>1.0019860432329033</v>
      </c>
      <c r="E834" s="1102">
        <v>0.98648925018748601</v>
      </c>
      <c r="F834" s="1102">
        <v>1.0039248096777922</v>
      </c>
      <c r="G834" s="1102">
        <v>1.0135997864025876</v>
      </c>
      <c r="H834" s="1102">
        <v>1.019342368864818</v>
      </c>
      <c r="I834" s="1102">
        <v>1.018154707898228</v>
      </c>
      <c r="K834">
        <v>1.5648266076591586</v>
      </c>
      <c r="L834">
        <v>0</v>
      </c>
      <c r="M834">
        <v>1.6224929936632007E-3</v>
      </c>
      <c r="N834">
        <v>0.14332792721384624</v>
      </c>
      <c r="O834">
        <v>0.12119891571586738</v>
      </c>
      <c r="P834">
        <v>1.56203054387419E-2</v>
      </c>
      <c r="Q834">
        <v>8.7862998440031725E-4</v>
      </c>
      <c r="R834">
        <v>1.6188766281157378E-3</v>
      </c>
      <c r="S834">
        <v>0.12219245188788276</v>
      </c>
      <c r="T834">
        <v>0.82938686391126504</v>
      </c>
      <c r="U834">
        <v>0</v>
      </c>
      <c r="V834">
        <v>0.20569134776660036</v>
      </c>
      <c r="W834">
        <v>9.491991492828919E-2</v>
      </c>
      <c r="X834">
        <v>2.7207818658617586E-2</v>
      </c>
      <c r="Y834">
        <v>4.4060485191940038E-3</v>
      </c>
    </row>
    <row r="835" spans="1:25" x14ac:dyDescent="0.25">
      <c r="A835" s="1098"/>
      <c r="B835" s="1457">
        <v>585</v>
      </c>
      <c r="C835" s="1102">
        <v>1.0059332480794851</v>
      </c>
      <c r="D835" s="1102">
        <v>0.97655203586460004</v>
      </c>
      <c r="E835" s="1102">
        <v>0.97326890168745805</v>
      </c>
      <c r="F835" s="1102">
        <v>0.99046872619215609</v>
      </c>
      <c r="G835" s="1102">
        <v>1.0005945013099038</v>
      </c>
      <c r="H835" s="1102">
        <v>1.0237087637766631</v>
      </c>
      <c r="I835" s="1102">
        <v>1.0073223660251682</v>
      </c>
      <c r="K835">
        <v>1.55739927129251</v>
      </c>
      <c r="L835">
        <v>0</v>
      </c>
      <c r="M835">
        <v>1.7004287210860079E-3</v>
      </c>
      <c r="N835">
        <v>0.14432497472894779</v>
      </c>
      <c r="O835">
        <v>0.12151894571696067</v>
      </c>
      <c r="P835">
        <v>1.5336033966662263E-2</v>
      </c>
      <c r="Q835">
        <v>8.7718452082415663E-4</v>
      </c>
      <c r="R835">
        <v>1.6966664815154799E-3</v>
      </c>
      <c r="S835">
        <v>0.12322509533778947</v>
      </c>
      <c r="T835">
        <v>0.81914310923876699</v>
      </c>
      <c r="U835">
        <v>0</v>
      </c>
      <c r="V835">
        <v>0.20531571251911537</v>
      </c>
      <c r="W835">
        <v>9.6346341676060543E-2</v>
      </c>
      <c r="X835">
        <v>2.6697868970223842E-2</v>
      </c>
      <c r="Y835">
        <v>4.6177668567298205E-3</v>
      </c>
    </row>
    <row r="836" spans="1:25" x14ac:dyDescent="0.25">
      <c r="A836" s="1098"/>
      <c r="B836" s="1457">
        <v>586</v>
      </c>
      <c r="C836" s="1102">
        <v>0.99939346421333441</v>
      </c>
      <c r="D836" s="1102">
        <v>1.005934651208898</v>
      </c>
      <c r="E836" s="1102">
        <v>1.0133833104051511</v>
      </c>
      <c r="F836" s="1102">
        <v>0.99328886820324291</v>
      </c>
      <c r="G836" s="1102">
        <v>1.000248157548439</v>
      </c>
      <c r="H836" s="1102">
        <v>1.0063801873042202</v>
      </c>
      <c r="I836" s="1102">
        <v>0.99961082111595567</v>
      </c>
      <c r="K836">
        <v>1.5540894134287535</v>
      </c>
      <c r="L836">
        <v>0</v>
      </c>
      <c r="M836">
        <v>1.522225813627918E-3</v>
      </c>
      <c r="N836">
        <v>0.14584794942466453</v>
      </c>
      <c r="O836">
        <v>0.12063727126775206</v>
      </c>
      <c r="P836">
        <v>1.5749303130964693E-2</v>
      </c>
      <c r="Q836">
        <v>9.0970680430037764E-4</v>
      </c>
      <c r="R836">
        <v>1.5187820767172823E-3</v>
      </c>
      <c r="S836">
        <v>0.11961459189093453</v>
      </c>
      <c r="T836">
        <v>0.81883651511029021</v>
      </c>
      <c r="U836">
        <v>0</v>
      </c>
      <c r="V836">
        <v>0.20517812824422765</v>
      </c>
      <c r="W836">
        <v>9.5057068525969221E-2</v>
      </c>
      <c r="X836">
        <v>2.8128698620114159E-2</v>
      </c>
      <c r="Y836">
        <v>4.1336241464474113E-3</v>
      </c>
    </row>
    <row r="837" spans="1:25" x14ac:dyDescent="0.25">
      <c r="A837" s="1098"/>
      <c r="B837" s="1457">
        <v>587</v>
      </c>
      <c r="C837" s="1102">
        <v>0.97752272041175092</v>
      </c>
      <c r="D837" s="1102">
        <v>0.98402974548122413</v>
      </c>
      <c r="E837" s="1102">
        <v>0.97697964021779315</v>
      </c>
      <c r="F837" s="1102">
        <v>1.0225280085182922</v>
      </c>
      <c r="G837" s="1102">
        <v>0.96567537286315375</v>
      </c>
      <c r="H837" s="1102">
        <v>0.97743011968927296</v>
      </c>
      <c r="I837" s="1102">
        <v>1.0353824588103704</v>
      </c>
      <c r="K837">
        <v>1.5887210584889189</v>
      </c>
      <c r="L837">
        <v>0</v>
      </c>
      <c r="M837">
        <v>1.651404451489473E-3</v>
      </c>
      <c r="N837">
        <v>0.14173194238635189</v>
      </c>
      <c r="O837">
        <v>0.12492715465022353</v>
      </c>
      <c r="P837">
        <v>1.5797839013836339E-2</v>
      </c>
      <c r="Q837">
        <v>9.0344425462424811E-4</v>
      </c>
      <c r="R837">
        <v>1.6475741419587271E-3</v>
      </c>
      <c r="S837">
        <v>0.12586462543575144</v>
      </c>
      <c r="T837">
        <v>0.84540343531698792</v>
      </c>
      <c r="U837">
        <v>0</v>
      </c>
      <c r="V837">
        <v>0.20763403133650044</v>
      </c>
      <c r="W837">
        <v>9.4402743120878804E-2</v>
      </c>
      <c r="X837">
        <v>2.7575519591553164E-2</v>
      </c>
      <c r="Y837">
        <v>4.4841536917417267E-3</v>
      </c>
    </row>
    <row r="838" spans="1:25" x14ac:dyDescent="0.25">
      <c r="A838" s="1098"/>
      <c r="B838" s="1457">
        <v>588</v>
      </c>
      <c r="C838" s="1102">
        <v>1.0028135597438954</v>
      </c>
      <c r="D838" s="1102">
        <v>0.99346550907283926</v>
      </c>
      <c r="E838" s="1102">
        <v>1.0246619233542418</v>
      </c>
      <c r="F838" s="1102">
        <v>1.0108719791761636</v>
      </c>
      <c r="G838" s="1102">
        <v>1.0164354969761709</v>
      </c>
      <c r="H838" s="1102">
        <v>1.0215929373969914</v>
      </c>
      <c r="I838" s="1102">
        <v>0.98728438492692927</v>
      </c>
      <c r="K838">
        <v>1.5795984872100253</v>
      </c>
      <c r="L838">
        <v>0</v>
      </c>
      <c r="M838">
        <v>1.5173288017762204E-3</v>
      </c>
      <c r="N838">
        <v>0.15041707823773068</v>
      </c>
      <c r="O838">
        <v>0.12220973815770161</v>
      </c>
      <c r="P838">
        <v>1.6100137589737901E-2</v>
      </c>
      <c r="Q838">
        <v>9.2174755362394627E-4</v>
      </c>
      <c r="R838">
        <v>1.5139596312641866E-3</v>
      </c>
      <c r="S838">
        <v>0.11995656477190293</v>
      </c>
      <c r="T838">
        <v>0.83258585180000444</v>
      </c>
      <c r="U838">
        <v>0</v>
      </c>
      <c r="V838">
        <v>0.20692606826474386</v>
      </c>
      <c r="W838">
        <v>9.7389759368749856E-2</v>
      </c>
      <c r="X838">
        <v>2.8974411596697353E-2</v>
      </c>
      <c r="Y838">
        <v>4.1204990396428E-3</v>
      </c>
    </row>
    <row r="839" spans="1:25" x14ac:dyDescent="0.25">
      <c r="A839" s="1098"/>
      <c r="B839" s="1457">
        <v>589</v>
      </c>
      <c r="C839" s="1102">
        <v>0.9864638880768275</v>
      </c>
      <c r="D839" s="1102">
        <v>0.99601966607986703</v>
      </c>
      <c r="E839" s="1102">
        <v>1.005375250925318</v>
      </c>
      <c r="F839" s="1102">
        <v>0.99124030520921635</v>
      </c>
      <c r="G839" s="1102">
        <v>1.0008646143880335</v>
      </c>
      <c r="H839" s="1102">
        <v>1.0061035974037151</v>
      </c>
      <c r="I839" s="1102">
        <v>0.98690851262596124</v>
      </c>
      <c r="K839">
        <v>1.5585600025167798</v>
      </c>
      <c r="L839">
        <v>0</v>
      </c>
      <c r="M839">
        <v>1.574647775737638E-3</v>
      </c>
      <c r="N839">
        <v>0.14726677807095745</v>
      </c>
      <c r="O839">
        <v>0.12161816249398451</v>
      </c>
      <c r="P839">
        <v>1.5666500179511121E-2</v>
      </c>
      <c r="Q839">
        <v>9.1767645143567744E-4</v>
      </c>
      <c r="R839">
        <v>1.5710862950429067E-3</v>
      </c>
      <c r="S839">
        <v>0.12022343657536561</v>
      </c>
      <c r="T839">
        <v>0.81766935215895831</v>
      </c>
      <c r="U839">
        <v>0</v>
      </c>
      <c r="V839">
        <v>0.20648661542045452</v>
      </c>
      <c r="W839">
        <v>9.6436333681671912E-2</v>
      </c>
      <c r="X839">
        <v>2.8002729978486185E-2</v>
      </c>
      <c r="Y839">
        <v>4.2759789866488214E-3</v>
      </c>
    </row>
    <row r="840" spans="1:25" x14ac:dyDescent="0.25">
      <c r="A840" s="1098"/>
      <c r="B840" s="1457">
        <v>590</v>
      </c>
      <c r="C840" s="1102">
        <v>0.9664394293246048</v>
      </c>
      <c r="D840" s="1102">
        <v>1.0006947564774031</v>
      </c>
      <c r="E840" s="1102">
        <v>1.0124882258961505</v>
      </c>
      <c r="F840" s="1102">
        <v>0.99796138043299054</v>
      </c>
      <c r="G840" s="1102">
        <v>0.9649206972555191</v>
      </c>
      <c r="H840" s="1102">
        <v>0.99271487791917568</v>
      </c>
      <c r="I840" s="1102">
        <v>1.0107020977598069</v>
      </c>
      <c r="K840">
        <v>1.5720653540680911</v>
      </c>
      <c r="L840">
        <v>0</v>
      </c>
      <c r="M840">
        <v>1.5569254101885602E-3</v>
      </c>
      <c r="N840">
        <v>0.14876504780952737</v>
      </c>
      <c r="O840">
        <v>0.12292438087825437</v>
      </c>
      <c r="P840">
        <v>1.5878174355692633E-2</v>
      </c>
      <c r="Q840">
        <v>9.4182516719444923E-4</v>
      </c>
      <c r="R840">
        <v>1.5533501550537598E-3</v>
      </c>
      <c r="S840">
        <v>0.12414651487364729</v>
      </c>
      <c r="T840">
        <v>0.82274698359436205</v>
      </c>
      <c r="U840">
        <v>0</v>
      </c>
      <c r="V840">
        <v>0.20685109439219637</v>
      </c>
      <c r="W840">
        <v>9.7009371551558199E-2</v>
      </c>
      <c r="X840">
        <v>2.8577829640478287E-2</v>
      </c>
      <c r="Y840">
        <v>4.2277070603153402E-3</v>
      </c>
    </row>
    <row r="841" spans="1:25" x14ac:dyDescent="0.25">
      <c r="A841" s="1098"/>
      <c r="B841" s="1457">
        <v>591</v>
      </c>
      <c r="C841" s="1102">
        <v>1.0080215910957764</v>
      </c>
      <c r="D841" s="1102">
        <v>0.99662139234068592</v>
      </c>
      <c r="E841" s="1102">
        <v>0.9925281332510868</v>
      </c>
      <c r="F841" s="1102">
        <v>0.98369688889303974</v>
      </c>
      <c r="G841" s="1102">
        <v>0.97748237492669166</v>
      </c>
      <c r="H841" s="1102">
        <v>0.9898939086549482</v>
      </c>
      <c r="I841" s="1102">
        <v>1.0088044436790049</v>
      </c>
      <c r="K841">
        <v>1.5347051478230618</v>
      </c>
      <c r="L841">
        <v>0</v>
      </c>
      <c r="M841">
        <v>1.5581373850328839E-3</v>
      </c>
      <c r="N841">
        <v>0.14016963388573472</v>
      </c>
      <c r="O841">
        <v>0.11999107842568826</v>
      </c>
      <c r="P841">
        <v>1.5382036650395923E-2</v>
      </c>
      <c r="Q841">
        <v>8.8594752037780822E-4</v>
      </c>
      <c r="R841">
        <v>1.5545588226918334E-3</v>
      </c>
      <c r="S841">
        <v>0.11898821049332749</v>
      </c>
      <c r="T841">
        <v>0.81228151623346612</v>
      </c>
      <c r="U841">
        <v>0</v>
      </c>
      <c r="V841">
        <v>0.20317187599984599</v>
      </c>
      <c r="W841">
        <v>9.249296835713107E-2</v>
      </c>
      <c r="X841">
        <v>2.7114462164246178E-2</v>
      </c>
      <c r="Y841">
        <v>4.2309966551889984E-3</v>
      </c>
    </row>
    <row r="842" spans="1:25" x14ac:dyDescent="0.25">
      <c r="A842" s="1098"/>
      <c r="B842" s="1457">
        <v>592</v>
      </c>
      <c r="C842" s="1102">
        <v>1.0138108240195454</v>
      </c>
      <c r="D842" s="1102">
        <v>0.98211423913021934</v>
      </c>
      <c r="E842" s="1102">
        <v>0.99852481648343538</v>
      </c>
      <c r="F842" s="1102">
        <v>0.96310976193364684</v>
      </c>
      <c r="G842" s="1102">
        <v>1.0123560988038893</v>
      </c>
      <c r="H842" s="1102">
        <v>1.0174602358421723</v>
      </c>
      <c r="I842" s="1102">
        <v>0.98054006082431999</v>
      </c>
      <c r="K842">
        <v>1.5234403021503833</v>
      </c>
      <c r="L842">
        <v>0</v>
      </c>
      <c r="M842">
        <v>1.5838525158596763E-3</v>
      </c>
      <c r="N842">
        <v>0.14509818931382695</v>
      </c>
      <c r="O842">
        <v>0.11885786401977998</v>
      </c>
      <c r="P842">
        <v>1.5208184669416841E-2</v>
      </c>
      <c r="Q842">
        <v>8.9160975900970949E-4</v>
      </c>
      <c r="R842">
        <v>1.5803176709102374E-3</v>
      </c>
      <c r="S842">
        <v>0.11805209797946033</v>
      </c>
      <c r="T842">
        <v>0.79489972943654308</v>
      </c>
      <c r="U842">
        <v>0</v>
      </c>
      <c r="V842">
        <v>0.20363278716004862</v>
      </c>
      <c r="W842">
        <v>9.5403305356329293E-2</v>
      </c>
      <c r="X842">
        <v>2.7098965552278743E-2</v>
      </c>
      <c r="Y842">
        <v>4.3011037486374599E-3</v>
      </c>
    </row>
    <row r="843" spans="1:25" x14ac:dyDescent="0.25">
      <c r="A843" s="1098"/>
      <c r="B843" s="1457">
        <v>593</v>
      </c>
      <c r="C843" s="1102">
        <v>1.0229755629719475</v>
      </c>
      <c r="D843" s="1102">
        <v>0.99100394034774675</v>
      </c>
      <c r="E843" s="1102">
        <v>0.98416242318060887</v>
      </c>
      <c r="F843" s="1102">
        <v>0.96377740653633004</v>
      </c>
      <c r="G843" s="1102">
        <v>0.97982381899607263</v>
      </c>
      <c r="H843" s="1102">
        <v>1.0486926025020895</v>
      </c>
      <c r="I843" s="1102">
        <v>0.98216510201050911</v>
      </c>
      <c r="K843">
        <v>1.523555299690974</v>
      </c>
      <c r="L843">
        <v>0</v>
      </c>
      <c r="M843">
        <v>1.6594632490137462E-3</v>
      </c>
      <c r="N843">
        <v>0.14557482293011642</v>
      </c>
      <c r="O843">
        <v>0.11810941849976235</v>
      </c>
      <c r="P843">
        <v>1.5043737420884516E-2</v>
      </c>
      <c r="Q843">
        <v>8.6736940121346197E-4</v>
      </c>
      <c r="R843">
        <v>1.6558672655447211E-3</v>
      </c>
      <c r="S843">
        <v>0.1189774262366203</v>
      </c>
      <c r="T843">
        <v>0.79636841312486251</v>
      </c>
      <c r="U843">
        <v>0</v>
      </c>
      <c r="V843">
        <v>0.20116750109671042</v>
      </c>
      <c r="W843">
        <v>9.654291376580719E-2</v>
      </c>
      <c r="X843">
        <v>2.6400568358148052E-2</v>
      </c>
      <c r="Y843">
        <v>4.506724840315347E-3</v>
      </c>
    </row>
    <row r="844" spans="1:25" x14ac:dyDescent="0.25">
      <c r="A844" s="1098"/>
      <c r="B844" s="1457">
        <v>594</v>
      </c>
      <c r="C844" s="1102">
        <v>1.0063555500764922</v>
      </c>
      <c r="D844" s="1102">
        <v>1.0023338597758404</v>
      </c>
      <c r="E844" s="1102">
        <v>0.99451801815597785</v>
      </c>
      <c r="F844" s="1102">
        <v>0.98231064775165955</v>
      </c>
      <c r="G844" s="1102">
        <v>0.99395525340223911</v>
      </c>
      <c r="H844" s="1102">
        <v>0.99860645812628546</v>
      </c>
      <c r="I844" s="1102">
        <v>1.0073983269296083</v>
      </c>
      <c r="K844">
        <v>1.5361328769329636</v>
      </c>
      <c r="L844">
        <v>0</v>
      </c>
      <c r="M844">
        <v>1.5625515729417107E-3</v>
      </c>
      <c r="N844">
        <v>0.14141721176521546</v>
      </c>
      <c r="O844">
        <v>0.1197218160125712</v>
      </c>
      <c r="P844">
        <v>1.5400556892127378E-2</v>
      </c>
      <c r="Q844">
        <v>8.8722262714911173E-4</v>
      </c>
      <c r="R844">
        <v>1.5589899880597425E-3</v>
      </c>
      <c r="S844">
        <v>0.11928946068813631</v>
      </c>
      <c r="T844">
        <v>0.81100739079669359</v>
      </c>
      <c r="U844">
        <v>0</v>
      </c>
      <c r="V844">
        <v>0.20381365728412701</v>
      </c>
      <c r="W844">
        <v>9.320533740579047E-2</v>
      </c>
      <c r="X844">
        <v>2.7150728219446557E-2</v>
      </c>
      <c r="Y844">
        <v>4.2430568265871722E-3</v>
      </c>
    </row>
    <row r="845" spans="1:25" x14ac:dyDescent="0.25">
      <c r="A845" s="1098"/>
      <c r="B845" s="1457">
        <v>595</v>
      </c>
      <c r="C845" s="1102">
        <v>1.0233519010413943</v>
      </c>
      <c r="D845" s="1102">
        <v>0.96807329985854751</v>
      </c>
      <c r="E845" s="1102">
        <v>1.0050921761905753</v>
      </c>
      <c r="F845" s="1102">
        <v>0.99928447081931415</v>
      </c>
      <c r="G845" s="1102">
        <v>0.98655686452346958</v>
      </c>
      <c r="H845" s="1102">
        <v>1.0450568737629067</v>
      </c>
      <c r="I845" s="1102">
        <v>0.99372712718093048</v>
      </c>
      <c r="K845">
        <v>1.569738499838659</v>
      </c>
      <c r="L845">
        <v>0</v>
      </c>
      <c r="M845">
        <v>1.6086177322980856E-3</v>
      </c>
      <c r="N845">
        <v>0.1503305589739396</v>
      </c>
      <c r="O845">
        <v>0.121557084196978</v>
      </c>
      <c r="P845">
        <v>1.5745058940134928E-2</v>
      </c>
      <c r="Q845">
        <v>8.9446332640972809E-4</v>
      </c>
      <c r="R845">
        <v>1.605143283859933E-3</v>
      </c>
      <c r="S845">
        <v>0.12201373339126168</v>
      </c>
      <c r="T845">
        <v>0.82432357134328071</v>
      </c>
      <c r="U845">
        <v>0</v>
      </c>
      <c r="V845">
        <v>0.20402495571695439</v>
      </c>
      <c r="W845">
        <v>9.8459118745072391E-2</v>
      </c>
      <c r="X845">
        <v>2.8024758769740962E-2</v>
      </c>
      <c r="Y845">
        <v>4.3686708833254213E-3</v>
      </c>
    </row>
    <row r="846" spans="1:25" x14ac:dyDescent="0.25">
      <c r="A846" s="1098"/>
      <c r="B846" s="1457">
        <v>596</v>
      </c>
      <c r="C846" s="1102">
        <v>1.0032201188905137</v>
      </c>
      <c r="D846" s="1102">
        <v>0.98465716200955467</v>
      </c>
      <c r="E846" s="1102">
        <v>0.99066567736831013</v>
      </c>
      <c r="F846" s="1102">
        <v>1.0127197052094117</v>
      </c>
      <c r="G846" s="1102">
        <v>1.0094264054571958</v>
      </c>
      <c r="H846" s="1102">
        <v>1.0147054902191557</v>
      </c>
      <c r="I846" s="1102">
        <v>0.98765400615679311</v>
      </c>
      <c r="K846">
        <v>1.5762413666889796</v>
      </c>
      <c r="L846">
        <v>0</v>
      </c>
      <c r="M846">
        <v>1.6251597205456361E-3</v>
      </c>
      <c r="N846">
        <v>0.14538755895226627</v>
      </c>
      <c r="O846">
        <v>0.12281308442671407</v>
      </c>
      <c r="P846">
        <v>1.5750524913342893E-2</v>
      </c>
      <c r="Q846">
        <v>8.927652379329276E-4</v>
      </c>
      <c r="R846">
        <v>1.6215326511497396E-3</v>
      </c>
      <c r="S846">
        <v>0.11999707188054851</v>
      </c>
      <c r="T846">
        <v>0.83637194809814641</v>
      </c>
      <c r="U846">
        <v>0</v>
      </c>
      <c r="V846">
        <v>0.20688187336536798</v>
      </c>
      <c r="W846">
        <v>9.6043054704192651E-2</v>
      </c>
      <c r="X846">
        <v>2.7693834841530148E-2</v>
      </c>
      <c r="Y846">
        <v>4.4132773383348005E-3</v>
      </c>
    </row>
    <row r="847" spans="1:25" x14ac:dyDescent="0.25">
      <c r="A847" s="1098"/>
      <c r="B847" s="1457">
        <v>597</v>
      </c>
      <c r="C847" s="1102">
        <v>0.99785398432911787</v>
      </c>
      <c r="D847" s="1102">
        <v>0.98807586150177096</v>
      </c>
      <c r="E847" s="1102">
        <v>0.98748409454607267</v>
      </c>
      <c r="F847" s="1102">
        <v>1.0345722905563663</v>
      </c>
      <c r="G847" s="1102">
        <v>0.98750683801103589</v>
      </c>
      <c r="H847" s="1102">
        <v>0.95565606935746128</v>
      </c>
      <c r="I847" s="1102">
        <v>0.99078546375359711</v>
      </c>
      <c r="K847">
        <v>1.5794276970825532</v>
      </c>
      <c r="L847">
        <v>0</v>
      </c>
      <c r="M847">
        <v>1.5478483894436107E-3</v>
      </c>
      <c r="N847">
        <v>0.13712680525776946</v>
      </c>
      <c r="O847">
        <v>0.12447035559868673</v>
      </c>
      <c r="P847">
        <v>1.5914342447134425E-2</v>
      </c>
      <c r="Q847">
        <v>8.9335369194427862E-4</v>
      </c>
      <c r="R847">
        <v>1.5441827962092457E-3</v>
      </c>
      <c r="S847">
        <v>0.11617745173627719</v>
      </c>
      <c r="T847">
        <v>0.8546377321458728</v>
      </c>
      <c r="U847">
        <v>0</v>
      </c>
      <c r="V847">
        <v>0.20736582311098287</v>
      </c>
      <c r="W847">
        <v>9.075894371335938E-2</v>
      </c>
      <c r="X847">
        <v>2.7883798442201329E-2</v>
      </c>
      <c r="Y847">
        <v>4.2027565315596012E-3</v>
      </c>
    </row>
    <row r="848" spans="1:25" x14ac:dyDescent="0.25">
      <c r="A848" s="1098"/>
      <c r="B848" s="1457">
        <v>598</v>
      </c>
      <c r="C848" s="1102">
        <v>1.0102199542288228</v>
      </c>
      <c r="D848" s="1102">
        <v>0.97782482685039529</v>
      </c>
      <c r="E848" s="1102">
        <v>1.0171074463130267</v>
      </c>
      <c r="F848" s="1102">
        <v>0.99381497480709202</v>
      </c>
      <c r="G848" s="1102">
        <v>0.99188398531389788</v>
      </c>
      <c r="H848" s="1102">
        <v>1.0134468248128543</v>
      </c>
      <c r="I848" s="1102">
        <v>0.95201554563796531</v>
      </c>
      <c r="K848">
        <v>1.5543118512655154</v>
      </c>
      <c r="L848">
        <v>0</v>
      </c>
      <c r="M848">
        <v>1.5304020078722208E-3</v>
      </c>
      <c r="N848">
        <v>0.14829277901530352</v>
      </c>
      <c r="O848">
        <v>0.12135312109616275</v>
      </c>
      <c r="P848">
        <v>1.572898237995566E-2</v>
      </c>
      <c r="Q848">
        <v>9.1371099544877092E-4</v>
      </c>
      <c r="R848">
        <v>1.5269829124108382E-3</v>
      </c>
      <c r="S848">
        <v>0.11522517500794928</v>
      </c>
      <c r="T848">
        <v>0.8190277192114559</v>
      </c>
      <c r="U848">
        <v>0</v>
      </c>
      <c r="V848">
        <v>0.20477618069411091</v>
      </c>
      <c r="W848">
        <v>9.6439355392164638E-2</v>
      </c>
      <c r="X848">
        <v>2.8402302450624053E-2</v>
      </c>
      <c r="Y848">
        <v>4.1559441178005089E-3</v>
      </c>
    </row>
    <row r="849" spans="1:25" x14ac:dyDescent="0.25">
      <c r="A849" s="1098"/>
      <c r="B849" s="1457">
        <v>599</v>
      </c>
      <c r="C849" s="1102">
        <v>0.9711716839462915</v>
      </c>
      <c r="D849" s="1102">
        <v>0.97724546818249791</v>
      </c>
      <c r="E849" s="1102">
        <v>0.97395036269819646</v>
      </c>
      <c r="F849" s="1102">
        <v>0.98292280499386842</v>
      </c>
      <c r="G849" s="1102">
        <v>1.0150073864781373</v>
      </c>
      <c r="H849" s="1102">
        <v>1.0310141573705864</v>
      </c>
      <c r="I849" s="1102">
        <v>1.0255980758705341</v>
      </c>
      <c r="K849">
        <v>1.5727283568132429</v>
      </c>
      <c r="L849">
        <v>0</v>
      </c>
      <c r="M849">
        <v>1.7648296296701091E-3</v>
      </c>
      <c r="N849">
        <v>0.15010158518489586</v>
      </c>
      <c r="O849">
        <v>0.12275684932018037</v>
      </c>
      <c r="P849">
        <v>1.5396992225375567E-2</v>
      </c>
      <c r="Q849">
        <v>9.0897514522292626E-4</v>
      </c>
      <c r="R849">
        <v>1.7609393130891963E-3</v>
      </c>
      <c r="S849">
        <v>0.13022952841086291</v>
      </c>
      <c r="T849">
        <v>0.81285765024382339</v>
      </c>
      <c r="U849">
        <v>0</v>
      </c>
      <c r="V849">
        <v>0.20854734321965457</v>
      </c>
      <c r="W849">
        <v>0.10016117371411283</v>
      </c>
      <c r="X849">
        <v>2.6979453348955178E-2</v>
      </c>
      <c r="Y849">
        <v>4.7926963167402433E-3</v>
      </c>
    </row>
    <row r="850" spans="1:25" x14ac:dyDescent="0.25">
      <c r="A850" s="1098"/>
      <c r="B850" s="1457">
        <v>600</v>
      </c>
      <c r="C850" s="1102">
        <v>1.0210301094367167</v>
      </c>
      <c r="D850" s="1102">
        <v>1.0243112916632717</v>
      </c>
      <c r="E850" s="1102">
        <v>1.004118065795077</v>
      </c>
      <c r="F850" s="1102">
        <v>0.99895213129189331</v>
      </c>
      <c r="G850" s="1102">
        <v>0.98354089397247579</v>
      </c>
      <c r="H850" s="1102">
        <v>1.0260394500955907</v>
      </c>
      <c r="I850" s="1102">
        <v>0.98048510732978178</v>
      </c>
      <c r="K850">
        <v>1.5458890874633711</v>
      </c>
      <c r="L850">
        <v>0</v>
      </c>
      <c r="M850">
        <v>1.5357801237635932E-3</v>
      </c>
      <c r="N850">
        <v>0.14309321178321951</v>
      </c>
      <c r="O850">
        <v>0.11918485847044558</v>
      </c>
      <c r="P850">
        <v>1.5615199463044961E-2</v>
      </c>
      <c r="Q850">
        <v>8.7559234524466859E-4</v>
      </c>
      <c r="R850">
        <v>1.5323686581556319E-3</v>
      </c>
      <c r="S850">
        <v>0.11521503235322822</v>
      </c>
      <c r="T850">
        <v>0.82411351275209954</v>
      </c>
      <c r="U850">
        <v>0</v>
      </c>
      <c r="V850">
        <v>0.20237960388163151</v>
      </c>
      <c r="W850">
        <v>9.3773090602824946E-2</v>
      </c>
      <c r="X850">
        <v>2.7471794934932015E-2</v>
      </c>
      <c r="Y850">
        <v>4.1706023423072284E-3</v>
      </c>
    </row>
    <row r="851" spans="1:25" x14ac:dyDescent="0.25">
      <c r="A851" s="1098"/>
      <c r="B851" s="1457">
        <v>601</v>
      </c>
      <c r="C851" s="1102">
        <v>0.98699307924383706</v>
      </c>
      <c r="D851" s="1102">
        <v>1.003886628783663</v>
      </c>
      <c r="E851" s="1102">
        <v>1.0058395000283382</v>
      </c>
      <c r="F851" s="1102">
        <v>0.97269601525842042</v>
      </c>
      <c r="G851" s="1102">
        <v>1.0105339151463872</v>
      </c>
      <c r="H851" s="1102">
        <v>0.96555920986808907</v>
      </c>
      <c r="I851" s="1102">
        <v>1.0061272580318608</v>
      </c>
      <c r="K851">
        <v>1.5269230025180731</v>
      </c>
      <c r="L851">
        <v>0</v>
      </c>
      <c r="M851">
        <v>1.5000851535547583E-3</v>
      </c>
      <c r="N851">
        <v>0.14047596277924876</v>
      </c>
      <c r="O851">
        <v>0.11992247669140371</v>
      </c>
      <c r="P851">
        <v>1.542791353232365E-2</v>
      </c>
      <c r="Q851">
        <v>9.14741509830076E-4</v>
      </c>
      <c r="R851">
        <v>1.4965401849761275E-3</v>
      </c>
      <c r="S851">
        <v>0.11855179790378689</v>
      </c>
      <c r="T851">
        <v>0.80234252831783703</v>
      </c>
      <c r="U851">
        <v>0</v>
      </c>
      <c r="V851">
        <v>0.20566599157833984</v>
      </c>
      <c r="W851">
        <v>9.196416238013834E-2</v>
      </c>
      <c r="X851">
        <v>2.7587883744577928E-2</v>
      </c>
      <c r="Y851">
        <v>4.0730890491656284E-3</v>
      </c>
    </row>
    <row r="852" spans="1:25" x14ac:dyDescent="0.25">
      <c r="A852" s="1098"/>
      <c r="B852" s="1457">
        <v>602</v>
      </c>
      <c r="C852" s="1102">
        <v>0.98616258051982864</v>
      </c>
      <c r="D852" s="1102">
        <v>1.0075507908436128</v>
      </c>
      <c r="E852" s="1102">
        <v>0.99465014488241088</v>
      </c>
      <c r="F852" s="1102">
        <v>0.99728611577104476</v>
      </c>
      <c r="G852" s="1102">
        <v>0.99554388758080159</v>
      </c>
      <c r="H852" s="1102">
        <v>0.99666419010489393</v>
      </c>
      <c r="I852" s="1102">
        <v>0.98961137949858957</v>
      </c>
      <c r="K852">
        <v>1.5567645433562201</v>
      </c>
      <c r="L852">
        <v>0</v>
      </c>
      <c r="M852">
        <v>1.585816225019558E-3</v>
      </c>
      <c r="N852">
        <v>0.14357905104126487</v>
      </c>
      <c r="O852">
        <v>0.12157928913598826</v>
      </c>
      <c r="P852">
        <v>1.5599035055442061E-2</v>
      </c>
      <c r="Q852">
        <v>9.0363570582828055E-4</v>
      </c>
      <c r="R852">
        <v>1.5821902443884771E-3</v>
      </c>
      <c r="S852">
        <v>0.11903344517909302</v>
      </c>
      <c r="T852">
        <v>0.8233625942693944</v>
      </c>
      <c r="U852">
        <v>0</v>
      </c>
      <c r="V852">
        <v>0.20621888715022968</v>
      </c>
      <c r="W852">
        <v>9.4622700914241062E-2</v>
      </c>
      <c r="X852">
        <v>2.7563330609018395E-2</v>
      </c>
      <c r="Y852">
        <v>4.3062002763515472E-3</v>
      </c>
    </row>
    <row r="853" spans="1:25" x14ac:dyDescent="0.25">
      <c r="A853" s="1098"/>
      <c r="B853" s="1457">
        <v>603</v>
      </c>
      <c r="C853" s="1102">
        <v>0.98226995435373965</v>
      </c>
      <c r="D853" s="1102">
        <v>1.0463110996723832</v>
      </c>
      <c r="E853" s="1102">
        <v>0.9722228780580171</v>
      </c>
      <c r="F853" s="1102">
        <v>1.0161015949192107</v>
      </c>
      <c r="G853" s="1102">
        <v>1.0080216606798857</v>
      </c>
      <c r="H853" s="1102">
        <v>1.0385789530456524</v>
      </c>
      <c r="I853" s="1102">
        <v>0.99779924562140498</v>
      </c>
      <c r="K853">
        <v>1.5781492108873021</v>
      </c>
      <c r="L853">
        <v>0</v>
      </c>
      <c r="M853">
        <v>1.7030036722382798E-3</v>
      </c>
      <c r="N853">
        <v>0.14408754143633043</v>
      </c>
      <c r="O853">
        <v>0.1214930336136409</v>
      </c>
      <c r="P853">
        <v>1.5601306661343406E-2</v>
      </c>
      <c r="Q853">
        <v>8.7290135625696472E-4</v>
      </c>
      <c r="R853">
        <v>1.6992475749067349E-3</v>
      </c>
      <c r="S853">
        <v>0.12114427162393758</v>
      </c>
      <c r="T853">
        <v>0.84041324958160724</v>
      </c>
      <c r="U853">
        <v>0</v>
      </c>
      <c r="V853">
        <v>0.20692099517927562</v>
      </c>
      <c r="W853">
        <v>9.6248962989785691E-2</v>
      </c>
      <c r="X853">
        <v>2.6745912800372421E-2</v>
      </c>
      <c r="Y853">
        <v>4.6247917420836103E-3</v>
      </c>
    </row>
    <row r="854" spans="1:25" x14ac:dyDescent="0.25">
      <c r="A854" s="1098"/>
      <c r="B854" s="1457">
        <v>604</v>
      </c>
      <c r="C854" s="1102">
        <v>0.99794671224456666</v>
      </c>
      <c r="D854" s="1102">
        <v>0.98871686253550517</v>
      </c>
      <c r="E854" s="1102">
        <v>0.98264511053553938</v>
      </c>
      <c r="F854" s="1102">
        <v>0.96636650489372278</v>
      </c>
      <c r="G854" s="1102">
        <v>0.98412724183020528</v>
      </c>
      <c r="H854" s="1102">
        <v>1.0219861964390418</v>
      </c>
      <c r="I854" s="1102">
        <v>0.99465919958231186</v>
      </c>
      <c r="K854">
        <v>1.5319625882420593</v>
      </c>
      <c r="L854">
        <v>0</v>
      </c>
      <c r="M854">
        <v>1.662380309638622E-3</v>
      </c>
      <c r="N854">
        <v>0.14515427745413204</v>
      </c>
      <c r="O854">
        <v>0.11963871690412906</v>
      </c>
      <c r="P854">
        <v>1.5122587402698116E-2</v>
      </c>
      <c r="Q854">
        <v>8.8853407192270018E-4</v>
      </c>
      <c r="R854">
        <v>1.6586791288591431E-3</v>
      </c>
      <c r="S854">
        <v>0.12142425159914008</v>
      </c>
      <c r="T854">
        <v>0.79860536337828592</v>
      </c>
      <c r="U854">
        <v>0</v>
      </c>
      <c r="V854">
        <v>0.20362370277355524</v>
      </c>
      <c r="W854">
        <v>9.6352013345029977E-2</v>
      </c>
      <c r="X854">
        <v>2.6642464688619492E-2</v>
      </c>
      <c r="Y854">
        <v>4.5143778053267107E-3</v>
      </c>
    </row>
    <row r="855" spans="1:25" x14ac:dyDescent="0.25">
      <c r="A855" s="1098"/>
      <c r="B855" s="1457">
        <v>605</v>
      </c>
      <c r="C855" s="1102">
        <v>0.99095004115272833</v>
      </c>
      <c r="D855" s="1102">
        <v>1.0408034002253324</v>
      </c>
      <c r="E855" s="1102">
        <v>1.010513705865139</v>
      </c>
      <c r="F855" s="1102">
        <v>1.006692043820383</v>
      </c>
      <c r="G855" s="1102">
        <v>1.031455893278695</v>
      </c>
      <c r="H855" s="1102">
        <v>1.0055357540663095</v>
      </c>
      <c r="I855" s="1102">
        <v>1.0066131455293759</v>
      </c>
      <c r="K855">
        <v>1.5632158288536293</v>
      </c>
      <c r="L855">
        <v>0</v>
      </c>
      <c r="M855">
        <v>1.5141809877262347E-3</v>
      </c>
      <c r="N855">
        <v>0.14382391083214788</v>
      </c>
      <c r="O855">
        <v>0.12051931657055416</v>
      </c>
      <c r="P855">
        <v>1.5886520800485433E-2</v>
      </c>
      <c r="Q855">
        <v>9.0236590734064578E-4</v>
      </c>
      <c r="R855">
        <v>1.5107344343769859E-3</v>
      </c>
      <c r="S855">
        <v>0.11899414867178766</v>
      </c>
      <c r="T855">
        <v>0.83007526401035747</v>
      </c>
      <c r="U855">
        <v>0</v>
      </c>
      <c r="V855">
        <v>0.20697469999923435</v>
      </c>
      <c r="W855">
        <v>9.3896400120768289E-2</v>
      </c>
      <c r="X855">
        <v>2.8034927377398558E-2</v>
      </c>
      <c r="Y855">
        <v>4.1117211169017067E-3</v>
      </c>
    </row>
    <row r="856" spans="1:25" x14ac:dyDescent="0.25">
      <c r="A856" s="1098"/>
      <c r="B856" s="1457">
        <v>606</v>
      </c>
      <c r="C856" s="1102">
        <v>0.99632765309947535</v>
      </c>
      <c r="D856" s="1102">
        <v>1.0207385855444875</v>
      </c>
      <c r="E856" s="1102">
        <v>1.0093071998104759</v>
      </c>
      <c r="F856" s="1102">
        <v>1.0199344275409405</v>
      </c>
      <c r="G856" s="1102">
        <v>1.035888528181975</v>
      </c>
      <c r="H856" s="1102">
        <v>1.002923582926545</v>
      </c>
      <c r="I856" s="1102">
        <v>1.0355578255441602</v>
      </c>
      <c r="K856">
        <v>1.5821633233906549</v>
      </c>
      <c r="L856">
        <v>0</v>
      </c>
      <c r="M856">
        <v>1.5246389605702328E-3</v>
      </c>
      <c r="N856">
        <v>0.14429138376312611</v>
      </c>
      <c r="O856">
        <v>0.12201730197585105</v>
      </c>
      <c r="P856">
        <v>1.6093121185390014E-2</v>
      </c>
      <c r="Q856">
        <v>9.0338633229469052E-4</v>
      </c>
      <c r="R856">
        <v>1.5211755434204452E-3</v>
      </c>
      <c r="S856">
        <v>0.12307298105900075</v>
      </c>
      <c r="T856">
        <v>0.84107520818005665</v>
      </c>
      <c r="U856">
        <v>0</v>
      </c>
      <c r="V856">
        <v>0.20797526992985838</v>
      </c>
      <c r="W856">
        <v>9.4268641041403922E-2</v>
      </c>
      <c r="X856">
        <v>2.8329354967016832E-2</v>
      </c>
      <c r="Y856">
        <v>4.140138373807333E-3</v>
      </c>
    </row>
    <row r="857" spans="1:25" x14ac:dyDescent="0.25">
      <c r="A857" s="1098"/>
      <c r="B857" s="1457">
        <v>607</v>
      </c>
      <c r="C857" s="1102">
        <v>0.97249517312051281</v>
      </c>
      <c r="D857" s="1102">
        <v>1.0135843739847716</v>
      </c>
      <c r="E857" s="1102">
        <v>0.96480270812897484</v>
      </c>
      <c r="F857" s="1102">
        <v>1.0218369653299821</v>
      </c>
      <c r="G857" s="1102">
        <v>0.97076308629790109</v>
      </c>
      <c r="H857" s="1102">
        <v>0.95916584208984268</v>
      </c>
      <c r="I857" s="1102">
        <v>1.0051081517886884</v>
      </c>
      <c r="K857">
        <v>1.5706968020012868</v>
      </c>
      <c r="L857">
        <v>0</v>
      </c>
      <c r="M857">
        <v>1.6419499381826947E-3</v>
      </c>
      <c r="N857">
        <v>0.13581192683813215</v>
      </c>
      <c r="O857">
        <v>0.12385206069789269</v>
      </c>
      <c r="P857">
        <v>1.5561100821927175E-2</v>
      </c>
      <c r="Q857">
        <v>8.8599451406039015E-4</v>
      </c>
      <c r="R857">
        <v>1.6380482566573172E-3</v>
      </c>
      <c r="S857">
        <v>0.11912432659727412</v>
      </c>
      <c r="T857">
        <v>0.8456651825717969</v>
      </c>
      <c r="U857">
        <v>0</v>
      </c>
      <c r="V857">
        <v>0.20734329751772668</v>
      </c>
      <c r="W857">
        <v>9.1132063668225335E-2</v>
      </c>
      <c r="X857">
        <v>2.6866523083618386E-2</v>
      </c>
      <c r="Y857">
        <v>4.4582273721585335E-3</v>
      </c>
    </row>
    <row r="858" spans="1:25" x14ac:dyDescent="0.25">
      <c r="A858" s="1098"/>
      <c r="B858" s="1457">
        <v>608</v>
      </c>
      <c r="C858" s="1102">
        <v>1.0328450489327134</v>
      </c>
      <c r="D858" s="1102">
        <v>1.0059114407283944</v>
      </c>
      <c r="E858" s="1102">
        <v>1.005678032221627</v>
      </c>
      <c r="F858" s="1102">
        <v>1.023653776191918</v>
      </c>
      <c r="G858" s="1102">
        <v>1.0068246566076087</v>
      </c>
      <c r="H858" s="1102">
        <v>1.0168952942134541</v>
      </c>
      <c r="I858" s="1102">
        <v>0.98517213396977765</v>
      </c>
      <c r="K858">
        <v>1.5691819111267795</v>
      </c>
      <c r="L858">
        <v>0</v>
      </c>
      <c r="M858">
        <v>1.5193003346683949E-3</v>
      </c>
      <c r="N858">
        <v>0.1422251899030792</v>
      </c>
      <c r="O858">
        <v>0.12108166202781047</v>
      </c>
      <c r="P858">
        <v>1.5936649135756407E-2</v>
      </c>
      <c r="Q858">
        <v>8.7328260316943645E-4</v>
      </c>
      <c r="R858">
        <v>1.5159143352144512E-3</v>
      </c>
      <c r="S858">
        <v>0.11520032576517002</v>
      </c>
      <c r="T858">
        <v>0.84438666292300291</v>
      </c>
      <c r="U858">
        <v>0</v>
      </c>
      <c r="V858">
        <v>0.20427866005781098</v>
      </c>
      <c r="W858">
        <v>9.3118208903148952E-2</v>
      </c>
      <c r="X858">
        <v>2.7958836707855598E-2</v>
      </c>
      <c r="Y858">
        <v>4.1258190994274344E-3</v>
      </c>
    </row>
    <row r="859" spans="1:25" x14ac:dyDescent="0.25">
      <c r="A859" s="1098"/>
      <c r="B859" s="1457">
        <v>609</v>
      </c>
      <c r="C859" s="1102">
        <v>0.98502752026795115</v>
      </c>
      <c r="D859" s="1102">
        <v>1.0263622751462398</v>
      </c>
      <c r="E859" s="1102">
        <v>0.96611152259867672</v>
      </c>
      <c r="F859" s="1102">
        <v>0.98931181778852884</v>
      </c>
      <c r="G859" s="1102">
        <v>0.99962614227459445</v>
      </c>
      <c r="H859" s="1102">
        <v>1.0231292757729893</v>
      </c>
      <c r="I859" s="1102">
        <v>0.9986486314063634</v>
      </c>
      <c r="K859">
        <v>1.5495434342706527</v>
      </c>
      <c r="L859">
        <v>0</v>
      </c>
      <c r="M859">
        <v>1.7097145798226291E-3</v>
      </c>
      <c r="N859">
        <v>0.14199872473212896</v>
      </c>
      <c r="O859">
        <v>0.12034628080959948</v>
      </c>
      <c r="P859">
        <v>1.5217222159991963E-2</v>
      </c>
      <c r="Q859">
        <v>8.715536823085229E-4</v>
      </c>
      <c r="R859">
        <v>1.7058921281737373E-3</v>
      </c>
      <c r="S859">
        <v>0.12092236932591277</v>
      </c>
      <c r="T859">
        <v>0.81866067696157763</v>
      </c>
      <c r="U859">
        <v>0</v>
      </c>
      <c r="V859">
        <v>0.20548357641996701</v>
      </c>
      <c r="W859">
        <v>9.5207362318166733E-2</v>
      </c>
      <c r="X859">
        <v>2.6196614286947174E-2</v>
      </c>
      <c r="Y859">
        <v>4.6428760256999949E-3</v>
      </c>
    </row>
    <row r="860" spans="1:25" x14ac:dyDescent="0.25">
      <c r="A860" s="1098"/>
      <c r="B860" s="1457">
        <v>610</v>
      </c>
      <c r="C860" s="1102">
        <v>1.0396446640053316</v>
      </c>
      <c r="D860" s="1102">
        <v>0.97099666933436091</v>
      </c>
      <c r="E860" s="1102">
        <v>1.0417183784617032</v>
      </c>
      <c r="F860" s="1102">
        <v>1.0100975789117335</v>
      </c>
      <c r="G860" s="1102">
        <v>0.99386402992960743</v>
      </c>
      <c r="H860" s="1102">
        <v>0.99436792980766375</v>
      </c>
      <c r="I860" s="1102">
        <v>1.0156009834926418</v>
      </c>
      <c r="K860">
        <v>1.5638677665275214</v>
      </c>
      <c r="L860">
        <v>0</v>
      </c>
      <c r="M860">
        <v>1.3963907211950125E-3</v>
      </c>
      <c r="N860">
        <v>0.14572350440324622</v>
      </c>
      <c r="O860">
        <v>0.12126388486425631</v>
      </c>
      <c r="P860">
        <v>1.6211730521492291E-2</v>
      </c>
      <c r="Q860">
        <v>9.1299306976711783E-4</v>
      </c>
      <c r="R860">
        <v>1.3932256071477027E-3</v>
      </c>
      <c r="S860">
        <v>0.11875251946782199</v>
      </c>
      <c r="T860">
        <v>0.83082917583571825</v>
      </c>
      <c r="U860">
        <v>0</v>
      </c>
      <c r="V860">
        <v>0.20357842216891248</v>
      </c>
      <c r="W860">
        <v>9.3423593744679845E-2</v>
      </c>
      <c r="X860">
        <v>2.9383206739715145E-2</v>
      </c>
      <c r="Y860">
        <v>3.7919008259580836E-3</v>
      </c>
    </row>
    <row r="861" spans="1:25" x14ac:dyDescent="0.25">
      <c r="A861" s="1098"/>
      <c r="B861" s="1457">
        <v>611</v>
      </c>
      <c r="C861" s="1102">
        <v>0.97973257306167005</v>
      </c>
      <c r="D861" s="1102">
        <v>0.99635164279493149</v>
      </c>
      <c r="E861" s="1102">
        <v>0.98989959246545733</v>
      </c>
      <c r="F861" s="1102">
        <v>0.99769214039270193</v>
      </c>
      <c r="G861" s="1102">
        <v>1.0104725811584379</v>
      </c>
      <c r="H861" s="1102">
        <v>1.0235288199662966</v>
      </c>
      <c r="I861" s="1102">
        <v>1.0062763167135547</v>
      </c>
      <c r="K861">
        <v>1.574579359014638</v>
      </c>
      <c r="L861">
        <v>0</v>
      </c>
      <c r="M861">
        <v>1.6651909848553099E-3</v>
      </c>
      <c r="N861">
        <v>0.14862539248096568</v>
      </c>
      <c r="O861">
        <v>0.12245348582639896</v>
      </c>
      <c r="P861">
        <v>1.565158369729161E-2</v>
      </c>
      <c r="Q861">
        <v>9.0913457397162405E-4</v>
      </c>
      <c r="R861">
        <v>1.6614885911426249E-3</v>
      </c>
      <c r="S861">
        <v>0.12478788280063489</v>
      </c>
      <c r="T861">
        <v>0.82401187126894404</v>
      </c>
      <c r="U861">
        <v>0</v>
      </c>
      <c r="V861">
        <v>0.20780209024250515</v>
      </c>
      <c r="W861">
        <v>9.822702733216794E-2</v>
      </c>
      <c r="X861">
        <v>2.7592568949948076E-2</v>
      </c>
      <c r="Y861">
        <v>4.5220242355233538E-3</v>
      </c>
    </row>
    <row r="862" spans="1:25" x14ac:dyDescent="0.25">
      <c r="A862" s="1098"/>
      <c r="B862" s="1457">
        <v>612</v>
      </c>
      <c r="C862" s="1102">
        <v>0.98104188420266425</v>
      </c>
      <c r="D862" s="1102">
        <v>1.0295327373574277</v>
      </c>
      <c r="E862" s="1102">
        <v>0.959460269142971</v>
      </c>
      <c r="F862" s="1102">
        <v>1.0142163775411943</v>
      </c>
      <c r="G862" s="1102">
        <v>0.99769178733686714</v>
      </c>
      <c r="H862" s="1102">
        <v>0.97619464267355838</v>
      </c>
      <c r="I862" s="1102">
        <v>0.99007988181512763</v>
      </c>
      <c r="K862">
        <v>1.5585765056507055</v>
      </c>
      <c r="L862">
        <v>0</v>
      </c>
      <c r="M862">
        <v>1.6602501088243502E-3</v>
      </c>
      <c r="N862">
        <v>0.1351255985920258</v>
      </c>
      <c r="O862">
        <v>0.1221787926484852</v>
      </c>
      <c r="P862">
        <v>1.5379186618284421E-2</v>
      </c>
      <c r="Q862">
        <v>8.6788857226194338E-4</v>
      </c>
      <c r="R862">
        <v>1.6563639241577619E-3</v>
      </c>
      <c r="S862">
        <v>0.11657483468289373</v>
      </c>
      <c r="T862">
        <v>0.83972274307911832</v>
      </c>
      <c r="U862">
        <v>0</v>
      </c>
      <c r="V862">
        <v>0.20692642048104545</v>
      </c>
      <c r="W862">
        <v>9.0968688001302228E-2</v>
      </c>
      <c r="X862">
        <v>2.6328162578616674E-2</v>
      </c>
      <c r="Y862">
        <v>4.508076581336575E-3</v>
      </c>
    </row>
    <row r="863" spans="1:25" x14ac:dyDescent="0.25">
      <c r="A863" s="1098"/>
      <c r="B863" s="1457">
        <v>613</v>
      </c>
      <c r="C863" s="1102">
        <v>0.99449150417593957</v>
      </c>
      <c r="D863" s="1102">
        <v>1.0251498641446932</v>
      </c>
      <c r="E863" s="1102">
        <v>1.0019689301064441</v>
      </c>
      <c r="F863" s="1102">
        <v>1.0071859297636292</v>
      </c>
      <c r="G863" s="1102">
        <v>1.0113283048825779</v>
      </c>
      <c r="H863" s="1102">
        <v>0.9733101687988065</v>
      </c>
      <c r="I863" s="1102">
        <v>0.98297591959408659</v>
      </c>
      <c r="K863">
        <v>1.5510351488635252</v>
      </c>
      <c r="L863">
        <v>0</v>
      </c>
      <c r="M863">
        <v>1.499839950480566E-3</v>
      </c>
      <c r="N863">
        <v>0.13882313936002952</v>
      </c>
      <c r="O863">
        <v>0.12106173537469783</v>
      </c>
      <c r="P863">
        <v>1.572572418231033E-2</v>
      </c>
      <c r="Q863">
        <v>8.9666687509475768E-4</v>
      </c>
      <c r="R863">
        <v>1.4963229429946453E-3</v>
      </c>
      <c r="S863">
        <v>0.11435409950167166</v>
      </c>
      <c r="T863">
        <v>0.83104889512653379</v>
      </c>
      <c r="U863">
        <v>0</v>
      </c>
      <c r="V863">
        <v>0.20622758114165793</v>
      </c>
      <c r="W863">
        <v>9.1090789335755776E-2</v>
      </c>
      <c r="X863">
        <v>2.7737537185153961E-2</v>
      </c>
      <c r="Y863">
        <v>4.0724977881058328E-3</v>
      </c>
    </row>
    <row r="864" spans="1:25" x14ac:dyDescent="0.25">
      <c r="A864" s="1098"/>
      <c r="B864" s="1457">
        <v>614</v>
      </c>
      <c r="C864" s="1102">
        <v>1.0240002912574453</v>
      </c>
      <c r="D864" s="1102">
        <v>0.99374850310397467</v>
      </c>
      <c r="E864" s="1102">
        <v>0.97186827040221324</v>
      </c>
      <c r="F864" s="1102">
        <v>0.96859290068066339</v>
      </c>
      <c r="G864" s="1102">
        <v>1.0102106370043442</v>
      </c>
      <c r="H864" s="1102">
        <v>0.9977011413750011</v>
      </c>
      <c r="I864" s="1102">
        <v>0.97574738149768481</v>
      </c>
      <c r="K864">
        <v>1.5100125832858062</v>
      </c>
      <c r="L864">
        <v>0</v>
      </c>
      <c r="M864">
        <v>1.6160073491771915E-3</v>
      </c>
      <c r="N864">
        <v>0.13657038918168124</v>
      </c>
      <c r="O864">
        <v>0.11831521692585316</v>
      </c>
      <c r="P864">
        <v>1.4920460162713468E-2</v>
      </c>
      <c r="Q864">
        <v>8.5445187863668261E-4</v>
      </c>
      <c r="R864">
        <v>1.6123265731095516E-3</v>
      </c>
      <c r="S864">
        <v>0.11403978031775848</v>
      </c>
      <c r="T864">
        <v>0.80114199698675337</v>
      </c>
      <c r="U864">
        <v>0</v>
      </c>
      <c r="V864">
        <v>0.20260469567507583</v>
      </c>
      <c r="W864">
        <v>9.1247243755231147E-2</v>
      </c>
      <c r="X864">
        <v>2.5933807749478077E-2</v>
      </c>
      <c r="Y864">
        <v>4.3882214286922201E-3</v>
      </c>
    </row>
    <row r="865" spans="1:25" x14ac:dyDescent="0.25">
      <c r="A865" s="1098"/>
      <c r="B865" s="1457">
        <v>615</v>
      </c>
      <c r="C865" s="1102">
        <v>1.0070896731890016</v>
      </c>
      <c r="D865" s="1102">
        <v>0.99243549811273457</v>
      </c>
      <c r="E865" s="1102">
        <v>1.0207732517768702</v>
      </c>
      <c r="F865" s="1102">
        <v>0.99928709093561696</v>
      </c>
      <c r="G865" s="1102">
        <v>0.96943401506610216</v>
      </c>
      <c r="H865" s="1102">
        <v>1.0045928824734442</v>
      </c>
      <c r="I865" s="1102">
        <v>0.99095289011712406</v>
      </c>
      <c r="K865">
        <v>1.5583524547515923</v>
      </c>
      <c r="L865">
        <v>0</v>
      </c>
      <c r="M865">
        <v>1.4978476065552792E-3</v>
      </c>
      <c r="N865">
        <v>0.14674878583458884</v>
      </c>
      <c r="O865">
        <v>0.12123721510500882</v>
      </c>
      <c r="P865">
        <v>1.5864439663284113E-2</v>
      </c>
      <c r="Q865">
        <v>9.1456433963206041E-4</v>
      </c>
      <c r="R865">
        <v>1.4944640723785051E-3</v>
      </c>
      <c r="S865">
        <v>0.11857932244888139</v>
      </c>
      <c r="T865">
        <v>0.82329784619758417</v>
      </c>
      <c r="U865">
        <v>0</v>
      </c>
      <c r="V865">
        <v>0.20387264119763157</v>
      </c>
      <c r="W865">
        <v>9.5230619024302271E-2</v>
      </c>
      <c r="X865">
        <v>2.8542965919790487E-2</v>
      </c>
      <c r="Y865">
        <v>4.0674385550652321E-3</v>
      </c>
    </row>
    <row r="866" spans="1:25" x14ac:dyDescent="0.25">
      <c r="A866" s="1098"/>
      <c r="B866" s="1457">
        <v>616</v>
      </c>
      <c r="C866" s="1102">
        <v>1.027996581749637</v>
      </c>
      <c r="D866" s="1102">
        <v>1.0233234897571462</v>
      </c>
      <c r="E866" s="1102">
        <v>1.0245774447916023</v>
      </c>
      <c r="F866" s="1102">
        <v>1.0335779487333354</v>
      </c>
      <c r="G866" s="1102">
        <v>1.019934264966921</v>
      </c>
      <c r="H866" s="1102">
        <v>0.99643373062834628</v>
      </c>
      <c r="I866" s="1102">
        <v>1.0114309038873746</v>
      </c>
      <c r="K866">
        <v>1.5762198221251951</v>
      </c>
      <c r="L866">
        <v>0</v>
      </c>
      <c r="M866">
        <v>1.4245857685436913E-3</v>
      </c>
      <c r="N866">
        <v>0.14117875602199995</v>
      </c>
      <c r="O866">
        <v>0.12118272715998335</v>
      </c>
      <c r="P866">
        <v>1.6282289039791727E-2</v>
      </c>
      <c r="Q866">
        <v>8.8850303620861978E-4</v>
      </c>
      <c r="R866">
        <v>1.4213372612365271E-3</v>
      </c>
      <c r="S866">
        <v>0.11609342003389959</v>
      </c>
      <c r="T866">
        <v>0.85129289470161895</v>
      </c>
      <c r="U866">
        <v>0</v>
      </c>
      <c r="V866">
        <v>0.20528262425710711</v>
      </c>
      <c r="W866">
        <v>9.1412772716237156E-2</v>
      </c>
      <c r="X866">
        <v>2.8740672184271007E-2</v>
      </c>
      <c r="Y866">
        <v>3.868411481383584E-3</v>
      </c>
    </row>
    <row r="867" spans="1:25" x14ac:dyDescent="0.25">
      <c r="A867" s="1098"/>
      <c r="B867" s="1457">
        <v>617</v>
      </c>
      <c r="C867" s="1102">
        <v>1.0144844960680983</v>
      </c>
      <c r="D867" s="1102">
        <v>0.98611003867937863</v>
      </c>
      <c r="E867" s="1102">
        <v>0.99258402658045375</v>
      </c>
      <c r="F867" s="1102">
        <v>1.0144694442947677</v>
      </c>
      <c r="G867" s="1102">
        <v>0.99386980087396826</v>
      </c>
      <c r="H867" s="1102">
        <v>0.99321673137502631</v>
      </c>
      <c r="I867" s="1102">
        <v>1.0100129154321713</v>
      </c>
      <c r="K867">
        <v>1.5674554672397469</v>
      </c>
      <c r="L867">
        <v>0</v>
      </c>
      <c r="M867">
        <v>1.5670179958185355E-3</v>
      </c>
      <c r="N867">
        <v>0.14099492081093565</v>
      </c>
      <c r="O867">
        <v>0.1222876513725112</v>
      </c>
      <c r="P867">
        <v>1.5764278402086031E-2</v>
      </c>
      <c r="Q867">
        <v>8.8409638515000923E-4</v>
      </c>
      <c r="R867">
        <v>1.5634475319388109E-3</v>
      </c>
      <c r="S867">
        <v>0.11961178057382775</v>
      </c>
      <c r="T867">
        <v>0.83768800346082062</v>
      </c>
      <c r="U867">
        <v>0</v>
      </c>
      <c r="V867">
        <v>0.2052898297948518</v>
      </c>
      <c r="W867">
        <v>9.303443703892747E-2</v>
      </c>
      <c r="X867">
        <v>2.7648851072916786E-2</v>
      </c>
      <c r="Y867">
        <v>4.2551887915970536E-3</v>
      </c>
    </row>
    <row r="868" spans="1:25" x14ac:dyDescent="0.25">
      <c r="A868" s="1098"/>
      <c r="B868" s="1457">
        <v>618</v>
      </c>
      <c r="C868" s="1102">
        <v>1.0093101044508623</v>
      </c>
      <c r="D868" s="1102">
        <v>0.99606692180265044</v>
      </c>
      <c r="E868" s="1102">
        <v>0.99247953175932979</v>
      </c>
      <c r="F868" s="1102">
        <v>1.0229878817906686</v>
      </c>
      <c r="G868" s="1102">
        <v>1.021090914913968</v>
      </c>
      <c r="H868" s="1102">
        <v>1.0347647181105784</v>
      </c>
      <c r="I868" s="1102">
        <v>0.99059870430053198</v>
      </c>
      <c r="K868">
        <v>1.5877176946561598</v>
      </c>
      <c r="L868">
        <v>0</v>
      </c>
      <c r="M868">
        <v>1.6323634562766898E-3</v>
      </c>
      <c r="N868">
        <v>0.1468410958542487</v>
      </c>
      <c r="O868">
        <v>0.12269404106256253</v>
      </c>
      <c r="P868">
        <v>1.589445774321336E-2</v>
      </c>
      <c r="Q868">
        <v>8.84968705426252E-4</v>
      </c>
      <c r="R868">
        <v>1.628788306774008E-3</v>
      </c>
      <c r="S868">
        <v>0.12047425480861573</v>
      </c>
      <c r="T868">
        <v>0.8447291005563724</v>
      </c>
      <c r="U868">
        <v>0</v>
      </c>
      <c r="V868">
        <v>0.20707919994247587</v>
      </c>
      <c r="W868">
        <v>9.6898045003819197E-2</v>
      </c>
      <c r="X868">
        <v>2.7793081287809104E-2</v>
      </c>
      <c r="Y868">
        <v>4.4330248411178254E-3</v>
      </c>
    </row>
    <row r="869" spans="1:25" x14ac:dyDescent="0.25">
      <c r="A869" s="1098"/>
      <c r="B869" s="1457">
        <v>619</v>
      </c>
      <c r="C869" s="1102">
        <v>1.0088479663750181</v>
      </c>
      <c r="D869" s="1102">
        <v>0.9784216098882812</v>
      </c>
      <c r="E869" s="1102">
        <v>1.0056252171474831</v>
      </c>
      <c r="F869" s="1102">
        <v>0.99237042679026921</v>
      </c>
      <c r="G869" s="1102">
        <v>1.0026925524734105</v>
      </c>
      <c r="H869" s="1102">
        <v>1.0265759482628081</v>
      </c>
      <c r="I869" s="1102">
        <v>1.0406405105107763</v>
      </c>
      <c r="K869">
        <v>1.5673695096057398</v>
      </c>
      <c r="L869">
        <v>0</v>
      </c>
      <c r="M869">
        <v>1.5889273333598384E-3</v>
      </c>
      <c r="N869">
        <v>0.14872275123618264</v>
      </c>
      <c r="O869">
        <v>0.12132578554294704</v>
      </c>
      <c r="P869">
        <v>1.5759722351540349E-2</v>
      </c>
      <c r="Q869">
        <v>9.0397003002692813E-4</v>
      </c>
      <c r="R869">
        <v>1.5854217730914546E-3</v>
      </c>
      <c r="S869">
        <v>0.12712270034150006</v>
      </c>
      <c r="T869">
        <v>0.818585252684083</v>
      </c>
      <c r="U869">
        <v>0</v>
      </c>
      <c r="V869">
        <v>0.20526275211249156</v>
      </c>
      <c r="W869">
        <v>9.7375359591990854E-2</v>
      </c>
      <c r="X869">
        <v>2.7999725843036623E-2</v>
      </c>
      <c r="Y869">
        <v>4.3149954322079E-3</v>
      </c>
    </row>
    <row r="870" spans="1:25" x14ac:dyDescent="0.25">
      <c r="A870" s="1098"/>
      <c r="B870" s="1457">
        <v>620</v>
      </c>
      <c r="C870" s="1102">
        <v>1.0046375624804977</v>
      </c>
      <c r="D870" s="1102">
        <v>0.98731549974853783</v>
      </c>
      <c r="E870" s="1102">
        <v>1.0050068371173448</v>
      </c>
      <c r="F870" s="1102">
        <v>1.0079093631019203</v>
      </c>
      <c r="G870" s="1102">
        <v>1.0379667505156769</v>
      </c>
      <c r="H870" s="1102">
        <v>1.0061459289845109</v>
      </c>
      <c r="I870" s="1102">
        <v>0.98217954831175547</v>
      </c>
      <c r="K870">
        <v>1.5699218044460073</v>
      </c>
      <c r="L870">
        <v>0</v>
      </c>
      <c r="M870">
        <v>1.5592282007993129E-3</v>
      </c>
      <c r="N870">
        <v>0.14566388813978837</v>
      </c>
      <c r="O870">
        <v>0.12223882913996928</v>
      </c>
      <c r="P870">
        <v>1.5841633842553465E-2</v>
      </c>
      <c r="Q870">
        <v>9.0390069276490958E-4</v>
      </c>
      <c r="R870">
        <v>1.5557161619353826E-3</v>
      </c>
      <c r="S870">
        <v>0.11830952529607879</v>
      </c>
      <c r="T870">
        <v>0.83144402830371444</v>
      </c>
      <c r="U870">
        <v>0</v>
      </c>
      <c r="V870">
        <v>0.20774107307798997</v>
      </c>
      <c r="W870">
        <v>9.5407498770103169E-2</v>
      </c>
      <c r="X870">
        <v>2.814079267081597E-2</v>
      </c>
      <c r="Y870">
        <v>4.2341465510931592E-3</v>
      </c>
    </row>
    <row r="871" spans="1:25" x14ac:dyDescent="0.25">
      <c r="A871" s="1098"/>
      <c r="B871" s="1457">
        <v>621</v>
      </c>
      <c r="C871" s="1102">
        <v>1.0187375574682789</v>
      </c>
      <c r="D871" s="1102">
        <v>0.99048965729571747</v>
      </c>
      <c r="E871" s="1102">
        <v>0.98585624314817222</v>
      </c>
      <c r="F871" s="1102">
        <v>1.0193467237938203</v>
      </c>
      <c r="G871" s="1102">
        <v>0.96408568425999996</v>
      </c>
      <c r="H871" s="1102">
        <v>1.0341911912947344</v>
      </c>
      <c r="I871" s="1102">
        <v>1.0368724647695557</v>
      </c>
      <c r="K871">
        <v>1.583080131059454</v>
      </c>
      <c r="L871">
        <v>0</v>
      </c>
      <c r="M871">
        <v>1.6445919584869252E-3</v>
      </c>
      <c r="N871">
        <v>0.14500813228641471</v>
      </c>
      <c r="O871">
        <v>0.12223357612848351</v>
      </c>
      <c r="P871">
        <v>1.580074852948431E-2</v>
      </c>
      <c r="Q871">
        <v>8.7270212331262394E-4</v>
      </c>
      <c r="R871">
        <v>1.6409929034104491E-3</v>
      </c>
      <c r="S871">
        <v>0.12532910252191298</v>
      </c>
      <c r="T871">
        <v>0.84217047579931548</v>
      </c>
      <c r="U871">
        <v>0</v>
      </c>
      <c r="V871">
        <v>0.20370241196452812</v>
      </c>
      <c r="W871">
        <v>9.6069176327984215E-2</v>
      </c>
      <c r="X871">
        <v>2.7431162703175652E-2</v>
      </c>
      <c r="Y871">
        <v>4.4662417299180177E-3</v>
      </c>
    </row>
    <row r="872" spans="1:25" x14ac:dyDescent="0.25">
      <c r="A872" s="1098"/>
      <c r="B872" s="1457">
        <v>622</v>
      </c>
      <c r="C872" s="1102">
        <v>1.0220138530130161</v>
      </c>
      <c r="D872" s="1102">
        <v>0.99529860319404984</v>
      </c>
      <c r="E872" s="1102">
        <v>0.98036491861579167</v>
      </c>
      <c r="F872" s="1102">
        <v>0.95938977445429963</v>
      </c>
      <c r="G872" s="1102">
        <v>0.9932107946918689</v>
      </c>
      <c r="H872" s="1102">
        <v>0.97401622296053514</v>
      </c>
      <c r="I872" s="1102">
        <v>0.9823216936606014</v>
      </c>
      <c r="K872">
        <v>1.4950400255994478</v>
      </c>
      <c r="L872">
        <v>0</v>
      </c>
      <c r="M872">
        <v>1.5504502870086916E-3</v>
      </c>
      <c r="N872">
        <v>0.13443545015387118</v>
      </c>
      <c r="O872">
        <v>0.11766668516762224</v>
      </c>
      <c r="P872">
        <v>1.487978327477258E-2</v>
      </c>
      <c r="Q872">
        <v>8.6324716275326522E-4</v>
      </c>
      <c r="R872">
        <v>1.5468288039893934E-3</v>
      </c>
      <c r="S872">
        <v>0.11306639601233125</v>
      </c>
      <c r="T872">
        <v>0.79298551047383692</v>
      </c>
      <c r="U872">
        <v>0</v>
      </c>
      <c r="V872">
        <v>0.2014833248848833</v>
      </c>
      <c r="W872">
        <v>8.9359761255271425E-2</v>
      </c>
      <c r="X872">
        <v>2.6093530604643249E-2</v>
      </c>
      <c r="Y872">
        <v>4.209958092480935E-3</v>
      </c>
    </row>
    <row r="873" spans="1:25" x14ac:dyDescent="0.25">
      <c r="A873" s="1098"/>
      <c r="B873" s="1457">
        <v>623</v>
      </c>
      <c r="C873" s="1102">
        <v>1.0015667175840648</v>
      </c>
      <c r="D873" s="1102">
        <v>0.98926085689729137</v>
      </c>
      <c r="E873" s="1102">
        <v>1.0108353729662038</v>
      </c>
      <c r="F873" s="1102">
        <v>0.9946756059811237</v>
      </c>
      <c r="G873" s="1102">
        <v>0.97321160169028742</v>
      </c>
      <c r="H873" s="1102">
        <v>1.0116290829678396</v>
      </c>
      <c r="I873" s="1102">
        <v>0.99631633624172089</v>
      </c>
      <c r="K873">
        <v>1.5590271153448454</v>
      </c>
      <c r="L873">
        <v>0</v>
      </c>
      <c r="M873">
        <v>1.5499446900718423E-3</v>
      </c>
      <c r="N873">
        <v>0.14736873409688397</v>
      </c>
      <c r="O873">
        <v>0.12136038192483004</v>
      </c>
      <c r="P873">
        <v>1.5739546695563506E-2</v>
      </c>
      <c r="Q873">
        <v>9.1142665357600485E-4</v>
      </c>
      <c r="R873">
        <v>1.5464670087876561E-3</v>
      </c>
      <c r="S873">
        <v>0.12058566166577933</v>
      </c>
      <c r="T873">
        <v>0.82014601142072863</v>
      </c>
      <c r="U873">
        <v>0</v>
      </c>
      <c r="V873">
        <v>0.2043417969029119</v>
      </c>
      <c r="W873">
        <v>9.6192423891717532E-2</v>
      </c>
      <c r="X873">
        <v>2.817563636893124E-2</v>
      </c>
      <c r="Y873">
        <v>4.2089734052075624E-3</v>
      </c>
    </row>
    <row r="874" spans="1:25" x14ac:dyDescent="0.25">
      <c r="A874" s="1098"/>
      <c r="B874" s="1457">
        <v>624</v>
      </c>
      <c r="C874" s="1102">
        <v>0.96989393301092874</v>
      </c>
      <c r="D874" s="1102">
        <v>1.0056848025217144</v>
      </c>
      <c r="E874" s="1102">
        <v>0.995257344185556</v>
      </c>
      <c r="F874" s="1102">
        <v>0.98306942300629618</v>
      </c>
      <c r="G874" s="1102">
        <v>0.96111973950268059</v>
      </c>
      <c r="H874" s="1102">
        <v>0.99700505939257178</v>
      </c>
      <c r="I874" s="1102">
        <v>1.04132729964835</v>
      </c>
      <c r="K874">
        <v>1.5563020184803014</v>
      </c>
      <c r="L874">
        <v>0</v>
      </c>
      <c r="M874">
        <v>1.6088345523585298E-3</v>
      </c>
      <c r="N874">
        <v>0.14593010882423832</v>
      </c>
      <c r="O874">
        <v>0.12150775559858941</v>
      </c>
      <c r="P874">
        <v>1.5547922505802237E-2</v>
      </c>
      <c r="Q874">
        <v>9.2005508416437764E-4</v>
      </c>
      <c r="R874">
        <v>1.6051496565778528E-3</v>
      </c>
      <c r="S874">
        <v>0.12732716543339892</v>
      </c>
      <c r="T874">
        <v>0.81158574510107395</v>
      </c>
      <c r="U874">
        <v>0</v>
      </c>
      <c r="V874">
        <v>0.2054064123354151</v>
      </c>
      <c r="W874">
        <v>9.6137275754840601E-2</v>
      </c>
      <c r="X874">
        <v>2.7574574510794897E-2</v>
      </c>
      <c r="Y874">
        <v>4.3686882277628328E-3</v>
      </c>
    </row>
    <row r="875" spans="1:25" x14ac:dyDescent="0.25">
      <c r="A875" s="1098"/>
      <c r="B875" s="1457">
        <v>625</v>
      </c>
      <c r="C875" s="1102">
        <v>0.97722551527508583</v>
      </c>
      <c r="D875" s="1102">
        <v>1.0188656545607602</v>
      </c>
      <c r="E875" s="1102">
        <v>0.99152403045531101</v>
      </c>
      <c r="F875" s="1102">
        <v>1.0096720343177907</v>
      </c>
      <c r="G875" s="1102">
        <v>1.0378276133440236</v>
      </c>
      <c r="H875" s="1102">
        <v>1.033996544088613</v>
      </c>
      <c r="I875" s="1102">
        <v>0.98465044436283078</v>
      </c>
      <c r="K875">
        <v>1.5833653916444095</v>
      </c>
      <c r="L875">
        <v>0</v>
      </c>
      <c r="M875">
        <v>1.6609959212539984E-3</v>
      </c>
      <c r="N875">
        <v>0.14898322297675995</v>
      </c>
      <c r="O875">
        <v>0.12243488732413155</v>
      </c>
      <c r="P875">
        <v>1.5780309823626926E-2</v>
      </c>
      <c r="Q875">
        <v>9.0488688470113465E-4</v>
      </c>
      <c r="R875">
        <v>1.6573294155271541E-3</v>
      </c>
      <c r="S875">
        <v>0.12169026696737716</v>
      </c>
      <c r="T875">
        <v>0.83379751617226516</v>
      </c>
      <c r="U875">
        <v>0</v>
      </c>
      <c r="V875">
        <v>0.20920633310339048</v>
      </c>
      <c r="W875">
        <v>9.8367800695685167E-2</v>
      </c>
      <c r="X875">
        <v>2.7693129871628783E-2</v>
      </c>
      <c r="Y875">
        <v>4.5107043305699169E-3</v>
      </c>
    </row>
    <row r="876" spans="1:25" x14ac:dyDescent="0.25">
      <c r="A876" s="1098"/>
      <c r="B876" s="1457">
        <v>626</v>
      </c>
      <c r="C876" s="1102">
        <v>0.99098226305166359</v>
      </c>
      <c r="D876" s="1102">
        <v>0.98653815242424847</v>
      </c>
      <c r="E876" s="1102">
        <v>1.0124016257266402</v>
      </c>
      <c r="F876" s="1102">
        <v>1.0359172700215677</v>
      </c>
      <c r="G876" s="1102">
        <v>1.0072662948913849</v>
      </c>
      <c r="H876" s="1102">
        <v>1.0139533680893569</v>
      </c>
      <c r="I876" s="1102">
        <v>1.0112280354107099</v>
      </c>
      <c r="K876">
        <v>1.6108536383197438</v>
      </c>
      <c r="L876">
        <v>0</v>
      </c>
      <c r="M876">
        <v>1.5711162934890443E-3</v>
      </c>
      <c r="N876">
        <v>0.15009138736655039</v>
      </c>
      <c r="O876">
        <v>0.12492537571021846</v>
      </c>
      <c r="P876">
        <v>1.6339402707304811E-2</v>
      </c>
      <c r="Q876">
        <v>9.2366695945433842E-4</v>
      </c>
      <c r="R876">
        <v>1.5676090246436322E-3</v>
      </c>
      <c r="S876">
        <v>0.12428758388823295</v>
      </c>
      <c r="T876">
        <v>0.85404475560930104</v>
      </c>
      <c r="U876">
        <v>0</v>
      </c>
      <c r="V876">
        <v>0.20901072019564479</v>
      </c>
      <c r="W876">
        <v>9.7879263321834345E-2</v>
      </c>
      <c r="X876">
        <v>2.9088474827143676E-2</v>
      </c>
      <c r="Y876">
        <v>4.2665150029038762E-3</v>
      </c>
    </row>
    <row r="877" spans="1:25" x14ac:dyDescent="0.25">
      <c r="A877" s="1098"/>
      <c r="B877" s="1457">
        <v>627</v>
      </c>
      <c r="C877" s="1102">
        <v>0.97262153901032267</v>
      </c>
      <c r="D877" s="1102">
        <v>0.99110527146094796</v>
      </c>
      <c r="E877" s="1102">
        <v>1.0068097967476568</v>
      </c>
      <c r="F877" s="1102">
        <v>1.0267262862858435</v>
      </c>
      <c r="G877" s="1102">
        <v>0.97525736217526515</v>
      </c>
      <c r="H877" s="1102">
        <v>0.99025579346577364</v>
      </c>
      <c r="I877" s="1102">
        <v>0.99810180661800751</v>
      </c>
      <c r="K877">
        <v>1.5977915793515001</v>
      </c>
      <c r="L877">
        <v>0</v>
      </c>
      <c r="M877">
        <v>1.5742527278603457E-3</v>
      </c>
      <c r="N877">
        <v>0.14786451853955948</v>
      </c>
      <c r="O877">
        <v>0.1250777598619961</v>
      </c>
      <c r="P877">
        <v>1.6142860489001272E-2</v>
      </c>
      <c r="Q877">
        <v>9.3396370775541797E-4</v>
      </c>
      <c r="R877">
        <v>1.5706441705073061E-3</v>
      </c>
      <c r="S877">
        <v>0.12252627769109022</v>
      </c>
      <c r="T877">
        <v>0.84684462563167384</v>
      </c>
      <c r="U877">
        <v>0</v>
      </c>
      <c r="V877">
        <v>0.20855466666192288</v>
      </c>
      <c r="W877">
        <v>9.6745632584879546E-2</v>
      </c>
      <c r="X877">
        <v>2.883010707156447E-2</v>
      </c>
      <c r="Y877">
        <v>4.2747756694092327E-3</v>
      </c>
    </row>
    <row r="878" spans="1:25" x14ac:dyDescent="0.25">
      <c r="A878" s="1098"/>
      <c r="B878" s="1457">
        <v>628</v>
      </c>
      <c r="C878" s="1102">
        <v>1.0101377072013422</v>
      </c>
      <c r="D878" s="1102">
        <v>1.0121034176788302</v>
      </c>
      <c r="E878" s="1102">
        <v>1.0386641426112497</v>
      </c>
      <c r="F878" s="1102">
        <v>1.0008223025310676</v>
      </c>
      <c r="G878" s="1102">
        <v>0.95480171511743106</v>
      </c>
      <c r="H878" s="1102">
        <v>0.99943487541188569</v>
      </c>
      <c r="I878" s="1102">
        <v>0.97105369916534479</v>
      </c>
      <c r="K878">
        <v>1.5505610824774605</v>
      </c>
      <c r="L878">
        <v>0</v>
      </c>
      <c r="M878">
        <v>1.4159319124864948E-3</v>
      </c>
      <c r="N878">
        <v>0.14640797410164666</v>
      </c>
      <c r="O878">
        <v>0.12027964962539824</v>
      </c>
      <c r="P878">
        <v>1.5992166544798517E-2</v>
      </c>
      <c r="Q878">
        <v>9.213458479832798E-4</v>
      </c>
      <c r="R878">
        <v>1.4127074375054119E-3</v>
      </c>
      <c r="S878">
        <v>0.11416587746551218</v>
      </c>
      <c r="T878">
        <v>0.8233978591098321</v>
      </c>
      <c r="U878">
        <v>0</v>
      </c>
      <c r="V878">
        <v>0.20248646287415875</v>
      </c>
      <c r="W878">
        <v>9.4027639328764401E-2</v>
      </c>
      <c r="X878">
        <v>2.9040408108337461E-2</v>
      </c>
      <c r="Y878">
        <v>3.8449239460081166E-3</v>
      </c>
    </row>
    <row r="879" spans="1:25" x14ac:dyDescent="0.25">
      <c r="A879" s="1098"/>
      <c r="B879" s="1457">
        <v>629</v>
      </c>
      <c r="C879" s="1102">
        <v>0.99980538229606308</v>
      </c>
      <c r="D879" s="1102">
        <v>1.0359045146683743</v>
      </c>
      <c r="E879" s="1102">
        <v>1.0050072956951124</v>
      </c>
      <c r="F879" s="1102">
        <v>0.95492684001650441</v>
      </c>
      <c r="G879" s="1102">
        <v>0.98493794204841001</v>
      </c>
      <c r="H879" s="1102">
        <v>0.99847958325171693</v>
      </c>
      <c r="I879" s="1102">
        <v>1.0098333106589441</v>
      </c>
      <c r="K879">
        <v>1.5037497746844941</v>
      </c>
      <c r="L879">
        <v>0</v>
      </c>
      <c r="M879">
        <v>1.5064156520211553E-3</v>
      </c>
      <c r="N879">
        <v>0.14072386989115901</v>
      </c>
      <c r="O879">
        <v>0.11668039668566951</v>
      </c>
      <c r="P879">
        <v>1.5152708402344764E-2</v>
      </c>
      <c r="Q879">
        <v>8.9098287839448108E-4</v>
      </c>
      <c r="R879">
        <v>1.5029538093006176E-3</v>
      </c>
      <c r="S879">
        <v>0.11782748751247561</v>
      </c>
      <c r="T879">
        <v>0.78773768614450435</v>
      </c>
      <c r="U879">
        <v>0</v>
      </c>
      <c r="V879">
        <v>0.20158273359268122</v>
      </c>
      <c r="W879">
        <v>9.2171841422881859E-2</v>
      </c>
      <c r="X879">
        <v>2.6894985176778345E-2</v>
      </c>
      <c r="Y879">
        <v>4.0905448203261991E-3</v>
      </c>
    </row>
    <row r="880" spans="1:25" x14ac:dyDescent="0.25">
      <c r="A880" s="1098"/>
      <c r="B880" s="1457">
        <v>630</v>
      </c>
      <c r="C880" s="1102">
        <v>0.98490991642459613</v>
      </c>
      <c r="D880" s="1102">
        <v>0.98287893254242653</v>
      </c>
      <c r="E880" s="1102">
        <v>1.0030249416928136</v>
      </c>
      <c r="F880" s="1102">
        <v>1.0019495741434123</v>
      </c>
      <c r="G880" s="1102">
        <v>1.0049759708575732</v>
      </c>
      <c r="H880" s="1102">
        <v>1.0034031748087622</v>
      </c>
      <c r="I880" s="1102">
        <v>0.98031800165076954</v>
      </c>
      <c r="K880">
        <v>1.5721384732298467</v>
      </c>
      <c r="L880">
        <v>0</v>
      </c>
      <c r="M880">
        <v>1.5936299622918745E-3</v>
      </c>
      <c r="N880">
        <v>0.14798788954074957</v>
      </c>
      <c r="O880">
        <v>0.12304861256595515</v>
      </c>
      <c r="P880">
        <v>1.578175623233298E-2</v>
      </c>
      <c r="Q880">
        <v>9.2177620686423485E-4</v>
      </c>
      <c r="R880">
        <v>1.5900263247193645E-3</v>
      </c>
      <c r="S880">
        <v>0.12039668294749718</v>
      </c>
      <c r="T880">
        <v>0.82665851302980442</v>
      </c>
      <c r="U880">
        <v>0</v>
      </c>
      <c r="V880">
        <v>0.20776196750245637</v>
      </c>
      <c r="W880">
        <v>9.704356420085708E-2</v>
      </c>
      <c r="X880">
        <v>2.8213787137053168E-2</v>
      </c>
      <c r="Y880">
        <v>4.3275275038490357E-3</v>
      </c>
    </row>
    <row r="881" spans="1:25" x14ac:dyDescent="0.25">
      <c r="A881" s="1098"/>
      <c r="B881" s="1457">
        <v>631</v>
      </c>
      <c r="C881" s="1102">
        <v>1.004718543154888</v>
      </c>
      <c r="D881" s="1102">
        <v>0.98645485258356991</v>
      </c>
      <c r="E881" s="1102">
        <v>1.0146612583201431</v>
      </c>
      <c r="F881" s="1102">
        <v>0.98270220229506333</v>
      </c>
      <c r="G881" s="1102">
        <v>1.0304439471605311</v>
      </c>
      <c r="H881" s="1102">
        <v>1.0072790596084953</v>
      </c>
      <c r="I881" s="1102">
        <v>0.99857249396823755</v>
      </c>
      <c r="K881">
        <v>1.5483851903885104</v>
      </c>
      <c r="L881">
        <v>0</v>
      </c>
      <c r="M881">
        <v>1.5276296066335144E-3</v>
      </c>
      <c r="N881">
        <v>0.14693254731274427</v>
      </c>
      <c r="O881">
        <v>0.12046942667554368</v>
      </c>
      <c r="P881">
        <v>1.566512230804197E-2</v>
      </c>
      <c r="Q881">
        <v>9.1319118426194342E-4</v>
      </c>
      <c r="R881">
        <v>1.5241863821340833E-3</v>
      </c>
      <c r="S881">
        <v>0.12028943358018823</v>
      </c>
      <c r="T881">
        <v>0.81002686196256257</v>
      </c>
      <c r="U881">
        <v>0</v>
      </c>
      <c r="V881">
        <v>0.20612521550807603</v>
      </c>
      <c r="W881">
        <v>9.5692050056726333E-2</v>
      </c>
      <c r="X881">
        <v>2.8126452140599875E-2</v>
      </c>
      <c r="Y881">
        <v>4.1483328842631412E-3</v>
      </c>
    </row>
    <row r="882" spans="1:25" x14ac:dyDescent="0.25">
      <c r="A882" s="1098"/>
      <c r="B882" s="1457">
        <v>632</v>
      </c>
      <c r="C882" s="1102">
        <v>1.0120434507505576</v>
      </c>
      <c r="D882" s="1102">
        <v>0.99380913273187466</v>
      </c>
      <c r="E882" s="1102">
        <v>1.0287624000538562</v>
      </c>
      <c r="F882" s="1102">
        <v>1.0325993960310225</v>
      </c>
      <c r="G882" s="1102">
        <v>0.98361052999753107</v>
      </c>
      <c r="H882" s="1102">
        <v>0.98366263671970577</v>
      </c>
      <c r="I882" s="1102">
        <v>0.98346357406644735</v>
      </c>
      <c r="K882">
        <v>1.5828571022175553</v>
      </c>
      <c r="L882">
        <v>0</v>
      </c>
      <c r="M882">
        <v>1.4383248055036073E-3</v>
      </c>
      <c r="N882">
        <v>0.14434742676546694</v>
      </c>
      <c r="O882">
        <v>0.12321702863375873</v>
      </c>
      <c r="P882">
        <v>1.6317440077620295E-2</v>
      </c>
      <c r="Q882">
        <v>9.1705064276975049E-4</v>
      </c>
      <c r="R882">
        <v>1.4350152097835597E-3</v>
      </c>
      <c r="S882">
        <v>0.11562173044061243</v>
      </c>
      <c r="T882">
        <v>0.85020537489972081</v>
      </c>
      <c r="U882">
        <v>0</v>
      </c>
      <c r="V882">
        <v>0.20579206809083905</v>
      </c>
      <c r="W882">
        <v>9.3237109104497076E-2</v>
      </c>
      <c r="X882">
        <v>2.9299544809595662E-2</v>
      </c>
      <c r="Y882">
        <v>3.9056383483940795E-3</v>
      </c>
    </row>
    <row r="883" spans="1:25" x14ac:dyDescent="0.25">
      <c r="A883" s="1098"/>
      <c r="B883" s="1457">
        <v>633</v>
      </c>
      <c r="C883" s="1102">
        <v>1.0288734864979239</v>
      </c>
      <c r="D883" s="1102">
        <v>1.0161281776545827</v>
      </c>
      <c r="E883" s="1102">
        <v>0.98798772647638677</v>
      </c>
      <c r="F883" s="1102">
        <v>0.96548997611721876</v>
      </c>
      <c r="G883" s="1102">
        <v>0.98383736878067407</v>
      </c>
      <c r="H883" s="1102">
        <v>1.0008674974408336</v>
      </c>
      <c r="I883" s="1102">
        <v>0.98723084222215685</v>
      </c>
      <c r="K883">
        <v>1.5018159449994455</v>
      </c>
      <c r="L883">
        <v>0</v>
      </c>
      <c r="M883">
        <v>1.5411824989737301E-3</v>
      </c>
      <c r="N883">
        <v>0.13675662967944285</v>
      </c>
      <c r="O883">
        <v>0.11686848571247792</v>
      </c>
      <c r="P883">
        <v>1.5017859159104948E-2</v>
      </c>
      <c r="Q883">
        <v>8.5722225623996429E-4</v>
      </c>
      <c r="R883">
        <v>1.5376706714623908E-3</v>
      </c>
      <c r="S883">
        <v>0.11359591853311132</v>
      </c>
      <c r="T883">
        <v>0.7975380384310361</v>
      </c>
      <c r="U883">
        <v>0</v>
      </c>
      <c r="V883">
        <v>0.20024584470487997</v>
      </c>
      <c r="W883">
        <v>9.0486585329405622E-2</v>
      </c>
      <c r="X883">
        <v>2.6267840346538104E-2</v>
      </c>
      <c r="Y883">
        <v>4.1850326747200116E-3</v>
      </c>
    </row>
    <row r="884" spans="1:25" x14ac:dyDescent="0.25">
      <c r="A884" s="1098"/>
      <c r="B884" s="1457">
        <v>634</v>
      </c>
      <c r="C884" s="1102">
        <v>0.99909788585403769</v>
      </c>
      <c r="D884" s="1102">
        <v>0.97104007522686597</v>
      </c>
      <c r="E884" s="1102">
        <v>0.97837977153491185</v>
      </c>
      <c r="F884" s="1102">
        <v>1.0150792634600834</v>
      </c>
      <c r="G884" s="1102">
        <v>0.98196809463719792</v>
      </c>
      <c r="H884" s="1102">
        <v>1.0162738128213109</v>
      </c>
      <c r="I884" s="1102">
        <v>0.99894503844898896</v>
      </c>
      <c r="K884">
        <v>1.58361148476472</v>
      </c>
      <c r="L884">
        <v>0</v>
      </c>
      <c r="M884">
        <v>1.6895476808561573E-3</v>
      </c>
      <c r="N884">
        <v>0.14563529100638484</v>
      </c>
      <c r="O884">
        <v>0.12385033520093193</v>
      </c>
      <c r="P884">
        <v>1.56771153089868E-2</v>
      </c>
      <c r="Q884">
        <v>8.8995208288585286E-4</v>
      </c>
      <c r="R884">
        <v>1.6857910006164627E-3</v>
      </c>
      <c r="S884">
        <v>0.12297902076354328</v>
      </c>
      <c r="T884">
        <v>0.83915013263137683</v>
      </c>
      <c r="U884">
        <v>0</v>
      </c>
      <c r="V884">
        <v>0.20651851695552664</v>
      </c>
      <c r="W884">
        <v>9.6920503239398367E-2</v>
      </c>
      <c r="X884">
        <v>2.7406206873100195E-2</v>
      </c>
      <c r="Y884">
        <v>4.5881673828240118E-3</v>
      </c>
    </row>
    <row r="885" spans="1:25" x14ac:dyDescent="0.25">
      <c r="A885" s="1098"/>
      <c r="B885" s="1457">
        <v>635</v>
      </c>
      <c r="C885" s="1102">
        <v>1.0067388185578037</v>
      </c>
      <c r="D885" s="1102">
        <v>1.0032273637822013</v>
      </c>
      <c r="E885" s="1102">
        <v>1.0127142550987764</v>
      </c>
      <c r="F885" s="1102">
        <v>1.0243475051719368</v>
      </c>
      <c r="G885" s="1102">
        <v>0.95669461399389477</v>
      </c>
      <c r="H885" s="1102">
        <v>1.0220188079347703</v>
      </c>
      <c r="I885" s="1102">
        <v>1.0352632691391153</v>
      </c>
      <c r="K885">
        <v>1.5896526544469889</v>
      </c>
      <c r="L885">
        <v>0</v>
      </c>
      <c r="M885">
        <v>1.5434791267765996E-3</v>
      </c>
      <c r="N885">
        <v>0.14759214445274377</v>
      </c>
      <c r="O885">
        <v>0.12254460778181016</v>
      </c>
      <c r="P885">
        <v>1.6151948117240723E-2</v>
      </c>
      <c r="Q885">
        <v>9.0342086167322772E-4</v>
      </c>
      <c r="R885">
        <v>1.5400520664390885E-3</v>
      </c>
      <c r="S885">
        <v>0.12468296093963309</v>
      </c>
      <c r="T885">
        <v>0.84448524499943445</v>
      </c>
      <c r="U885">
        <v>0</v>
      </c>
      <c r="V885">
        <v>0.20428205407022329</v>
      </c>
      <c r="W885">
        <v>9.6231723015882092E-2</v>
      </c>
      <c r="X885">
        <v>2.8590463221863451E-2</v>
      </c>
      <c r="Y885">
        <v>4.191514046819938E-3</v>
      </c>
    </row>
    <row r="886" spans="1:25" x14ac:dyDescent="0.25">
      <c r="A886" s="1098"/>
      <c r="B886" s="1457">
        <v>636</v>
      </c>
      <c r="C886" s="1102">
        <v>0.99919132144958622</v>
      </c>
      <c r="D886" s="1102">
        <v>0.9751233207273845</v>
      </c>
      <c r="E886" s="1102">
        <v>1.0326308675469955</v>
      </c>
      <c r="F886" s="1102">
        <v>0.9709937474337762</v>
      </c>
      <c r="G886" s="1102">
        <v>1.0181758312359332</v>
      </c>
      <c r="H886" s="1102">
        <v>0.98499669449687943</v>
      </c>
      <c r="I886" s="1102">
        <v>0.99735371900377889</v>
      </c>
      <c r="K886">
        <v>1.5373955724500141</v>
      </c>
      <c r="L886">
        <v>0</v>
      </c>
      <c r="M886">
        <v>1.454418522864533E-3</v>
      </c>
      <c r="N886">
        <v>0.14767421571284764</v>
      </c>
      <c r="O886">
        <v>0.12036660967836139</v>
      </c>
      <c r="P886">
        <v>1.5709938966867943E-2</v>
      </c>
      <c r="Q886">
        <v>9.3962584383758426E-4</v>
      </c>
      <c r="R886">
        <v>1.4510679304349267E-3</v>
      </c>
      <c r="S886">
        <v>0.11978082442581114</v>
      </c>
      <c r="T886">
        <v>0.7992372497533855</v>
      </c>
      <c r="U886">
        <v>0</v>
      </c>
      <c r="V886">
        <v>0.20579774846026497</v>
      </c>
      <c r="W886">
        <v>9.5172116619738956E-2</v>
      </c>
      <c r="X886">
        <v>2.8771265019099653E-2</v>
      </c>
      <c r="Y886">
        <v>3.9493285622291593E-3</v>
      </c>
    </row>
    <row r="887" spans="1:25" x14ac:dyDescent="0.25">
      <c r="A887" s="1098"/>
      <c r="B887" s="1457">
        <v>637</v>
      </c>
      <c r="C887" s="1102">
        <v>0.97691636732585585</v>
      </c>
      <c r="D887" s="1102">
        <v>1.0169701887627978</v>
      </c>
      <c r="E887" s="1102">
        <v>0.98232411958747945</v>
      </c>
      <c r="F887" s="1102">
        <v>1.019001321942911</v>
      </c>
      <c r="G887" s="1102">
        <v>1.0057278652813402</v>
      </c>
      <c r="H887" s="1102">
        <v>0.95546633961832739</v>
      </c>
      <c r="I887" s="1102">
        <v>0.98346328995128451</v>
      </c>
      <c r="K887">
        <v>1.5649411116433232</v>
      </c>
      <c r="L887">
        <v>0</v>
      </c>
      <c r="M887">
        <v>1.5675581596063845E-3</v>
      </c>
      <c r="N887">
        <v>0.13671989851036315</v>
      </c>
      <c r="O887">
        <v>0.1232152550968687</v>
      </c>
      <c r="P887">
        <v>1.5688271018786195E-2</v>
      </c>
      <c r="Q887">
        <v>8.9718839152603841E-4</v>
      </c>
      <c r="R887">
        <v>1.5638171904759604E-3</v>
      </c>
      <c r="S887">
        <v>0.11554972479458311</v>
      </c>
      <c r="T887">
        <v>0.84212455821881738</v>
      </c>
      <c r="U887">
        <v>0</v>
      </c>
      <c r="V887">
        <v>0.20831084595259003</v>
      </c>
      <c r="W887">
        <v>9.0770910800588273E-2</v>
      </c>
      <c r="X887">
        <v>2.7412004948051606E-2</v>
      </c>
      <c r="Y887">
        <v>4.2561948802772717E-3</v>
      </c>
    </row>
    <row r="888" spans="1:25" x14ac:dyDescent="0.25">
      <c r="A888" s="1098"/>
      <c r="B888" s="1457">
        <v>638</v>
      </c>
      <c r="C888" s="1102">
        <v>0.96166018385147045</v>
      </c>
      <c r="D888" s="1102">
        <v>0.980151612560623</v>
      </c>
      <c r="E888" s="1102">
        <v>0.96911213809169539</v>
      </c>
      <c r="F888" s="1102">
        <v>1.0049876522641963</v>
      </c>
      <c r="G888" s="1102">
        <v>1.0000714253844289</v>
      </c>
      <c r="H888" s="1102">
        <v>0.96140459701017245</v>
      </c>
      <c r="I888" s="1102">
        <v>1.0289879567430908</v>
      </c>
      <c r="K888">
        <v>1.5746619452056745</v>
      </c>
      <c r="L888">
        <v>0</v>
      </c>
      <c r="M888">
        <v>1.6775449579715482E-3</v>
      </c>
      <c r="N888">
        <v>0.14058086574748332</v>
      </c>
      <c r="O888">
        <v>0.12473905392202037</v>
      </c>
      <c r="P888">
        <v>1.5545527947223458E-2</v>
      </c>
      <c r="Q888">
        <v>9.1221786522909128E-4</v>
      </c>
      <c r="R888">
        <v>1.6735814253674825E-3</v>
      </c>
      <c r="S888">
        <v>0.12584561809592468</v>
      </c>
      <c r="T888">
        <v>0.83143029052183393</v>
      </c>
      <c r="U888">
        <v>0</v>
      </c>
      <c r="V888">
        <v>0.20979539703699432</v>
      </c>
      <c r="W888">
        <v>9.4084407793774694E-2</v>
      </c>
      <c r="X888">
        <v>2.7177592863912626E-2</v>
      </c>
      <c r="Y888">
        <v>4.5549369438816862E-3</v>
      </c>
    </row>
    <row r="889" spans="1:25" x14ac:dyDescent="0.25">
      <c r="A889" s="1098"/>
      <c r="B889" s="1457">
        <v>639</v>
      </c>
      <c r="C889" s="1102">
        <v>0.99124442583502459</v>
      </c>
      <c r="D889" s="1102">
        <v>1.0198597391690387</v>
      </c>
      <c r="E889" s="1102">
        <v>0.99769681772348251</v>
      </c>
      <c r="F889" s="1102">
        <v>0.99269479684410822</v>
      </c>
      <c r="G889" s="1102">
        <v>0.98113712910969741</v>
      </c>
      <c r="H889" s="1102">
        <v>0.9856134581389322</v>
      </c>
      <c r="I889" s="1102">
        <v>1.0336151316006823</v>
      </c>
      <c r="K889">
        <v>1.5476479288311797</v>
      </c>
      <c r="L889">
        <v>0</v>
      </c>
      <c r="M889">
        <v>1.539805263106305E-3</v>
      </c>
      <c r="N889">
        <v>0.14069851742322168</v>
      </c>
      <c r="O889">
        <v>0.12045426903401713</v>
      </c>
      <c r="P889">
        <v>1.5596578670973783E-2</v>
      </c>
      <c r="Q889">
        <v>8.9748334380224505E-4</v>
      </c>
      <c r="R889">
        <v>1.5362379531136138E-3</v>
      </c>
      <c r="S889">
        <v>0.121903044475104</v>
      </c>
      <c r="T889">
        <v>0.8193719589569648</v>
      </c>
      <c r="U889">
        <v>0</v>
      </c>
      <c r="V889">
        <v>0.20453822775324754</v>
      </c>
      <c r="W889">
        <v>9.2556088505744302E-2</v>
      </c>
      <c r="X889">
        <v>2.7454194690426089E-2</v>
      </c>
      <c r="Y889">
        <v>4.1811332876701161E-3</v>
      </c>
    </row>
    <row r="890" spans="1:25" x14ac:dyDescent="0.25">
      <c r="A890" s="1098"/>
      <c r="B890" s="1457">
        <v>640</v>
      </c>
      <c r="C890" s="1102">
        <v>0.9860995442191367</v>
      </c>
      <c r="D890" s="1102">
        <v>0.99728474570663661</v>
      </c>
      <c r="E890" s="1102">
        <v>0.97088147837993877</v>
      </c>
      <c r="F890" s="1102">
        <v>0.97675665427953895</v>
      </c>
      <c r="G890" s="1102">
        <v>0.99848400920225999</v>
      </c>
      <c r="H890" s="1102">
        <v>1.026703289908736</v>
      </c>
      <c r="I890" s="1102">
        <v>0.95957694442169539</v>
      </c>
      <c r="K890">
        <v>1.5417456127335152</v>
      </c>
      <c r="L890">
        <v>0</v>
      </c>
      <c r="M890">
        <v>1.723202484130136E-3</v>
      </c>
      <c r="N890">
        <v>0.14520359710595446</v>
      </c>
      <c r="O890">
        <v>0.12064235617940455</v>
      </c>
      <c r="P890">
        <v>1.5095956734080014E-2</v>
      </c>
      <c r="Q890">
        <v>8.8511289792429706E-4</v>
      </c>
      <c r="R890">
        <v>1.7193778791821759E-3</v>
      </c>
      <c r="S890">
        <v>0.11827830339118833</v>
      </c>
      <c r="T890">
        <v>0.80795891422630262</v>
      </c>
      <c r="U890">
        <v>0</v>
      </c>
      <c r="V890">
        <v>0.20554792292963814</v>
      </c>
      <c r="W890">
        <v>9.7073599434841576E-2</v>
      </c>
      <c r="X890">
        <v>2.6384094644759062E-2</v>
      </c>
      <c r="Y890">
        <v>4.6795797943683399E-3</v>
      </c>
    </row>
    <row r="891" spans="1:25" x14ac:dyDescent="0.25">
      <c r="A891" s="1098"/>
      <c r="B891" s="1457">
        <v>641</v>
      </c>
      <c r="C891" s="1102">
        <v>1.0263646760660947</v>
      </c>
      <c r="D891" s="1102">
        <v>1.0059158262592625</v>
      </c>
      <c r="E891" s="1102">
        <v>1.0421544439287338</v>
      </c>
      <c r="F891" s="1102">
        <v>0.96557237110960203</v>
      </c>
      <c r="G891" s="1102">
        <v>0.9677175631837156</v>
      </c>
      <c r="H891" s="1102">
        <v>1.0187760057653525</v>
      </c>
      <c r="I891" s="1102">
        <v>1.007614333130066</v>
      </c>
      <c r="K891">
        <v>1.5211566190852748</v>
      </c>
      <c r="L891">
        <v>0</v>
      </c>
      <c r="M891">
        <v>1.4129077650088186E-3</v>
      </c>
      <c r="N891">
        <v>0.1476456074805689</v>
      </c>
      <c r="O891">
        <v>0.11727060974935521</v>
      </c>
      <c r="P891">
        <v>1.5647803030593044E-2</v>
      </c>
      <c r="Q891">
        <v>9.1223176420130825E-4</v>
      </c>
      <c r="R891">
        <v>1.4097495644018838E-3</v>
      </c>
      <c r="S891">
        <v>0.11840454771774202</v>
      </c>
      <c r="T891">
        <v>0.7941789134290459</v>
      </c>
      <c r="U891">
        <v>0</v>
      </c>
      <c r="V891">
        <v>0.20010661602082228</v>
      </c>
      <c r="W891">
        <v>9.463212365022039E-2</v>
      </c>
      <c r="X891">
        <v>2.8524450852851047E-2</v>
      </c>
      <c r="Y891">
        <v>3.8368735904829193E-3</v>
      </c>
    </row>
    <row r="892" spans="1:25" x14ac:dyDescent="0.25">
      <c r="A892" s="1098"/>
      <c r="B892" s="1457">
        <v>642</v>
      </c>
      <c r="C892" s="1102">
        <v>1.0031413776207352</v>
      </c>
      <c r="D892" s="1102">
        <v>0.99400337036158082</v>
      </c>
      <c r="E892" s="1102">
        <v>0.97983897238517126</v>
      </c>
      <c r="F892" s="1102">
        <v>1.0162772256844941</v>
      </c>
      <c r="G892" s="1102">
        <v>1.0215367644797484</v>
      </c>
      <c r="H892" s="1102">
        <v>1.0290116279817743</v>
      </c>
      <c r="I892" s="1102">
        <v>0.99374589926077372</v>
      </c>
      <c r="K892">
        <v>1.5813373158497213</v>
      </c>
      <c r="L892">
        <v>0</v>
      </c>
      <c r="M892">
        <v>1.6769694968451544E-3</v>
      </c>
      <c r="N892">
        <v>0.1451936089902339</v>
      </c>
      <c r="O892">
        <v>0.1226735445007222</v>
      </c>
      <c r="P892">
        <v>1.5693171154319084E-2</v>
      </c>
      <c r="Q892">
        <v>8.7946115035930931E-4</v>
      </c>
      <c r="R892">
        <v>1.6732739422021833E-3</v>
      </c>
      <c r="S892">
        <v>0.12119570599652105</v>
      </c>
      <c r="T892">
        <v>0.84004157373814137</v>
      </c>
      <c r="U892">
        <v>0</v>
      </c>
      <c r="V892">
        <v>0.20731098289353528</v>
      </c>
      <c r="W892">
        <v>9.6541402991096162E-2</v>
      </c>
      <c r="X892">
        <v>2.7257459913368472E-2</v>
      </c>
      <c r="Y892">
        <v>4.5541000760675387E-3</v>
      </c>
    </row>
    <row r="893" spans="1:25" x14ac:dyDescent="0.25">
      <c r="A893" s="1098"/>
      <c r="B893" s="1457">
        <v>643</v>
      </c>
      <c r="C893" s="1102">
        <v>0.98653368572665856</v>
      </c>
      <c r="D893" s="1102">
        <v>0.98902353328936798</v>
      </c>
      <c r="E893" s="1102">
        <v>0.9932367179049304</v>
      </c>
      <c r="F893" s="1102">
        <v>1.032342297115487</v>
      </c>
      <c r="G893" s="1102">
        <v>1.0218276124127414</v>
      </c>
      <c r="H893" s="1102">
        <v>1.0225238542159916</v>
      </c>
      <c r="I893" s="1102">
        <v>1.0134062747934198</v>
      </c>
      <c r="K893">
        <v>1.6096580822945561</v>
      </c>
      <c r="L893">
        <v>0</v>
      </c>
      <c r="M893">
        <v>1.6527739224684703E-3</v>
      </c>
      <c r="N893">
        <v>0.14901398880485484</v>
      </c>
      <c r="O893">
        <v>0.1248569895514008</v>
      </c>
      <c r="P893">
        <v>1.6112770819175497E-2</v>
      </c>
      <c r="Q893">
        <v>9.0868972648259865E-4</v>
      </c>
      <c r="R893">
        <v>1.6491115854447458E-3</v>
      </c>
      <c r="S893">
        <v>0.12554453608307509</v>
      </c>
      <c r="T893">
        <v>0.85240169844113434</v>
      </c>
      <c r="U893">
        <v>0</v>
      </c>
      <c r="V893">
        <v>0.20975758453789897</v>
      </c>
      <c r="W893">
        <v>9.8287409001322351E-2</v>
      </c>
      <c r="X893">
        <v>2.8289739560142965E-2</v>
      </c>
      <c r="Y893">
        <v>4.4883381060925598E-3</v>
      </c>
    </row>
    <row r="894" spans="1:25" x14ac:dyDescent="0.25">
      <c r="A894" s="1098"/>
      <c r="B894" s="1457">
        <v>644</v>
      </c>
      <c r="C894" s="1102">
        <v>1.041313610297725</v>
      </c>
      <c r="D894" s="1102">
        <v>1.0010491364787613</v>
      </c>
      <c r="E894" s="1102">
        <v>0.98754050133512916</v>
      </c>
      <c r="F894" s="1102">
        <v>0.97175904331376073</v>
      </c>
      <c r="G894" s="1102">
        <v>1.0137864685318292</v>
      </c>
      <c r="H894" s="1102">
        <v>0.99364561475003499</v>
      </c>
      <c r="I894" s="1102">
        <v>0.98676145483094035</v>
      </c>
      <c r="K894">
        <v>1.5056865717163115</v>
      </c>
      <c r="L894">
        <v>0</v>
      </c>
      <c r="M894">
        <v>1.5281334068660644E-3</v>
      </c>
      <c r="N894">
        <v>0.13541441283702407</v>
      </c>
      <c r="O894">
        <v>0.11734686825226244</v>
      </c>
      <c r="P894">
        <v>1.5086891512785715E-2</v>
      </c>
      <c r="Q894">
        <v>8.5166424302633226E-4</v>
      </c>
      <c r="R894">
        <v>1.5246394868107939E-3</v>
      </c>
      <c r="S894">
        <v>0.11274978131282108</v>
      </c>
      <c r="T894">
        <v>0.8027454302684276</v>
      </c>
      <c r="U894">
        <v>0</v>
      </c>
      <c r="V894">
        <v>0.20137215611573997</v>
      </c>
      <c r="W894">
        <v>8.9622542750710354E-2</v>
      </c>
      <c r="X894">
        <v>2.6350752257742166E-2</v>
      </c>
      <c r="Y894">
        <v>4.1495660858272294E-3</v>
      </c>
    </row>
    <row r="895" spans="1:25" x14ac:dyDescent="0.25">
      <c r="A895" s="1098"/>
      <c r="B895" s="1457">
        <v>645</v>
      </c>
      <c r="C895" s="1102">
        <v>0.97213291745105401</v>
      </c>
      <c r="D895" s="1102">
        <v>1.0479865337917551</v>
      </c>
      <c r="E895" s="1102">
        <v>0.97116423411201236</v>
      </c>
      <c r="F895" s="1102">
        <v>0.97390525499342973</v>
      </c>
      <c r="G895" s="1102">
        <v>0.99601799920160439</v>
      </c>
      <c r="H895" s="1102">
        <v>1.0284539379393556</v>
      </c>
      <c r="I895" s="1102">
        <v>1.0258993809726062</v>
      </c>
      <c r="K895">
        <v>1.5401150288758167</v>
      </c>
      <c r="L895">
        <v>0</v>
      </c>
      <c r="M895">
        <v>1.6995550081373165E-3</v>
      </c>
      <c r="N895">
        <v>0.14333117188340408</v>
      </c>
      <c r="O895">
        <v>0.11901275473883081</v>
      </c>
      <c r="P895">
        <v>1.5144879119001085E-2</v>
      </c>
      <c r="Q895">
        <v>8.8045765858817105E-4</v>
      </c>
      <c r="R895">
        <v>1.6957538711190306E-3</v>
      </c>
      <c r="S895">
        <v>0.12458379510463466</v>
      </c>
      <c r="T895">
        <v>0.80558184196570726</v>
      </c>
      <c r="U895">
        <v>0</v>
      </c>
      <c r="V895">
        <v>0.20503527582500886</v>
      </c>
      <c r="W895">
        <v>9.5805343159031817E-2</v>
      </c>
      <c r="X895">
        <v>2.6128027526555037E-2</v>
      </c>
      <c r="Y895">
        <v>4.6152830320726219E-3</v>
      </c>
    </row>
    <row r="896" spans="1:25" x14ac:dyDescent="0.25">
      <c r="A896" s="1098"/>
      <c r="B896" s="1457">
        <v>646</v>
      </c>
      <c r="C896" s="1102">
        <v>1.0072681414052724</v>
      </c>
      <c r="D896" s="1102">
        <v>0.99745469756179461</v>
      </c>
      <c r="E896" s="1102">
        <v>0.99005936068443445</v>
      </c>
      <c r="F896" s="1102">
        <v>0.98588895556296574</v>
      </c>
      <c r="G896" s="1102">
        <v>0.96786453542906314</v>
      </c>
      <c r="H896" s="1102">
        <v>0.98978129776314461</v>
      </c>
      <c r="I896" s="1102">
        <v>1.0365727910559546</v>
      </c>
      <c r="K896">
        <v>1.5395179785010762</v>
      </c>
      <c r="L896">
        <v>0</v>
      </c>
      <c r="M896">
        <v>1.5665565728378657E-3</v>
      </c>
      <c r="N896">
        <v>0.13987908840430149</v>
      </c>
      <c r="O896">
        <v>0.12015160869852376</v>
      </c>
      <c r="P896">
        <v>1.5420975167447507E-2</v>
      </c>
      <c r="Q896">
        <v>8.8403759341096756E-4</v>
      </c>
      <c r="R896">
        <v>1.5629581753907773E-3</v>
      </c>
      <c r="S896">
        <v>0.12228907451548753</v>
      </c>
      <c r="T896">
        <v>0.81425295968593048</v>
      </c>
      <c r="U896">
        <v>0</v>
      </c>
      <c r="V896">
        <v>0.20288395552370464</v>
      </c>
      <c r="W896">
        <v>9.2437717361150487E-2</v>
      </c>
      <c r="X896">
        <v>2.7068303024177343E-2</v>
      </c>
      <c r="Y896">
        <v>4.2538569243896485E-3</v>
      </c>
    </row>
    <row r="897" spans="1:25" x14ac:dyDescent="0.25">
      <c r="A897" s="1098"/>
      <c r="B897" s="1457">
        <v>647</v>
      </c>
      <c r="C897" s="1102">
        <v>0.95292720016865173</v>
      </c>
      <c r="D897" s="1102">
        <v>0.9759429790659927</v>
      </c>
      <c r="E897" s="1102">
        <v>0.96241779693096885</v>
      </c>
      <c r="F897" s="1102">
        <v>1.0028718767813971</v>
      </c>
      <c r="G897" s="1102">
        <v>1.0056050854732888</v>
      </c>
      <c r="H897" s="1102">
        <v>0.98531916240501749</v>
      </c>
      <c r="I897" s="1102">
        <v>0.9639833934563633</v>
      </c>
      <c r="K897">
        <v>1.5774191341903303</v>
      </c>
      <c r="L897">
        <v>0</v>
      </c>
      <c r="M897">
        <v>1.7618938242330022E-3</v>
      </c>
      <c r="N897">
        <v>0.1446940940222711</v>
      </c>
      <c r="O897">
        <v>0.12528480458362687</v>
      </c>
      <c r="P897">
        <v>1.5400009145468409E-2</v>
      </c>
      <c r="Q897">
        <v>9.1566781039122093E-4</v>
      </c>
      <c r="R897">
        <v>1.7578313577949628E-3</v>
      </c>
      <c r="S897">
        <v>0.12113738187745117</v>
      </c>
      <c r="T897">
        <v>0.83013050337927974</v>
      </c>
      <c r="U897">
        <v>0</v>
      </c>
      <c r="V897">
        <v>0.21085807383384536</v>
      </c>
      <c r="W897">
        <v>9.7233899328861853E-2</v>
      </c>
      <c r="X897">
        <v>2.6984525188604398E-2</v>
      </c>
      <c r="Y897">
        <v>4.7842374869665272E-3</v>
      </c>
    </row>
    <row r="898" spans="1:25" x14ac:dyDescent="0.25">
      <c r="A898" s="1098"/>
      <c r="B898" s="1457">
        <v>648</v>
      </c>
      <c r="C898" s="1102">
        <v>1.0298906197980464</v>
      </c>
      <c r="D898" s="1102">
        <v>0.99755064797768378</v>
      </c>
      <c r="E898" s="1102">
        <v>0.99616262518496657</v>
      </c>
      <c r="F898" s="1102">
        <v>1.0277465776839922</v>
      </c>
      <c r="G898" s="1102">
        <v>0.97014950084132867</v>
      </c>
      <c r="H898" s="1102">
        <v>0.9880391070538409</v>
      </c>
      <c r="I898" s="1102">
        <v>1.0387500537746781</v>
      </c>
      <c r="K898">
        <v>1.5712464964979442</v>
      </c>
      <c r="L898">
        <v>0</v>
      </c>
      <c r="M898">
        <v>1.5172969044283376E-3</v>
      </c>
      <c r="N898">
        <v>0.13800421585349415</v>
      </c>
      <c r="O898">
        <v>0.12190747074139283</v>
      </c>
      <c r="P898">
        <v>1.5931932676878355E-2</v>
      </c>
      <c r="Q898">
        <v>8.7009426158298289E-4</v>
      </c>
      <c r="R898">
        <v>1.51382190981735E-3</v>
      </c>
      <c r="S898">
        <v>0.12009395293449905</v>
      </c>
      <c r="T898">
        <v>0.84840800273058636</v>
      </c>
      <c r="U898">
        <v>0</v>
      </c>
      <c r="V898">
        <v>0.20330525452580764</v>
      </c>
      <c r="W898">
        <v>9.0866707876793226E-2</v>
      </c>
      <c r="X898">
        <v>2.7742215684256936E-2</v>
      </c>
      <c r="Y898">
        <v>4.1201242072643734E-3</v>
      </c>
    </row>
    <row r="899" spans="1:25" x14ac:dyDescent="0.25">
      <c r="A899" s="1098"/>
      <c r="B899" s="1457">
        <v>649</v>
      </c>
      <c r="C899" s="1102">
        <v>0.95553934767723547</v>
      </c>
      <c r="D899" s="1102">
        <v>0.98443295010285492</v>
      </c>
      <c r="E899" s="1102">
        <v>0.9939072439006017</v>
      </c>
      <c r="F899" s="1102">
        <v>1.0085592574032942</v>
      </c>
      <c r="G899" s="1102">
        <v>0.98324620858020506</v>
      </c>
      <c r="H899" s="1102">
        <v>0.99365961122880497</v>
      </c>
      <c r="I899" s="1102">
        <v>1.036331667437542</v>
      </c>
      <c r="K899">
        <v>1.5949921790296568</v>
      </c>
      <c r="L899">
        <v>0</v>
      </c>
      <c r="M899">
        <v>1.6533027005976567E-3</v>
      </c>
      <c r="N899">
        <v>0.14935327072398402</v>
      </c>
      <c r="O899">
        <v>0.12506649866259159</v>
      </c>
      <c r="P899">
        <v>1.591419981995814E-2</v>
      </c>
      <c r="Q899">
        <v>9.4056781878235215E-4</v>
      </c>
      <c r="R899">
        <v>1.6495197871935297E-3</v>
      </c>
      <c r="S899">
        <v>0.13004866148070732</v>
      </c>
      <c r="T899">
        <v>0.83271933602245762</v>
      </c>
      <c r="U899">
        <v>0</v>
      </c>
      <c r="V899">
        <v>0.20969749624453726</v>
      </c>
      <c r="W899">
        <v>9.8471743268897877E-2</v>
      </c>
      <c r="X899">
        <v>2.8294738804455672E-2</v>
      </c>
      <c r="Y899">
        <v>4.4894490966890799E-3</v>
      </c>
    </row>
    <row r="900" spans="1:25" x14ac:dyDescent="0.25">
      <c r="A900" s="1098"/>
      <c r="B900" s="1457">
        <v>650</v>
      </c>
      <c r="C900" s="1102">
        <v>0.98772919571720563</v>
      </c>
      <c r="D900" s="1102">
        <v>1.0097889046833655</v>
      </c>
      <c r="E900" s="1102">
        <v>1.0030070415479944</v>
      </c>
      <c r="F900" s="1102">
        <v>0.99219754229152834</v>
      </c>
      <c r="G900" s="1102">
        <v>1.0040299836172901</v>
      </c>
      <c r="H900" s="1102">
        <v>0.97639653471662713</v>
      </c>
      <c r="I900" s="1102">
        <v>1.0051018883971512</v>
      </c>
      <c r="K900">
        <v>1.5471278535050494</v>
      </c>
      <c r="L900">
        <v>0</v>
      </c>
      <c r="M900">
        <v>1.5221218374441789E-3</v>
      </c>
      <c r="N900">
        <v>0.14132933955918725</v>
      </c>
      <c r="O900">
        <v>0.12101799287058171</v>
      </c>
      <c r="P900">
        <v>1.56293381617101E-2</v>
      </c>
      <c r="Q900">
        <v>9.0925110708395696E-4</v>
      </c>
      <c r="R900">
        <v>1.5185669681987137E-3</v>
      </c>
      <c r="S900">
        <v>0.11891605712502956</v>
      </c>
      <c r="T900">
        <v>0.81861376969777888</v>
      </c>
      <c r="U900">
        <v>0</v>
      </c>
      <c r="V900">
        <v>0.20614955928891299</v>
      </c>
      <c r="W900">
        <v>9.2678180941251562E-2</v>
      </c>
      <c r="X900">
        <v>2.775488093078949E-2</v>
      </c>
      <c r="Y900">
        <v>4.1330386919703702E-3</v>
      </c>
    </row>
    <row r="901" spans="1:25" x14ac:dyDescent="0.25">
      <c r="A901" s="1098"/>
      <c r="B901" s="1457">
        <v>651</v>
      </c>
      <c r="C901" s="1102">
        <v>1.0009260052587392</v>
      </c>
      <c r="D901" s="1102">
        <v>0.98080897923685628</v>
      </c>
      <c r="E901" s="1102">
        <v>0.99264229558622297</v>
      </c>
      <c r="F901" s="1102">
        <v>0.9832958578195109</v>
      </c>
      <c r="G901" s="1102">
        <v>0.98769947126743418</v>
      </c>
      <c r="H901" s="1102">
        <v>0.96206275925508811</v>
      </c>
      <c r="I901" s="1102">
        <v>0.9731931488683907</v>
      </c>
      <c r="K901">
        <v>1.5294859581661453</v>
      </c>
      <c r="L901">
        <v>0</v>
      </c>
      <c r="M901">
        <v>1.5376773704609068E-3</v>
      </c>
      <c r="N901">
        <v>0.13836826600659899</v>
      </c>
      <c r="O901">
        <v>0.12101524821761585</v>
      </c>
      <c r="P901">
        <v>1.5338310163701336E-2</v>
      </c>
      <c r="Q901">
        <v>8.9806087405772334E-4</v>
      </c>
      <c r="R901">
        <v>1.5340511681333948E-3</v>
      </c>
      <c r="S901">
        <v>0.11449997708061942</v>
      </c>
      <c r="T901">
        <v>0.8119429300389126</v>
      </c>
      <c r="U901">
        <v>0</v>
      </c>
      <c r="V901">
        <v>0.20467938168154279</v>
      </c>
      <c r="W901">
        <v>9.12980782519906E-2</v>
      </c>
      <c r="X901">
        <v>2.7274150473606044E-2</v>
      </c>
      <c r="Y901">
        <v>4.1751815798274352E-3</v>
      </c>
    </row>
    <row r="902" spans="1:25" x14ac:dyDescent="0.25">
      <c r="A902" s="1098"/>
      <c r="B902" s="1457">
        <v>652</v>
      </c>
      <c r="C902" s="1102">
        <v>1.0128192464343071</v>
      </c>
      <c r="D902" s="1102">
        <v>1.023211135348042</v>
      </c>
      <c r="E902" s="1102">
        <v>1.0021501281904521</v>
      </c>
      <c r="F902" s="1102">
        <v>1.0064828851186745</v>
      </c>
      <c r="G902" s="1102">
        <v>0.99874715845640849</v>
      </c>
      <c r="H902" s="1102">
        <v>1.0028972099440174</v>
      </c>
      <c r="I902" s="1102">
        <v>0.98580232808718515</v>
      </c>
      <c r="K902">
        <v>1.5513498222559376</v>
      </c>
      <c r="L902">
        <v>0</v>
      </c>
      <c r="M902">
        <v>1.5204065441570135E-3</v>
      </c>
      <c r="N902">
        <v>0.14081406620824941</v>
      </c>
      <c r="O902">
        <v>0.12016346908810367</v>
      </c>
      <c r="P902">
        <v>1.5701317492456745E-2</v>
      </c>
      <c r="Q902">
        <v>8.8127327151361293E-4</v>
      </c>
      <c r="R902">
        <v>1.5169518629414608E-3</v>
      </c>
      <c r="S902">
        <v>0.11508385044282023</v>
      </c>
      <c r="T902">
        <v>0.83045677213970637</v>
      </c>
      <c r="U902">
        <v>0</v>
      </c>
      <c r="V902">
        <v>0.20414811842584343</v>
      </c>
      <c r="W902">
        <v>9.2387230532561579E-2</v>
      </c>
      <c r="X902">
        <v>2.7588536428015922E-2</v>
      </c>
      <c r="Y902">
        <v>4.1286429078794323E-3</v>
      </c>
    </row>
    <row r="903" spans="1:25" x14ac:dyDescent="0.25">
      <c r="A903" s="1098"/>
      <c r="B903" s="1457">
        <v>653</v>
      </c>
      <c r="C903" s="1102">
        <v>0.97887752516322646</v>
      </c>
      <c r="D903" s="1102">
        <v>1.0229414235092353</v>
      </c>
      <c r="E903" s="1102">
        <v>1.0235024475853221</v>
      </c>
      <c r="F903" s="1102">
        <v>0.98024108750091898</v>
      </c>
      <c r="G903" s="1102">
        <v>1.0284201404689837</v>
      </c>
      <c r="H903" s="1102">
        <v>1.0288035313755757</v>
      </c>
      <c r="I903" s="1102">
        <v>1.000473827088215</v>
      </c>
      <c r="K903">
        <v>1.5566611462276672</v>
      </c>
      <c r="L903">
        <v>0</v>
      </c>
      <c r="M903">
        <v>1.5370957259889175E-3</v>
      </c>
      <c r="N903">
        <v>0.15184406877391829</v>
      </c>
      <c r="O903">
        <v>0.12001118485717115</v>
      </c>
      <c r="P903">
        <v>1.5776178007189327E-2</v>
      </c>
      <c r="Q903">
        <v>9.32200200621822E-4</v>
      </c>
      <c r="R903">
        <v>1.5336760574571316E-3</v>
      </c>
      <c r="S903">
        <v>0.12261747029728114</v>
      </c>
      <c r="T903">
        <v>0.80743143405514683</v>
      </c>
      <c r="U903">
        <v>0</v>
      </c>
      <c r="V903">
        <v>0.20704258449661581</v>
      </c>
      <c r="W903">
        <v>9.838018589112052E-2</v>
      </c>
      <c r="X903">
        <v>2.8455098664910701E-2</v>
      </c>
      <c r="Y903">
        <v>4.1741606522218491E-3</v>
      </c>
    </row>
    <row r="904" spans="1:25" x14ac:dyDescent="0.25">
      <c r="A904" s="1098"/>
      <c r="B904" s="1457">
        <v>654</v>
      </c>
      <c r="C904" s="1102">
        <v>1.0391417166245485</v>
      </c>
      <c r="D904" s="1102">
        <v>0.9893155450943022</v>
      </c>
      <c r="E904" s="1102">
        <v>1.0082070689233806</v>
      </c>
      <c r="F904" s="1102">
        <v>1.0047181965831808</v>
      </c>
      <c r="G904" s="1102">
        <v>0.98435457937534232</v>
      </c>
      <c r="H904" s="1102">
        <v>0.96593943465792853</v>
      </c>
      <c r="I904" s="1102">
        <v>1.0108791390108913</v>
      </c>
      <c r="K904">
        <v>1.5384630855090431</v>
      </c>
      <c r="L904">
        <v>0</v>
      </c>
      <c r="M904">
        <v>1.4391649045446739E-3</v>
      </c>
      <c r="N904">
        <v>0.13574094191004529</v>
      </c>
      <c r="O904">
        <v>0.12019528990737979</v>
      </c>
      <c r="P904">
        <v>1.5715060862927798E-2</v>
      </c>
      <c r="Q904">
        <v>8.7607187295172498E-4</v>
      </c>
      <c r="R904">
        <v>1.4357946982135952E-3</v>
      </c>
      <c r="S904">
        <v>0.11463065415612238</v>
      </c>
      <c r="T904">
        <v>0.82860000207476869</v>
      </c>
      <c r="U904">
        <v>0</v>
      </c>
      <c r="V904">
        <v>0.20229761826880455</v>
      </c>
      <c r="W904">
        <v>8.8740060098625409E-2</v>
      </c>
      <c r="X904">
        <v>2.7762996704805417E-2</v>
      </c>
      <c r="Y904">
        <v>3.9077598589423454E-3</v>
      </c>
    </row>
    <row r="905" spans="1:25" x14ac:dyDescent="0.25">
      <c r="A905" s="1098"/>
      <c r="B905" s="1457">
        <v>655</v>
      </c>
      <c r="C905" s="1102">
        <v>1.0205686476894851</v>
      </c>
      <c r="D905" s="1102">
        <v>0.99339302755887882</v>
      </c>
      <c r="E905" s="1102">
        <v>1.0216146647568951</v>
      </c>
      <c r="F905" s="1102">
        <v>0.98014636972983493</v>
      </c>
      <c r="G905" s="1102">
        <v>1.0211765583880918</v>
      </c>
      <c r="H905" s="1102">
        <v>0.99395446027418644</v>
      </c>
      <c r="I905" s="1102">
        <v>0.99954658274561436</v>
      </c>
      <c r="K905">
        <v>1.5325475152503159</v>
      </c>
      <c r="L905">
        <v>0</v>
      </c>
      <c r="M905">
        <v>1.4583227459502544E-3</v>
      </c>
      <c r="N905">
        <v>0.14323582445497962</v>
      </c>
      <c r="O905">
        <v>0.11917593799858904</v>
      </c>
      <c r="P905">
        <v>1.5637232748156864E-2</v>
      </c>
      <c r="Q905">
        <v>9.029158678912451E-4</v>
      </c>
      <c r="R905">
        <v>1.4549910258716528E-3</v>
      </c>
      <c r="S905">
        <v>0.11709289539619926</v>
      </c>
      <c r="T905">
        <v>0.80747421169864908</v>
      </c>
      <c r="U905">
        <v>0</v>
      </c>
      <c r="V905">
        <v>0.20407453193044647</v>
      </c>
      <c r="W905">
        <v>9.2905227845773625E-2</v>
      </c>
      <c r="X905">
        <v>2.8092063094947873E-2</v>
      </c>
      <c r="Y905">
        <v>3.9600059347598667E-3</v>
      </c>
    </row>
    <row r="906" spans="1:25" x14ac:dyDescent="0.25">
      <c r="A906" s="1098"/>
      <c r="B906" s="1457">
        <v>656</v>
      </c>
      <c r="C906" s="1102">
        <v>1.0198351690611749</v>
      </c>
      <c r="D906" s="1102">
        <v>1.003379185552731</v>
      </c>
      <c r="E906" s="1102">
        <v>1.0449715000674256</v>
      </c>
      <c r="F906" s="1102">
        <v>1.0136929556908099</v>
      </c>
      <c r="G906" s="1102">
        <v>1.0030666066672609</v>
      </c>
      <c r="H906" s="1102">
        <v>1.0333265143927328</v>
      </c>
      <c r="I906" s="1102">
        <v>1.0031751122167876</v>
      </c>
      <c r="K906">
        <v>1.5793254945384112</v>
      </c>
      <c r="L906">
        <v>0</v>
      </c>
      <c r="M906">
        <v>1.4404654829759695E-3</v>
      </c>
      <c r="N906">
        <v>0.15181378500783579</v>
      </c>
      <c r="O906">
        <v>0.12104206968264289</v>
      </c>
      <c r="P906">
        <v>1.6326058953567934E-2</v>
      </c>
      <c r="Q906">
        <v>9.2162672064811273E-4</v>
      </c>
      <c r="R906">
        <v>1.4373025092087397E-3</v>
      </c>
      <c r="S906">
        <v>0.12021239986755991</v>
      </c>
      <c r="T906">
        <v>0.8335733857566292</v>
      </c>
      <c r="U906">
        <v>0</v>
      </c>
      <c r="V906">
        <v>0.20479404870281584</v>
      </c>
      <c r="W906">
        <v>9.7146374631299326E-2</v>
      </c>
      <c r="X906">
        <v>2.958704456575777E-2</v>
      </c>
      <c r="Y906">
        <v>3.9118636234213664E-3</v>
      </c>
    </row>
    <row r="907" spans="1:25" x14ac:dyDescent="0.25">
      <c r="A907" s="1098"/>
      <c r="B907" s="1457">
        <v>657</v>
      </c>
      <c r="C907" s="1102">
        <v>0.98881441319852326</v>
      </c>
      <c r="D907" s="1102">
        <v>1.0033546337036658</v>
      </c>
      <c r="E907" s="1102">
        <v>1.0078661322974789</v>
      </c>
      <c r="F907" s="1102">
        <v>0.99524688679271545</v>
      </c>
      <c r="G907" s="1102">
        <v>0.99517915892221664</v>
      </c>
      <c r="H907" s="1102">
        <v>0.97422548414052512</v>
      </c>
      <c r="I907" s="1102">
        <v>1.0228085887308147</v>
      </c>
      <c r="K907">
        <v>1.5532271614971844</v>
      </c>
      <c r="L907">
        <v>0</v>
      </c>
      <c r="M907">
        <v>1.5077590700872724E-3</v>
      </c>
      <c r="N907">
        <v>0.14206498520584163</v>
      </c>
      <c r="O907">
        <v>0.12144601920281901</v>
      </c>
      <c r="P907">
        <v>1.5745507467401828E-2</v>
      </c>
      <c r="Q907">
        <v>9.1516418734718507E-4</v>
      </c>
      <c r="R907">
        <v>1.5042347434836584E-3</v>
      </c>
      <c r="S907">
        <v>0.12119727733405797</v>
      </c>
      <c r="T907">
        <v>0.82081124049478382</v>
      </c>
      <c r="U907">
        <v>0</v>
      </c>
      <c r="V907">
        <v>0.2060182443250376</v>
      </c>
      <c r="W907">
        <v>9.2893078812773852E-2</v>
      </c>
      <c r="X907">
        <v>2.8045137692810813E-2</v>
      </c>
      <c r="Y907">
        <v>4.0940311009125974E-3</v>
      </c>
    </row>
    <row r="908" spans="1:25" x14ac:dyDescent="0.25">
      <c r="A908" s="1098"/>
      <c r="B908" s="1457">
        <v>658</v>
      </c>
      <c r="C908" s="1102">
        <v>0.99717640951790554</v>
      </c>
      <c r="D908" s="1102">
        <v>1.0162878447938446</v>
      </c>
      <c r="E908" s="1102">
        <v>1.0031048123233073</v>
      </c>
      <c r="F908" s="1102">
        <v>0.99518532738986087</v>
      </c>
      <c r="G908" s="1102">
        <v>0.98871191977771244</v>
      </c>
      <c r="H908" s="1102">
        <v>1.0102903645947781</v>
      </c>
      <c r="I908" s="1102">
        <v>0.9818746944291219</v>
      </c>
      <c r="K908">
        <v>1.5511220346777641</v>
      </c>
      <c r="L908">
        <v>0</v>
      </c>
      <c r="M908">
        <v>1.5555190336420076E-3</v>
      </c>
      <c r="N908">
        <v>0.14448423889850789</v>
      </c>
      <c r="O908">
        <v>0.12046520520131047</v>
      </c>
      <c r="P908">
        <v>1.5621306945222513E-2</v>
      </c>
      <c r="Q908">
        <v>8.9841962816177739E-4</v>
      </c>
      <c r="R908">
        <v>1.5520075798943207E-3</v>
      </c>
      <c r="S908">
        <v>0.11731843984134221</v>
      </c>
      <c r="T908">
        <v>0.82107243179958855</v>
      </c>
      <c r="U908">
        <v>0</v>
      </c>
      <c r="V908">
        <v>0.20462082377651375</v>
      </c>
      <c r="W908">
        <v>9.4741546630665904E-2</v>
      </c>
      <c r="X908">
        <v>2.7679080396886258E-2</v>
      </c>
      <c r="Y908">
        <v>4.2240530133111284E-3</v>
      </c>
    </row>
    <row r="909" spans="1:25" x14ac:dyDescent="0.25">
      <c r="A909" s="1098"/>
      <c r="B909" s="1457">
        <v>659</v>
      </c>
      <c r="C909" s="1102">
        <v>1.0416482703072678</v>
      </c>
      <c r="D909" s="1102">
        <v>1.0342620054790062</v>
      </c>
      <c r="E909" s="1102">
        <v>1.0386877476130598</v>
      </c>
      <c r="F909" s="1102">
        <v>0.97644301368340469</v>
      </c>
      <c r="G909" s="1102">
        <v>0.99562419564432358</v>
      </c>
      <c r="H909" s="1102">
        <v>0.96559791889025282</v>
      </c>
      <c r="I909" s="1102">
        <v>1.0133981834334633</v>
      </c>
      <c r="K909">
        <v>1.501586464353087</v>
      </c>
      <c r="L909">
        <v>0</v>
      </c>
      <c r="M909">
        <v>1.3107817640484775E-3</v>
      </c>
      <c r="N909">
        <v>0.13553314465921978</v>
      </c>
      <c r="O909">
        <v>0.11613090198845512</v>
      </c>
      <c r="P909">
        <v>1.563786074787387E-2</v>
      </c>
      <c r="Q909">
        <v>8.8578905665182928E-4</v>
      </c>
      <c r="R909">
        <v>1.3076819557501455E-3</v>
      </c>
      <c r="S909">
        <v>0.1115159980713035</v>
      </c>
      <c r="T909">
        <v>0.80333900534118241</v>
      </c>
      <c r="U909">
        <v>0</v>
      </c>
      <c r="V909">
        <v>0.19991734303468048</v>
      </c>
      <c r="W909">
        <v>8.7042309601536777E-2</v>
      </c>
      <c r="X909">
        <v>2.8028132454170542E-2</v>
      </c>
      <c r="Y909">
        <v>3.559079206311037E-3</v>
      </c>
    </row>
    <row r="910" spans="1:25" x14ac:dyDescent="0.25">
      <c r="A910" s="1098"/>
      <c r="B910" s="1457">
        <v>660</v>
      </c>
      <c r="C910" s="1102">
        <v>1.0299610643882842</v>
      </c>
      <c r="D910" s="1102">
        <v>1.026886266992431</v>
      </c>
      <c r="E910" s="1102">
        <v>0.97248303426679972</v>
      </c>
      <c r="F910" s="1102">
        <v>1.0047581263947998</v>
      </c>
      <c r="G910" s="1102">
        <v>0.98146441299070053</v>
      </c>
      <c r="H910" s="1102">
        <v>1.0181072468733732</v>
      </c>
      <c r="I910" s="1102">
        <v>1.0205389061223678</v>
      </c>
      <c r="K910">
        <v>1.5444928020133581</v>
      </c>
      <c r="L910">
        <v>0</v>
      </c>
      <c r="M910">
        <v>1.6122927185725539E-3</v>
      </c>
      <c r="N910">
        <v>0.1365158169123937</v>
      </c>
      <c r="O910">
        <v>0.11911950775298456</v>
      </c>
      <c r="P910">
        <v>1.5369025239131702E-2</v>
      </c>
      <c r="Q910">
        <v>8.3897593373654397E-4</v>
      </c>
      <c r="R910">
        <v>1.6086855291892364E-3</v>
      </c>
      <c r="S910">
        <v>0.11810901347538177</v>
      </c>
      <c r="T910">
        <v>0.83101362682375146</v>
      </c>
      <c r="U910">
        <v>0</v>
      </c>
      <c r="V910">
        <v>0.20173348916598885</v>
      </c>
      <c r="W910">
        <v>9.1176719515892582E-2</v>
      </c>
      <c r="X910">
        <v>2.6241922676067508E-2</v>
      </c>
      <c r="Y910">
        <v>4.3783117074109243E-3</v>
      </c>
    </row>
    <row r="911" spans="1:25" x14ac:dyDescent="0.25">
      <c r="A911" s="1098"/>
      <c r="B911" s="1457">
        <v>661</v>
      </c>
      <c r="C911" s="1102">
        <v>1.0288494090112918</v>
      </c>
      <c r="D911" s="1102">
        <v>0.98876442799015263</v>
      </c>
      <c r="E911" s="1102">
        <v>0.99879963147122686</v>
      </c>
      <c r="F911" s="1102">
        <v>1.0211660493515042</v>
      </c>
      <c r="G911" s="1102">
        <v>0.9912844893241255</v>
      </c>
      <c r="H911" s="1102">
        <v>0.97287265575150794</v>
      </c>
      <c r="I911" s="1102">
        <v>1.0097977106015286</v>
      </c>
      <c r="K911">
        <v>1.5608148650331244</v>
      </c>
      <c r="L911">
        <v>0</v>
      </c>
      <c r="M911">
        <v>1.494077010939702E-3</v>
      </c>
      <c r="N911">
        <v>0.13697485485063324</v>
      </c>
      <c r="O911">
        <v>0.12188977005918959</v>
      </c>
      <c r="P911">
        <v>1.5847896958563531E-2</v>
      </c>
      <c r="Q911">
        <v>8.7645863819064875E-4</v>
      </c>
      <c r="R911">
        <v>1.4906052034848833E-3</v>
      </c>
      <c r="S911">
        <v>0.11625727637821241</v>
      </c>
      <c r="T911">
        <v>0.8427977729158832</v>
      </c>
      <c r="U911">
        <v>0</v>
      </c>
      <c r="V911">
        <v>0.20427445314165094</v>
      </c>
      <c r="W911">
        <v>9.0047418555019174E-2</v>
      </c>
      <c r="X911">
        <v>2.7795499357225143E-2</v>
      </c>
      <c r="Y911">
        <v>4.0569359860125852E-3</v>
      </c>
    </row>
    <row r="912" spans="1:25" x14ac:dyDescent="0.25">
      <c r="A912" s="1098"/>
      <c r="B912" s="1457">
        <v>662</v>
      </c>
      <c r="C912" s="1102">
        <v>1.0360027734172883</v>
      </c>
      <c r="D912" s="1102">
        <v>1.0003832800931642</v>
      </c>
      <c r="E912" s="1102">
        <v>1.0030674074565322</v>
      </c>
      <c r="F912" s="1102">
        <v>0.99085151137650562</v>
      </c>
      <c r="G912" s="1102">
        <v>1.0174045160271006</v>
      </c>
      <c r="H912" s="1102">
        <v>0.99867628926776753</v>
      </c>
      <c r="I912" s="1102">
        <v>1.0060456108085385</v>
      </c>
      <c r="K912">
        <v>1.5334899292184894</v>
      </c>
      <c r="L912">
        <v>0</v>
      </c>
      <c r="M912">
        <v>1.4970542356211023E-3</v>
      </c>
      <c r="N912">
        <v>0.13903598062430175</v>
      </c>
      <c r="O912">
        <v>0.11891716617349361</v>
      </c>
      <c r="P912">
        <v>1.5532843922924981E-2</v>
      </c>
      <c r="Q912">
        <v>8.7018905592170059E-4</v>
      </c>
      <c r="R912">
        <v>1.4936527247336906E-3</v>
      </c>
      <c r="S912">
        <v>0.1160892129023425</v>
      </c>
      <c r="T912">
        <v>0.81749928260469074</v>
      </c>
      <c r="U912">
        <v>0</v>
      </c>
      <c r="V912">
        <v>0.20298375346847078</v>
      </c>
      <c r="W912">
        <v>9.11710237443525E-2</v>
      </c>
      <c r="X912">
        <v>2.7328647898640101E-2</v>
      </c>
      <c r="Y912">
        <v>4.0652303342367281E-3</v>
      </c>
    </row>
    <row r="913" spans="1:25" x14ac:dyDescent="0.25">
      <c r="A913" s="1098"/>
      <c r="B913" s="1457">
        <v>663</v>
      </c>
      <c r="C913" s="1102">
        <v>0.98971986592343708</v>
      </c>
      <c r="D913" s="1102">
        <v>0.99964783034845617</v>
      </c>
      <c r="E913" s="1102">
        <v>1.0224516401504242</v>
      </c>
      <c r="F913" s="1102">
        <v>0.98577080295357011</v>
      </c>
      <c r="G913" s="1102">
        <v>0.99892909875167946</v>
      </c>
      <c r="H913" s="1102">
        <v>1.0164090237718562</v>
      </c>
      <c r="I913" s="1102">
        <v>1.0048472652967935</v>
      </c>
      <c r="K913">
        <v>1.5585052367911523</v>
      </c>
      <c r="L913">
        <v>0</v>
      </c>
      <c r="M913">
        <v>1.5268215383729378E-3</v>
      </c>
      <c r="N913">
        <v>0.1503494571521074</v>
      </c>
      <c r="O913">
        <v>0.1208494882181816</v>
      </c>
      <c r="P913">
        <v>1.5809807924471016E-2</v>
      </c>
      <c r="Q913">
        <v>9.295212857779253E-4</v>
      </c>
      <c r="R913">
        <v>1.5234005505111938E-3</v>
      </c>
      <c r="S913">
        <v>0.12258880777633888</v>
      </c>
      <c r="T913">
        <v>0.81205391126815696</v>
      </c>
      <c r="U913">
        <v>0</v>
      </c>
      <c r="V913">
        <v>0.20575101021702341</v>
      </c>
      <c r="W913">
        <v>9.7471587958474507E-2</v>
      </c>
      <c r="X913">
        <v>2.8558871868845592E-2</v>
      </c>
      <c r="Y913">
        <v>4.1461941096349588E-3</v>
      </c>
    </row>
    <row r="914" spans="1:25" x14ac:dyDescent="0.25">
      <c r="A914" s="1098"/>
      <c r="B914" s="1457">
        <v>664</v>
      </c>
      <c r="C914" s="1102">
        <v>1.0098502664231219</v>
      </c>
      <c r="D914" s="1102">
        <v>1.0282517968129168</v>
      </c>
      <c r="E914" s="1102">
        <v>0.99466061755402146</v>
      </c>
      <c r="F914" s="1102">
        <v>1.0300478460199696</v>
      </c>
      <c r="G914" s="1102">
        <v>0.96183029850200386</v>
      </c>
      <c r="H914" s="1102">
        <v>0.9627042600120479</v>
      </c>
      <c r="I914" s="1102">
        <v>0.99533637324393442</v>
      </c>
      <c r="K914">
        <v>1.5604863216458948</v>
      </c>
      <c r="L914">
        <v>0</v>
      </c>
      <c r="M914">
        <v>1.4847020667963287E-3</v>
      </c>
      <c r="N914">
        <v>0.13441782570404515</v>
      </c>
      <c r="O914">
        <v>0.12173396287285754</v>
      </c>
      <c r="P914">
        <v>1.5853776011459333E-2</v>
      </c>
      <c r="Q914">
        <v>8.7529940982879239E-4</v>
      </c>
      <c r="R914">
        <v>1.4811899044963417E-3</v>
      </c>
      <c r="S914">
        <v>0.11319603209423409</v>
      </c>
      <c r="T914">
        <v>0.85041006915419959</v>
      </c>
      <c r="U914">
        <v>0</v>
      </c>
      <c r="V914">
        <v>0.20377250454057785</v>
      </c>
      <c r="W914">
        <v>8.858463769211794E-2</v>
      </c>
      <c r="X914">
        <v>2.7614415682955459E-2</v>
      </c>
      <c r="Y914">
        <v>4.0313106459182527E-3</v>
      </c>
    </row>
    <row r="915" spans="1:25" x14ac:dyDescent="0.25">
      <c r="A915" s="1098"/>
      <c r="B915" s="1457">
        <v>665</v>
      </c>
      <c r="C915" s="1102">
        <v>0.98079160305047952</v>
      </c>
      <c r="D915" s="1102">
        <v>0.98359516994060558</v>
      </c>
      <c r="E915" s="1102">
        <v>0.98854057284033348</v>
      </c>
      <c r="F915" s="1102">
        <v>1.0195226093159262</v>
      </c>
      <c r="G915" s="1102">
        <v>0.98063397314918677</v>
      </c>
      <c r="H915" s="1102">
        <v>1.0019174491614302</v>
      </c>
      <c r="I915" s="1102">
        <v>0.96054241573321086</v>
      </c>
      <c r="K915">
        <v>1.5853463618237116</v>
      </c>
      <c r="L915">
        <v>0</v>
      </c>
      <c r="M915">
        <v>1.6477035598594734E-3</v>
      </c>
      <c r="N915">
        <v>0.14645575197022723</v>
      </c>
      <c r="O915">
        <v>0.12452252161777794</v>
      </c>
      <c r="P915">
        <v>1.5794629463953359E-2</v>
      </c>
      <c r="Q915">
        <v>9.115531929382968E-4</v>
      </c>
      <c r="R915">
        <v>1.6439755750564708E-3</v>
      </c>
      <c r="S915">
        <v>0.11835004319969845</v>
      </c>
      <c r="T915">
        <v>0.84213399602738304</v>
      </c>
      <c r="U915">
        <v>0</v>
      </c>
      <c r="V915">
        <v>0.20789587408403098</v>
      </c>
      <c r="W915">
        <v>9.6871988004444132E-2</v>
      </c>
      <c r="X915">
        <v>2.7939372669159107E-2</v>
      </c>
      <c r="Y915">
        <v>4.474359578901045E-3</v>
      </c>
    </row>
    <row r="916" spans="1:25" x14ac:dyDescent="0.25">
      <c r="A916" s="1098"/>
      <c r="B916" s="1457">
        <v>666</v>
      </c>
      <c r="C916" s="1102">
        <v>0.97260964797551608</v>
      </c>
      <c r="D916" s="1102">
        <v>0.98843825448957234</v>
      </c>
      <c r="E916" s="1102">
        <v>0.9715933289281059</v>
      </c>
      <c r="F916" s="1102">
        <v>0.97209462800632507</v>
      </c>
      <c r="G916" s="1102">
        <v>1.0212181775762434</v>
      </c>
      <c r="H916" s="1102">
        <v>1.0167755373102534</v>
      </c>
      <c r="I916" s="1102">
        <v>1.0036999790017695</v>
      </c>
      <c r="K916">
        <v>1.5500086093956362</v>
      </c>
      <c r="L916">
        <v>0</v>
      </c>
      <c r="M916">
        <v>1.733872812002956E-3</v>
      </c>
      <c r="N916">
        <v>0.14641476752920629</v>
      </c>
      <c r="O916">
        <v>0.12140166998564719</v>
      </c>
      <c r="P916">
        <v>1.5173873591475382E-2</v>
      </c>
      <c r="Q916">
        <v>9.012685294642269E-4</v>
      </c>
      <c r="R916">
        <v>1.7299870315646082E-3</v>
      </c>
      <c r="S916">
        <v>0.12516585709160627</v>
      </c>
      <c r="T916">
        <v>0.80405623092495393</v>
      </c>
      <c r="U916">
        <v>0</v>
      </c>
      <c r="V916">
        <v>0.20777517850599003</v>
      </c>
      <c r="W916">
        <v>9.7840950820787115E-2</v>
      </c>
      <c r="X916">
        <v>2.6574243787097312E-2</v>
      </c>
      <c r="Y916">
        <v>4.7084544098471778E-3</v>
      </c>
    </row>
    <row r="917" spans="1:25" x14ac:dyDescent="0.25">
      <c r="A917" s="1098"/>
      <c r="B917" s="1457">
        <v>667</v>
      </c>
      <c r="C917" s="1102">
        <v>0.96945583741601704</v>
      </c>
      <c r="D917" s="1102">
        <v>1.021078325849218</v>
      </c>
      <c r="E917" s="1102">
        <v>1.0121342807911362</v>
      </c>
      <c r="F917" s="1102">
        <v>1.0001231342194257</v>
      </c>
      <c r="G917" s="1102">
        <v>0.99716197161496323</v>
      </c>
      <c r="H917" s="1102">
        <v>0.99086271256219394</v>
      </c>
      <c r="I917" s="1102">
        <v>0.96453244319069054</v>
      </c>
      <c r="K917">
        <v>1.5617707075993796</v>
      </c>
      <c r="L917">
        <v>0</v>
      </c>
      <c r="M917">
        <v>1.5334125046737208E-3</v>
      </c>
      <c r="N917">
        <v>0.14636031279543646</v>
      </c>
      <c r="O917">
        <v>0.12202355364451815</v>
      </c>
      <c r="P917">
        <v>1.5804151981131279E-2</v>
      </c>
      <c r="Q917">
        <v>9.3101267680074722E-4</v>
      </c>
      <c r="R917">
        <v>1.5298744044155586E-3</v>
      </c>
      <c r="S917">
        <v>0.11658407308010804</v>
      </c>
      <c r="T917">
        <v>0.82455242069466816</v>
      </c>
      <c r="U917">
        <v>0</v>
      </c>
      <c r="V917">
        <v>0.20753641429602765</v>
      </c>
      <c r="W917">
        <v>9.546113462446619E-2</v>
      </c>
      <c r="X917">
        <v>2.8357358100622176E-2</v>
      </c>
      <c r="Y917">
        <v>4.1638138058572747E-3</v>
      </c>
    </row>
    <row r="918" spans="1:25" x14ac:dyDescent="0.25">
      <c r="A918" s="1098"/>
      <c r="B918" s="1457">
        <v>668</v>
      </c>
      <c r="C918" s="1102">
        <v>0.99589406026810345</v>
      </c>
      <c r="D918" s="1102">
        <v>1.0341815693481404</v>
      </c>
      <c r="E918" s="1102">
        <v>1.0001999387460154</v>
      </c>
      <c r="F918" s="1102">
        <v>1.0169635526791665</v>
      </c>
      <c r="G918" s="1102">
        <v>1.004690485514947</v>
      </c>
      <c r="H918" s="1102">
        <v>0.99678582368128643</v>
      </c>
      <c r="I918" s="1102">
        <v>1.0389609278612111</v>
      </c>
      <c r="K918">
        <v>1.5712266095195322</v>
      </c>
      <c r="L918">
        <v>0</v>
      </c>
      <c r="M918">
        <v>1.5330815343677162E-3</v>
      </c>
      <c r="N918">
        <v>0.14115123133738738</v>
      </c>
      <c r="O918">
        <v>0.12128161775103527</v>
      </c>
      <c r="P918">
        <v>1.5918906231217417E-2</v>
      </c>
      <c r="Q918">
        <v>8.9063387305459037E-4</v>
      </c>
      <c r="R918">
        <v>1.5295689130308183E-3</v>
      </c>
      <c r="S918">
        <v>0.12203261343739036</v>
      </c>
      <c r="T918">
        <v>0.83923530016953274</v>
      </c>
      <c r="U918">
        <v>0</v>
      </c>
      <c r="V918">
        <v>0.20604506616592111</v>
      </c>
      <c r="W918">
        <v>9.2715746211139566E-2</v>
      </c>
      <c r="X918">
        <v>2.779602460517492E-2</v>
      </c>
      <c r="Y918">
        <v>4.1629823590132202E-3</v>
      </c>
    </row>
    <row r="919" spans="1:25" x14ac:dyDescent="0.25">
      <c r="A919" s="1098"/>
      <c r="B919" s="1457">
        <v>669</v>
      </c>
      <c r="C919" s="1102">
        <v>0.98227535960091972</v>
      </c>
      <c r="D919" s="1102">
        <v>0.99768429922366442</v>
      </c>
      <c r="E919" s="1102">
        <v>1.007755672012816</v>
      </c>
      <c r="F919" s="1102">
        <v>1.0101204609237975</v>
      </c>
      <c r="G919" s="1102">
        <v>1.0052927904560314</v>
      </c>
      <c r="H919" s="1102">
        <v>0.98685712588581886</v>
      </c>
      <c r="I919" s="1102">
        <v>1.0018732063426401</v>
      </c>
      <c r="K919">
        <v>1.5751238190264953</v>
      </c>
      <c r="L919">
        <v>0</v>
      </c>
      <c r="M919">
        <v>1.5437730334847668E-3</v>
      </c>
      <c r="N919">
        <v>0.14541470298991588</v>
      </c>
      <c r="O919">
        <v>0.12308930233610048</v>
      </c>
      <c r="P919">
        <v>1.5936618587221826E-2</v>
      </c>
      <c r="Q919">
        <v>9.2324199901041594E-4</v>
      </c>
      <c r="R919">
        <v>1.5402163776263896E-3</v>
      </c>
      <c r="S919">
        <v>0.12098518212979602</v>
      </c>
      <c r="T919">
        <v>0.83308527992985082</v>
      </c>
      <c r="U919">
        <v>0</v>
      </c>
      <c r="V919">
        <v>0.20798820373352564</v>
      </c>
      <c r="W919">
        <v>9.5089587693241703E-2</v>
      </c>
      <c r="X919">
        <v>2.8423295035982947E-2</v>
      </c>
      <c r="Y919">
        <v>4.1919612477066036E-3</v>
      </c>
    </row>
    <row r="920" spans="1:25" x14ac:dyDescent="0.25">
      <c r="A920" s="1098"/>
      <c r="B920" s="1457">
        <v>670</v>
      </c>
      <c r="C920" s="1102">
        <v>0.97805921259156969</v>
      </c>
      <c r="D920" s="1102">
        <v>0.9856105147758597</v>
      </c>
      <c r="E920" s="1102">
        <v>1.0030865012711383</v>
      </c>
      <c r="F920" s="1102">
        <v>1.0146678285903858</v>
      </c>
      <c r="G920" s="1102">
        <v>1.0129355041182222</v>
      </c>
      <c r="H920" s="1102">
        <v>1.0088378415411414</v>
      </c>
      <c r="I920" s="1102">
        <v>0.97728114960195522</v>
      </c>
      <c r="K920">
        <v>1.5893536557806298</v>
      </c>
      <c r="L920">
        <v>0</v>
      </c>
      <c r="M920">
        <v>1.6115023492693841E-3</v>
      </c>
      <c r="N920">
        <v>0.1496772165342401</v>
      </c>
      <c r="O920">
        <v>0.12419381828269863</v>
      </c>
      <c r="P920">
        <v>1.5956999818273632E-2</v>
      </c>
      <c r="Q920">
        <v>9.2726188590555776E-4</v>
      </c>
      <c r="R920">
        <v>1.6078779597591287E-3</v>
      </c>
      <c r="S920">
        <v>0.12113600100819492</v>
      </c>
      <c r="T920">
        <v>0.83714759183413678</v>
      </c>
      <c r="U920">
        <v>0</v>
      </c>
      <c r="V920">
        <v>0.20930488422055091</v>
      </c>
      <c r="W920">
        <v>9.8147763738257648E-2</v>
      </c>
      <c r="X920">
        <v>2.848962907824161E-2</v>
      </c>
      <c r="Y920">
        <v>4.376113769637366E-3</v>
      </c>
    </row>
    <row r="921" spans="1:25" x14ac:dyDescent="0.25">
      <c r="A921" s="1098"/>
      <c r="B921" s="1457">
        <v>671</v>
      </c>
      <c r="C921" s="1102">
        <v>0.99328640269288171</v>
      </c>
      <c r="D921" s="1102">
        <v>0.98526149768779914</v>
      </c>
      <c r="E921" s="1102">
        <v>0.9849736888265288</v>
      </c>
      <c r="F921" s="1102">
        <v>1.0105316317155408</v>
      </c>
      <c r="G921" s="1102">
        <v>0.98537402112424655</v>
      </c>
      <c r="H921" s="1102">
        <v>0.98551742662362918</v>
      </c>
      <c r="I921" s="1102">
        <v>1.003327457524501</v>
      </c>
      <c r="K921">
        <v>1.5692430681283172</v>
      </c>
      <c r="L921">
        <v>0</v>
      </c>
      <c r="M921">
        <v>1.6110774518077213E-3</v>
      </c>
      <c r="N921">
        <v>0.14165852181063135</v>
      </c>
      <c r="O921">
        <v>0.12316393544367027</v>
      </c>
      <c r="P921">
        <v>1.5667210715797981E-2</v>
      </c>
      <c r="Q921">
        <v>8.9613353884238534E-4</v>
      </c>
      <c r="R921">
        <v>1.6073715924399255E-3</v>
      </c>
      <c r="S921">
        <v>0.12063287297205885</v>
      </c>
      <c r="T921">
        <v>0.83494686043212074</v>
      </c>
      <c r="U921">
        <v>0</v>
      </c>
      <c r="V921">
        <v>0.20649926179388295</v>
      </c>
      <c r="W921">
        <v>9.3899842077119086E-2</v>
      </c>
      <c r="X921">
        <v>2.750739959884364E-2</v>
      </c>
      <c r="Y921">
        <v>4.3747356047184344E-3</v>
      </c>
    </row>
    <row r="922" spans="1:25" x14ac:dyDescent="0.25">
      <c r="A922" s="1098"/>
      <c r="B922" s="1457">
        <v>672</v>
      </c>
      <c r="C922" s="1102">
        <v>0.99874402051620792</v>
      </c>
      <c r="D922" s="1102">
        <v>1.041209050648749</v>
      </c>
      <c r="E922" s="1102">
        <v>1.0212728834838132</v>
      </c>
      <c r="F922" s="1102">
        <v>1.0051511083102469</v>
      </c>
      <c r="G922" s="1102">
        <v>0.96816413139229496</v>
      </c>
      <c r="H922" s="1102">
        <v>1.0024909581875696</v>
      </c>
      <c r="I922" s="1102">
        <v>1.0004927829182739</v>
      </c>
      <c r="K922">
        <v>1.5546904197694495</v>
      </c>
      <c r="L922">
        <v>0</v>
      </c>
      <c r="M922">
        <v>1.4649864260276898E-3</v>
      </c>
      <c r="N922">
        <v>0.14374239857251173</v>
      </c>
      <c r="O922">
        <v>0.11996408746361532</v>
      </c>
      <c r="P922">
        <v>1.5910002659228158E-2</v>
      </c>
      <c r="Q922">
        <v>9.0514140355342672E-4</v>
      </c>
      <c r="R922">
        <v>1.4616429461540847E-3</v>
      </c>
      <c r="S922">
        <v>0.11713803195482161</v>
      </c>
      <c r="T922">
        <v>0.82809631185599886</v>
      </c>
      <c r="U922">
        <v>0</v>
      </c>
      <c r="V922">
        <v>0.20338852706175514</v>
      </c>
      <c r="W922">
        <v>9.3252424320288352E-2</v>
      </c>
      <c r="X922">
        <v>2.831872768858654E-2</v>
      </c>
      <c r="Y922">
        <v>3.9781102689637141E-3</v>
      </c>
    </row>
    <row r="923" spans="1:25" x14ac:dyDescent="0.25">
      <c r="A923" s="1098"/>
      <c r="B923" s="1457">
        <v>673</v>
      </c>
      <c r="C923" s="1102">
        <v>1.0097852136696073</v>
      </c>
      <c r="D923" s="1102">
        <v>0.99087125932074904</v>
      </c>
      <c r="E923" s="1102">
        <v>1.030422591134349</v>
      </c>
      <c r="F923" s="1102">
        <v>0.99959827201687468</v>
      </c>
      <c r="G923" s="1102">
        <v>0.98629059582186929</v>
      </c>
      <c r="H923" s="1102">
        <v>1.001572696496297</v>
      </c>
      <c r="I923" s="1102">
        <v>0.98891556426282035</v>
      </c>
      <c r="K923">
        <v>1.5587961180147303</v>
      </c>
      <c r="L923">
        <v>0</v>
      </c>
      <c r="M923">
        <v>1.4613555305956734E-3</v>
      </c>
      <c r="N923">
        <v>0.14739997051710799</v>
      </c>
      <c r="O923">
        <v>0.12116281113024735</v>
      </c>
      <c r="P923">
        <v>1.5970891325542452E-2</v>
      </c>
      <c r="Q923">
        <v>9.2175112144441166E-4</v>
      </c>
      <c r="R923">
        <v>1.4580460711794416E-3</v>
      </c>
      <c r="S923">
        <v>0.11793049645758608</v>
      </c>
      <c r="T923">
        <v>0.82292546593355487</v>
      </c>
      <c r="U923">
        <v>0</v>
      </c>
      <c r="V923">
        <v>0.20448792817531147</v>
      </c>
      <c r="W923">
        <v>9.511707489285319E-2</v>
      </c>
      <c r="X923">
        <v>2.8914717159507348E-2</v>
      </c>
      <c r="Y923">
        <v>3.9683207609922527E-3</v>
      </c>
    </row>
    <row r="924" spans="1:25" x14ac:dyDescent="0.25">
      <c r="A924" s="1098"/>
      <c r="B924" s="1457">
        <v>674</v>
      </c>
      <c r="C924" s="1102">
        <v>1.0370285692179031</v>
      </c>
      <c r="D924" s="1102">
        <v>1.0254739974860487</v>
      </c>
      <c r="E924" s="1102">
        <v>0.98611118581799417</v>
      </c>
      <c r="F924" s="1102">
        <v>0.97881581875602164</v>
      </c>
      <c r="G924" s="1102">
        <v>0.97692211257849193</v>
      </c>
      <c r="H924" s="1102">
        <v>1.0354555234569198</v>
      </c>
      <c r="I924" s="1102">
        <v>1.0068185045365143</v>
      </c>
      <c r="K924">
        <v>1.5211813648215666</v>
      </c>
      <c r="L924">
        <v>0</v>
      </c>
      <c r="M924">
        <v>1.5823301436170252E-3</v>
      </c>
      <c r="N924">
        <v>0.13962399163228847</v>
      </c>
      <c r="O924">
        <v>0.11701643969182229</v>
      </c>
      <c r="P924">
        <v>1.5186169367552809E-2</v>
      </c>
      <c r="Q924">
        <v>8.4571377283771212E-4</v>
      </c>
      <c r="R924">
        <v>1.5788451575782598E-3</v>
      </c>
      <c r="S924">
        <v>0.11705490240122619</v>
      </c>
      <c r="T924">
        <v>0.80866780408115169</v>
      </c>
      <c r="U924">
        <v>0</v>
      </c>
      <c r="V924">
        <v>0.1997078226082494</v>
      </c>
      <c r="W924">
        <v>9.2487963909936147E-2</v>
      </c>
      <c r="X924">
        <v>2.6296946289779632E-2</v>
      </c>
      <c r="Y924">
        <v>4.2970960527617058E-3</v>
      </c>
    </row>
    <row r="925" spans="1:25" x14ac:dyDescent="0.25">
      <c r="A925" s="1098"/>
      <c r="B925" s="1457">
        <v>675</v>
      </c>
      <c r="C925" s="1102">
        <v>1.0273054528743732</v>
      </c>
      <c r="D925" s="1102">
        <v>0.99113531925729659</v>
      </c>
      <c r="E925" s="1102">
        <v>1.0120183966609428</v>
      </c>
      <c r="F925" s="1102">
        <v>0.97144501843636288</v>
      </c>
      <c r="G925" s="1102">
        <v>1.0269821019112071</v>
      </c>
      <c r="H925" s="1102">
        <v>1.0040777484161321</v>
      </c>
      <c r="I925" s="1102">
        <v>1.0213974447942282</v>
      </c>
      <c r="K925">
        <v>1.5260586940733343</v>
      </c>
      <c r="L925">
        <v>0</v>
      </c>
      <c r="M925">
        <v>1.4946378151860257E-3</v>
      </c>
      <c r="N925">
        <v>0.14261606982764191</v>
      </c>
      <c r="O925">
        <v>0.1183566459887971</v>
      </c>
      <c r="P925">
        <v>1.5464854974412552E-2</v>
      </c>
      <c r="Q925">
        <v>8.8900177298466526E-4</v>
      </c>
      <c r="R925">
        <v>1.491258150580611E-3</v>
      </c>
      <c r="S925">
        <v>0.11979700853499629</v>
      </c>
      <c r="T925">
        <v>0.8009161098723806</v>
      </c>
      <c r="U925">
        <v>0</v>
      </c>
      <c r="V925">
        <v>0.20338917369034618</v>
      </c>
      <c r="W925">
        <v>9.3025359218776124E-2</v>
      </c>
      <c r="X925">
        <v>2.7549136764838278E-2</v>
      </c>
      <c r="Y925">
        <v>4.0587130927632019E-3</v>
      </c>
    </row>
    <row r="926" spans="1:25" x14ac:dyDescent="0.25">
      <c r="A926" s="1098"/>
      <c r="B926" s="1457">
        <v>676</v>
      </c>
      <c r="C926" s="1102">
        <v>0.98376036193606864</v>
      </c>
      <c r="D926" s="1102">
        <v>1.001882041375644</v>
      </c>
      <c r="E926" s="1102">
        <v>1.0087779486738497</v>
      </c>
      <c r="F926" s="1102">
        <v>0.98656812841482189</v>
      </c>
      <c r="G926" s="1102">
        <v>1.0071765359966434</v>
      </c>
      <c r="H926" s="1102">
        <v>0.96212881729583133</v>
      </c>
      <c r="I926" s="1102">
        <v>0.97098959329281798</v>
      </c>
      <c r="K926">
        <v>1.5379063444944063</v>
      </c>
      <c r="L926">
        <v>0</v>
      </c>
      <c r="M926">
        <v>1.4935163671890123E-3</v>
      </c>
      <c r="N926">
        <v>0.14110653086209554</v>
      </c>
      <c r="O926">
        <v>0.12115989417390702</v>
      </c>
      <c r="P926">
        <v>1.5576113906344259E-2</v>
      </c>
      <c r="Q926">
        <v>9.2127309828937286E-4</v>
      </c>
      <c r="R926">
        <v>1.4899785589417341E-3</v>
      </c>
      <c r="S926">
        <v>0.11472728176749039</v>
      </c>
      <c r="T926">
        <v>0.81359445458417945</v>
      </c>
      <c r="U926">
        <v>0</v>
      </c>
      <c r="V926">
        <v>0.20659002180418434</v>
      </c>
      <c r="W926">
        <v>9.2216705493095102E-2</v>
      </c>
      <c r="X926">
        <v>2.796237614692966E-2</v>
      </c>
      <c r="Y926">
        <v>4.0552304661394508E-3</v>
      </c>
    </row>
    <row r="927" spans="1:25" x14ac:dyDescent="0.25">
      <c r="A927" s="1098"/>
      <c r="B927" s="1457">
        <v>677</v>
      </c>
      <c r="C927" s="1102">
        <v>0.95377206394203784</v>
      </c>
      <c r="D927" s="1102">
        <v>1.0355250751152079</v>
      </c>
      <c r="E927" s="1102">
        <v>1.0045836473654328</v>
      </c>
      <c r="F927" s="1102">
        <v>1.0246262440489455</v>
      </c>
      <c r="G927" s="1102">
        <v>0.99579915533863761</v>
      </c>
      <c r="H927" s="1102">
        <v>1.0119345778458586</v>
      </c>
      <c r="I927" s="1102">
        <v>1.0215220761891532</v>
      </c>
      <c r="K927">
        <v>1.6031331423793358</v>
      </c>
      <c r="L927">
        <v>0</v>
      </c>
      <c r="M927">
        <v>1.6051990844969167E-3</v>
      </c>
      <c r="N927">
        <v>0.14976537626072731</v>
      </c>
      <c r="O927">
        <v>0.12398422134706266</v>
      </c>
      <c r="P927">
        <v>1.6161503600206871E-2</v>
      </c>
      <c r="Q927">
        <v>9.3371341859739706E-4</v>
      </c>
      <c r="R927">
        <v>1.6015664326344474E-3</v>
      </c>
      <c r="S927">
        <v>0.12624691583846018</v>
      </c>
      <c r="T927">
        <v>0.84526266568149633</v>
      </c>
      <c r="U927">
        <v>0</v>
      </c>
      <c r="V927">
        <v>0.20972369213194095</v>
      </c>
      <c r="W927">
        <v>9.8118489932163114E-2</v>
      </c>
      <c r="X927">
        <v>2.8581260947145058E-2</v>
      </c>
      <c r="Y927">
        <v>4.3589358733983376E-3</v>
      </c>
    </row>
    <row r="928" spans="1:25" x14ac:dyDescent="0.25">
      <c r="A928" s="1098"/>
      <c r="B928" s="1457">
        <v>678</v>
      </c>
      <c r="C928" s="1102">
        <v>1.0310831544268544</v>
      </c>
      <c r="D928" s="1102">
        <v>1.0190512624252348</v>
      </c>
      <c r="E928" s="1102">
        <v>0.99281713188162135</v>
      </c>
      <c r="F928" s="1102">
        <v>0.98685075758830076</v>
      </c>
      <c r="G928" s="1102">
        <v>0.99068260245778872</v>
      </c>
      <c r="H928" s="1102">
        <v>1.0301364640297708</v>
      </c>
      <c r="I928" s="1102">
        <v>0.98500527041218677</v>
      </c>
      <c r="K928">
        <v>1.5311057742310976</v>
      </c>
      <c r="L928">
        <v>0</v>
      </c>
      <c r="M928">
        <v>1.5673390910561234E-3</v>
      </c>
      <c r="N928">
        <v>0.14113276177011552</v>
      </c>
      <c r="O928">
        <v>0.11810891357850174</v>
      </c>
      <c r="P928">
        <v>1.5345563077712629E-2</v>
      </c>
      <c r="Q928">
        <v>8.5871381279791447E-4</v>
      </c>
      <c r="R928">
        <v>1.5638736513274595E-3</v>
      </c>
      <c r="S928">
        <v>0.11524097547479183</v>
      </c>
      <c r="T928">
        <v>0.81486690887040736</v>
      </c>
      <c r="U928">
        <v>0</v>
      </c>
      <c r="V928">
        <v>0.20140377013748356</v>
      </c>
      <c r="W928">
        <v>9.3112414581262043E-2</v>
      </c>
      <c r="X928">
        <v>2.6782869819648978E-2</v>
      </c>
      <c r="Y928">
        <v>4.256348548102736E-3</v>
      </c>
    </row>
    <row r="929" spans="1:25" x14ac:dyDescent="0.25">
      <c r="A929" s="1098"/>
      <c r="B929" s="1457">
        <v>679</v>
      </c>
      <c r="C929" s="1102">
        <v>0.98546354858002672</v>
      </c>
      <c r="D929" s="1102">
        <v>1.0360958627175376</v>
      </c>
      <c r="E929" s="1102">
        <v>0.98437978954157779</v>
      </c>
      <c r="F929" s="1102">
        <v>0.98195406274557562</v>
      </c>
      <c r="G929" s="1102">
        <v>1.0377548401835335</v>
      </c>
      <c r="H929" s="1102">
        <v>0.97842647061530374</v>
      </c>
      <c r="I929" s="1102">
        <v>0.97247758442562249</v>
      </c>
      <c r="K929">
        <v>1.526284585349206</v>
      </c>
      <c r="L929">
        <v>0</v>
      </c>
      <c r="M929">
        <v>1.5645556849262967E-3</v>
      </c>
      <c r="N929">
        <v>0.13731521863414595</v>
      </c>
      <c r="O929">
        <v>0.11934708644767593</v>
      </c>
      <c r="P929">
        <v>1.5248465408199062E-2</v>
      </c>
      <c r="Q929">
        <v>8.8470334495240163E-4</v>
      </c>
      <c r="R929">
        <v>1.5608903199638175E-3</v>
      </c>
      <c r="S929">
        <v>0.11361672530986024</v>
      </c>
      <c r="T929">
        <v>0.81137356931056226</v>
      </c>
      <c r="U929">
        <v>0</v>
      </c>
      <c r="V929">
        <v>0.20653710741307094</v>
      </c>
      <c r="W929">
        <v>9.105336395286566E-2</v>
      </c>
      <c r="X929">
        <v>2.6663781989249038E-2</v>
      </c>
      <c r="Y929">
        <v>4.2482289035858222E-3</v>
      </c>
    </row>
    <row r="930" spans="1:25" x14ac:dyDescent="0.25">
      <c r="A930" s="1098"/>
      <c r="B930" s="1457">
        <v>680</v>
      </c>
      <c r="C930" s="1102">
        <v>0.98003153811634192</v>
      </c>
      <c r="D930" s="1102">
        <v>0.9949542884671787</v>
      </c>
      <c r="E930" s="1102">
        <v>1.0458562788760604</v>
      </c>
      <c r="F930" s="1102">
        <v>0.98940040728136225</v>
      </c>
      <c r="G930" s="1102">
        <v>1.02665132069735</v>
      </c>
      <c r="H930" s="1102">
        <v>0.99106122463380708</v>
      </c>
      <c r="I930" s="1102">
        <v>1.029229508091593</v>
      </c>
      <c r="K930">
        <v>1.5679073173946776</v>
      </c>
      <c r="L930">
        <v>0</v>
      </c>
      <c r="M930">
        <v>1.4350196125545714E-3</v>
      </c>
      <c r="N930">
        <v>0.15162790302621001</v>
      </c>
      <c r="O930">
        <v>0.12175572444068614</v>
      </c>
      <c r="P930">
        <v>1.6170712204511443E-2</v>
      </c>
      <c r="Q930">
        <v>9.6316059651793619E-4</v>
      </c>
      <c r="R930">
        <v>1.4317231527181057E-3</v>
      </c>
      <c r="S930">
        <v>0.12505756518567498</v>
      </c>
      <c r="T930">
        <v>0.81354079181444983</v>
      </c>
      <c r="U930">
        <v>0</v>
      </c>
      <c r="V930">
        <v>0.20821717418911095</v>
      </c>
      <c r="W930">
        <v>9.6978205894301298E-2</v>
      </c>
      <c r="X930">
        <v>2.9702698048764416E-2</v>
      </c>
      <c r="Y930">
        <v>3.8966784542882344E-3</v>
      </c>
    </row>
    <row r="931" spans="1:25" x14ac:dyDescent="0.25">
      <c r="A931" s="1098"/>
      <c r="B931" s="1457">
        <v>681</v>
      </c>
      <c r="C931" s="1102">
        <v>0.98108178529559598</v>
      </c>
      <c r="D931" s="1102">
        <v>0.99503624789739609</v>
      </c>
      <c r="E931" s="1102">
        <v>0.99748430659231047</v>
      </c>
      <c r="F931" s="1102">
        <v>0.96121429532226443</v>
      </c>
      <c r="G931" s="1102">
        <v>0.99614132125286392</v>
      </c>
      <c r="H931" s="1102">
        <v>0.99585354185847996</v>
      </c>
      <c r="I931" s="1102">
        <v>1.0392635945955677</v>
      </c>
      <c r="K931">
        <v>1.5330793236666194</v>
      </c>
      <c r="L931">
        <v>0</v>
      </c>
      <c r="M931">
        <v>1.5893850855801756E-3</v>
      </c>
      <c r="N931">
        <v>0.14513932237380325</v>
      </c>
      <c r="O931">
        <v>0.11981390232618365</v>
      </c>
      <c r="P931">
        <v>1.5308678512961979E-2</v>
      </c>
      <c r="Q931">
        <v>9.1555987018238126E-4</v>
      </c>
      <c r="R931">
        <v>1.5857435179066947E-3</v>
      </c>
      <c r="S931">
        <v>0.12625494827359646</v>
      </c>
      <c r="T931">
        <v>0.7934014004334079</v>
      </c>
      <c r="U931">
        <v>0</v>
      </c>
      <c r="V931">
        <v>0.2051725299073153</v>
      </c>
      <c r="W931">
        <v>9.5489478309700795E-2</v>
      </c>
      <c r="X931">
        <v>2.727127411160787E-2</v>
      </c>
      <c r="Y931">
        <v>4.3158711155318347E-3</v>
      </c>
    </row>
    <row r="932" spans="1:25" x14ac:dyDescent="0.25">
      <c r="A932" s="1098"/>
      <c r="B932" s="1457">
        <v>682</v>
      </c>
      <c r="C932" s="1102">
        <v>0.99558055716961524</v>
      </c>
      <c r="D932" s="1102">
        <v>1.009470555867831</v>
      </c>
      <c r="E932" s="1102">
        <v>0.98248712578962027</v>
      </c>
      <c r="F932" s="1102">
        <v>0.99855422471963962</v>
      </c>
      <c r="G932" s="1102">
        <v>0.99599183901201094</v>
      </c>
      <c r="H932" s="1102">
        <v>0.99584315878421337</v>
      </c>
      <c r="I932" s="1102">
        <v>0.99778052412109386</v>
      </c>
      <c r="K932">
        <v>1.5518455100897017</v>
      </c>
      <c r="L932">
        <v>0</v>
      </c>
      <c r="M932">
        <v>1.6090966923394134E-3</v>
      </c>
      <c r="N932">
        <v>0.1404260065577676</v>
      </c>
      <c r="O932">
        <v>0.12113262282529789</v>
      </c>
      <c r="P932">
        <v>1.5466527219058425E-2</v>
      </c>
      <c r="Q932">
        <v>8.8312980592710302E-4</v>
      </c>
      <c r="R932">
        <v>1.605416212102565E-3</v>
      </c>
      <c r="S932">
        <v>0.11872031294138718</v>
      </c>
      <c r="T932">
        <v>0.82521580073942691</v>
      </c>
      <c r="U932">
        <v>0</v>
      </c>
      <c r="V932">
        <v>0.20542057641522793</v>
      </c>
      <c r="W932">
        <v>9.3222307041510244E-2</v>
      </c>
      <c r="X932">
        <v>2.6992493320304109E-2</v>
      </c>
      <c r="Y932">
        <v>4.3694137040310947E-3</v>
      </c>
    </row>
    <row r="933" spans="1:25" x14ac:dyDescent="0.25">
      <c r="A933" s="1098"/>
      <c r="B933" s="1457">
        <v>683</v>
      </c>
      <c r="C933" s="1102">
        <v>0.97026768716890011</v>
      </c>
      <c r="D933" s="1102">
        <v>0.97644916465474429</v>
      </c>
      <c r="E933" s="1102">
        <v>1.0063102060668911</v>
      </c>
      <c r="F933" s="1102">
        <v>0.96527731317493481</v>
      </c>
      <c r="G933" s="1102">
        <v>1.0024655289013733</v>
      </c>
      <c r="H933" s="1102">
        <v>1.0018945043292125</v>
      </c>
      <c r="I933" s="1102">
        <v>1.0260805446397301</v>
      </c>
      <c r="K933">
        <v>1.5504180489105248</v>
      </c>
      <c r="L933">
        <v>0</v>
      </c>
      <c r="M933">
        <v>1.6035740550818941E-3</v>
      </c>
      <c r="N933">
        <v>0.1503946260305529</v>
      </c>
      <c r="O933">
        <v>0.12147026799230666</v>
      </c>
      <c r="P933">
        <v>1.5499027902772486E-2</v>
      </c>
      <c r="Q933">
        <v>9.413393283694303E-4</v>
      </c>
      <c r="R933">
        <v>1.5999313458750324E-3</v>
      </c>
      <c r="S933">
        <v>0.12794717090279925</v>
      </c>
      <c r="T933">
        <v>0.79619319832417668</v>
      </c>
      <c r="U933">
        <v>0</v>
      </c>
      <c r="V933">
        <v>0.20720600659897143</v>
      </c>
      <c r="W933">
        <v>9.8430117228151204E-2</v>
      </c>
      <c r="X933">
        <v>2.7985451605385073E-2</v>
      </c>
      <c r="Y933">
        <v>4.3544857062454163E-3</v>
      </c>
    </row>
    <row r="934" spans="1:25" x14ac:dyDescent="0.25">
      <c r="A934" s="1098"/>
      <c r="B934" s="1457">
        <v>684</v>
      </c>
      <c r="C934" s="1102">
        <v>0.99269273451483098</v>
      </c>
      <c r="D934" s="1102">
        <v>0.99899681749105262</v>
      </c>
      <c r="E934" s="1102">
        <v>0.9874581845570457</v>
      </c>
      <c r="F934" s="1102">
        <v>1.0022456928615093</v>
      </c>
      <c r="G934" s="1102">
        <v>0.96220866591219234</v>
      </c>
      <c r="H934" s="1102">
        <v>1.0472751043601829</v>
      </c>
      <c r="I934" s="1102">
        <v>0.9795012535328177</v>
      </c>
      <c r="K934">
        <v>1.5735231119457467</v>
      </c>
      <c r="L934">
        <v>0</v>
      </c>
      <c r="M934">
        <v>1.6898167195073903E-3</v>
      </c>
      <c r="N934">
        <v>0.14972189725302823</v>
      </c>
      <c r="O934">
        <v>0.12198718726839176</v>
      </c>
      <c r="P934">
        <v>1.5590863677764112E-2</v>
      </c>
      <c r="Q934">
        <v>8.9403458205220563E-4</v>
      </c>
      <c r="R934">
        <v>1.6861480364655432E-3</v>
      </c>
      <c r="S934">
        <v>0.12165168096163687</v>
      </c>
      <c r="T934">
        <v>0.82793515563513209</v>
      </c>
      <c r="U934">
        <v>0</v>
      </c>
      <c r="V934">
        <v>0.20465749387483806</v>
      </c>
      <c r="W934">
        <v>9.909669055337561E-2</v>
      </c>
      <c r="X934">
        <v>2.7402637705861786E-2</v>
      </c>
      <c r="Y934">
        <v>4.589139116708372E-3</v>
      </c>
    </row>
    <row r="935" spans="1:25" x14ac:dyDescent="0.25">
      <c r="A935" s="1098"/>
      <c r="B935" s="1457">
        <v>685</v>
      </c>
      <c r="C935" s="1102">
        <v>1.0065364076582353</v>
      </c>
      <c r="D935" s="1102">
        <v>0.98934892840281963</v>
      </c>
      <c r="E935" s="1102">
        <v>1.0061256759049444</v>
      </c>
      <c r="F935" s="1102">
        <v>1.0285758375436096</v>
      </c>
      <c r="G935" s="1102">
        <v>0.98935653848022964</v>
      </c>
      <c r="H935" s="1102">
        <v>1.0205068866289817</v>
      </c>
      <c r="I935" s="1102">
        <v>0.99303942790562361</v>
      </c>
      <c r="K935">
        <v>1.5929773357844867</v>
      </c>
      <c r="L935">
        <v>0</v>
      </c>
      <c r="M935">
        <v>1.5756472564647298E-3</v>
      </c>
      <c r="N935">
        <v>0.14770109946105037</v>
      </c>
      <c r="O935">
        <v>0.12348928662068581</v>
      </c>
      <c r="P935">
        <v>1.6099054345895654E-2</v>
      </c>
      <c r="Q935">
        <v>9.0249650379843843E-4</v>
      </c>
      <c r="R935">
        <v>1.5721528530663685E-3</v>
      </c>
      <c r="S935">
        <v>0.12051397216802474</v>
      </c>
      <c r="T935">
        <v>0.84841644205349864</v>
      </c>
      <c r="U935">
        <v>0</v>
      </c>
      <c r="V935">
        <v>0.20639960888106068</v>
      </c>
      <c r="W935">
        <v>9.6677811417866369E-2</v>
      </c>
      <c r="X935">
        <v>2.8502176930005896E-2</v>
      </c>
      <c r="Y935">
        <v>4.2788818059979264E-3</v>
      </c>
    </row>
    <row r="936" spans="1:25" x14ac:dyDescent="0.25">
      <c r="A936" s="1098"/>
      <c r="B936" s="1457">
        <v>686</v>
      </c>
      <c r="C936" s="1102">
        <v>0.96723766995967053</v>
      </c>
      <c r="D936" s="1102">
        <v>0.97602558883199542</v>
      </c>
      <c r="E936" s="1102">
        <v>1.0184663814848132</v>
      </c>
      <c r="F936" s="1102">
        <v>0.99436855849551797</v>
      </c>
      <c r="G936" s="1102">
        <v>1.0050009534404616</v>
      </c>
      <c r="H936" s="1102">
        <v>1.0057710754416933</v>
      </c>
      <c r="I936" s="1102">
        <v>0.98353458177727004</v>
      </c>
      <c r="K936">
        <v>1.5793659705005958</v>
      </c>
      <c r="L936">
        <v>0</v>
      </c>
      <c r="M936">
        <v>1.5783104420403059E-3</v>
      </c>
      <c r="N936">
        <v>0.15355971852130113</v>
      </c>
      <c r="O936">
        <v>0.12371760834446827</v>
      </c>
      <c r="P936">
        <v>1.5926060537984659E-2</v>
      </c>
      <c r="Q936">
        <v>9.5635179258765906E-4</v>
      </c>
      <c r="R936">
        <v>1.5747468633104241E-3</v>
      </c>
      <c r="S936">
        <v>0.12357334299506663</v>
      </c>
      <c r="T936">
        <v>0.81939551425485135</v>
      </c>
      <c r="U936">
        <v>0</v>
      </c>
      <c r="V936">
        <v>0.20917040352185648</v>
      </c>
      <c r="W936">
        <v>9.9785104225844648E-2</v>
      </c>
      <c r="X936">
        <v>2.8999488038595554E-2</v>
      </c>
      <c r="Y936">
        <v>4.2859418467669991E-3</v>
      </c>
    </row>
    <row r="937" spans="1:25" x14ac:dyDescent="0.25">
      <c r="A937" s="1098"/>
      <c r="B937" s="1457">
        <v>687</v>
      </c>
      <c r="C937" s="1102">
        <v>0.97973816344045483</v>
      </c>
      <c r="D937" s="1102">
        <v>0.98119090512373131</v>
      </c>
      <c r="E937" s="1102">
        <v>1.0094719461484984</v>
      </c>
      <c r="F937" s="1102">
        <v>1.0012228788073281</v>
      </c>
      <c r="G937" s="1102">
        <v>0.96953027054801</v>
      </c>
      <c r="H937" s="1102">
        <v>0.97987635132709838</v>
      </c>
      <c r="I937" s="1102">
        <v>0.98463495192791961</v>
      </c>
      <c r="K937">
        <v>1.5665802321885645</v>
      </c>
      <c r="L937">
        <v>0</v>
      </c>
      <c r="M937">
        <v>1.544471258681173E-3</v>
      </c>
      <c r="N937">
        <v>0.14623452861371586</v>
      </c>
      <c r="O937">
        <v>0.12332831362855287</v>
      </c>
      <c r="P937">
        <v>1.5819470242514004E-2</v>
      </c>
      <c r="Q937">
        <v>9.3347758500813378E-4</v>
      </c>
      <c r="R937">
        <v>1.5408943097387632E-3</v>
      </c>
      <c r="S937">
        <v>0.11977341821558213</v>
      </c>
      <c r="T937">
        <v>0.82563414233011312</v>
      </c>
      <c r="U937">
        <v>0</v>
      </c>
      <c r="V937">
        <v>0.20664240811923565</v>
      </c>
      <c r="W937">
        <v>9.5528853794804594E-2</v>
      </c>
      <c r="X937">
        <v>2.8495390252542559E-2</v>
      </c>
      <c r="Y937">
        <v>4.1938063554362243E-3</v>
      </c>
    </row>
    <row r="938" spans="1:25" x14ac:dyDescent="0.25">
      <c r="A938" s="1098"/>
      <c r="B938" s="1457">
        <v>688</v>
      </c>
      <c r="C938" s="1102">
        <v>1.0203536522086036</v>
      </c>
      <c r="D938" s="1102">
        <v>0.99005968971042613</v>
      </c>
      <c r="E938" s="1102">
        <v>1.0185455918012958</v>
      </c>
      <c r="F938" s="1102">
        <v>0.98505924499977604</v>
      </c>
      <c r="G938" s="1102">
        <v>1.0277759846638801</v>
      </c>
      <c r="H938" s="1102">
        <v>0.97585209202926093</v>
      </c>
      <c r="I938" s="1102">
        <v>0.98672613605659498</v>
      </c>
      <c r="K938">
        <v>1.531018668869901</v>
      </c>
      <c r="L938">
        <v>0</v>
      </c>
      <c r="M938">
        <v>1.444514603599151E-3</v>
      </c>
      <c r="N938">
        <v>0.14056637234554187</v>
      </c>
      <c r="O938">
        <v>0.11968368477470162</v>
      </c>
      <c r="P938">
        <v>1.5633668860130605E-2</v>
      </c>
      <c r="Q938">
        <v>9.0147856128071618E-4</v>
      </c>
      <c r="R938">
        <v>1.4411563212476976E-3</v>
      </c>
      <c r="S938">
        <v>0.11447343604061871</v>
      </c>
      <c r="T938">
        <v>0.81171920035124956</v>
      </c>
      <c r="U938">
        <v>0</v>
      </c>
      <c r="V938">
        <v>0.20473736670666257</v>
      </c>
      <c r="W938">
        <v>9.1337620861691865E-2</v>
      </c>
      <c r="X938">
        <v>2.8046846220992513E-2</v>
      </c>
      <c r="Y938">
        <v>3.9223524293826133E-3</v>
      </c>
    </row>
    <row r="939" spans="1:25" x14ac:dyDescent="0.25">
      <c r="A939" s="1098"/>
      <c r="B939" s="1457">
        <v>689</v>
      </c>
      <c r="C939" s="1102">
        <v>0.98237681672697807</v>
      </c>
      <c r="D939" s="1102">
        <v>1.0112311849989111</v>
      </c>
      <c r="E939" s="1102">
        <v>1.0019521240538092</v>
      </c>
      <c r="F939" s="1102">
        <v>0.95734952967839249</v>
      </c>
      <c r="G939" s="1102">
        <v>0.99830252324033719</v>
      </c>
      <c r="H939" s="1102">
        <v>0.98418564509686257</v>
      </c>
      <c r="I939" s="1102">
        <v>1.0075165269321984</v>
      </c>
      <c r="K939">
        <v>1.5168377253782011</v>
      </c>
      <c r="L939">
        <v>0</v>
      </c>
      <c r="M939">
        <v>1.5398480114764991E-3</v>
      </c>
      <c r="N939">
        <v>0.14252185250988803</v>
      </c>
      <c r="O939">
        <v>0.11875899018448445</v>
      </c>
      <c r="P939">
        <v>1.5219197407007263E-2</v>
      </c>
      <c r="Q939">
        <v>9.126858152044725E-4</v>
      </c>
      <c r="R939">
        <v>1.5362679855538764E-3</v>
      </c>
      <c r="S939">
        <v>0.12012320935806912</v>
      </c>
      <c r="T939">
        <v>0.78992896356310616</v>
      </c>
      <c r="U939">
        <v>0</v>
      </c>
      <c r="V939">
        <v>0.20448177401593112</v>
      </c>
      <c r="W939">
        <v>9.3518685565956217E-2</v>
      </c>
      <c r="X939">
        <v>2.7194731958403558E-2</v>
      </c>
      <c r="Y939">
        <v>4.1812150260723199E-3</v>
      </c>
    </row>
    <row r="940" spans="1:25" x14ac:dyDescent="0.25">
      <c r="A940" s="1098"/>
      <c r="B940" s="1457">
        <v>690</v>
      </c>
      <c r="C940" s="1102">
        <v>1.0376438942788042</v>
      </c>
      <c r="D940" s="1102">
        <v>1.0424506672610019</v>
      </c>
      <c r="E940" s="1102">
        <v>1.0195761477109082</v>
      </c>
      <c r="F940" s="1102">
        <v>0.99706480825770571</v>
      </c>
      <c r="G940" s="1102">
        <v>1.034645021673587</v>
      </c>
      <c r="H940" s="1102">
        <v>0.96398896959716696</v>
      </c>
      <c r="I940" s="1102">
        <v>1.0078539648337559</v>
      </c>
      <c r="K940">
        <v>1.5197674312397731</v>
      </c>
      <c r="L940">
        <v>0</v>
      </c>
      <c r="M940">
        <v>1.3625515568802856E-3</v>
      </c>
      <c r="N940">
        <v>0.13299750525783119</v>
      </c>
      <c r="O940">
        <v>0.11744376034674249</v>
      </c>
      <c r="P940">
        <v>1.5702593638429199E-2</v>
      </c>
      <c r="Q940">
        <v>8.6927962246988763E-4</v>
      </c>
      <c r="R940">
        <v>1.3593235768235782E-3</v>
      </c>
      <c r="S940">
        <v>0.11074257898625053</v>
      </c>
      <c r="T940">
        <v>0.82154495608050915</v>
      </c>
      <c r="U940">
        <v>0</v>
      </c>
      <c r="V940">
        <v>0.20277732546076252</v>
      </c>
      <c r="W940">
        <v>8.6367373014482773E-2</v>
      </c>
      <c r="X940">
        <v>2.7625656137134538E-2</v>
      </c>
      <c r="Y940">
        <v>3.6996306752171094E-3</v>
      </c>
    </row>
    <row r="941" spans="1:25" x14ac:dyDescent="0.25">
      <c r="A941" s="1098"/>
      <c r="B941" s="1457">
        <v>691</v>
      </c>
      <c r="C941" s="1102">
        <v>0.96329172771995242</v>
      </c>
      <c r="D941" s="1102">
        <v>1.0064558842420761</v>
      </c>
      <c r="E941" s="1102">
        <v>0.99167192944913163</v>
      </c>
      <c r="F941" s="1102">
        <v>0.99568097886964746</v>
      </c>
      <c r="G941" s="1102">
        <v>1.0412864819293288</v>
      </c>
      <c r="H941" s="1102">
        <v>0.99987189168288959</v>
      </c>
      <c r="I941" s="1102">
        <v>0.98436934033207946</v>
      </c>
      <c r="K941">
        <v>1.5691188036932726</v>
      </c>
      <c r="L941">
        <v>0</v>
      </c>
      <c r="M941">
        <v>1.6367192574615109E-3</v>
      </c>
      <c r="N941">
        <v>0.14686024798915412</v>
      </c>
      <c r="O941">
        <v>0.1227348255731541</v>
      </c>
      <c r="P941">
        <v>1.5635488121621712E-2</v>
      </c>
      <c r="Q941">
        <v>9.2262884301606124E-4</v>
      </c>
      <c r="R941">
        <v>1.6329825840236273E-3</v>
      </c>
      <c r="S941">
        <v>0.12139487318827609</v>
      </c>
      <c r="T941">
        <v>0.8222337979635802</v>
      </c>
      <c r="U941">
        <v>0</v>
      </c>
      <c r="V941">
        <v>0.2102438932821771</v>
      </c>
      <c r="W941">
        <v>9.6957503253874242E-2</v>
      </c>
      <c r="X941">
        <v>2.7694841870707476E-2</v>
      </c>
      <c r="Y941">
        <v>4.4444402811481647E-3</v>
      </c>
    </row>
    <row r="942" spans="1:25" x14ac:dyDescent="0.25">
      <c r="A942" s="1098"/>
      <c r="B942" s="1457">
        <v>692</v>
      </c>
      <c r="C942" s="1102">
        <v>1.0073187622827529</v>
      </c>
      <c r="D942" s="1102">
        <v>0.95940649039548997</v>
      </c>
      <c r="E942" s="1102">
        <v>1.0218973633184965</v>
      </c>
      <c r="F942" s="1102">
        <v>0.98798535042682345</v>
      </c>
      <c r="G942" s="1102">
        <v>0.98890484427348269</v>
      </c>
      <c r="H942" s="1102">
        <v>1.0000097659982607</v>
      </c>
      <c r="I942" s="1102">
        <v>1.006526138281358</v>
      </c>
      <c r="K942">
        <v>1.5584435771348977</v>
      </c>
      <c r="L942">
        <v>0</v>
      </c>
      <c r="M942">
        <v>1.5146256543640316E-3</v>
      </c>
      <c r="N942">
        <v>0.14889667360561046</v>
      </c>
      <c r="O942">
        <v>0.12191077737972777</v>
      </c>
      <c r="P942">
        <v>1.5818806742285509E-2</v>
      </c>
      <c r="Q942">
        <v>9.2788851101042731E-4</v>
      </c>
      <c r="R942">
        <v>1.5112047914740568E-3</v>
      </c>
      <c r="S942">
        <v>0.12243074465404255</v>
      </c>
      <c r="T942">
        <v>0.81391395946900535</v>
      </c>
      <c r="U942">
        <v>0</v>
      </c>
      <c r="V942">
        <v>0.20516222324611172</v>
      </c>
      <c r="W942">
        <v>9.6561002442253713E-2</v>
      </c>
      <c r="X942">
        <v>2.8711920673872095E-2</v>
      </c>
      <c r="Y942">
        <v>4.1130012738667589E-3</v>
      </c>
    </row>
    <row r="943" spans="1:25" x14ac:dyDescent="0.25">
      <c r="A943" s="1098"/>
      <c r="B943" s="1457">
        <v>693</v>
      </c>
      <c r="C943" s="1102">
        <v>0.98470577203049758</v>
      </c>
      <c r="D943" s="1102">
        <v>0.99583520415284854</v>
      </c>
      <c r="E943" s="1102">
        <v>1.0279826722462397</v>
      </c>
      <c r="F943" s="1102">
        <v>1.0432594128274726</v>
      </c>
      <c r="G943" s="1102">
        <v>0.97127231571784323</v>
      </c>
      <c r="H943" s="1102">
        <v>0.99668853887747955</v>
      </c>
      <c r="I943" s="1102">
        <v>0.99363051464806529</v>
      </c>
      <c r="K943">
        <v>1.6112892267787131</v>
      </c>
      <c r="L943">
        <v>0</v>
      </c>
      <c r="M943">
        <v>1.496746796669494E-3</v>
      </c>
      <c r="N943">
        <v>0.14986183105760134</v>
      </c>
      <c r="O943">
        <v>0.12530351836586284</v>
      </c>
      <c r="P943">
        <v>1.6535638899686247E-2</v>
      </c>
      <c r="Q943">
        <v>9.4099290754267131E-4</v>
      </c>
      <c r="R943">
        <v>1.4933425635908994E-3</v>
      </c>
      <c r="S943">
        <v>0.12086525016266861</v>
      </c>
      <c r="T943">
        <v>0.85903540495309338</v>
      </c>
      <c r="U943">
        <v>0</v>
      </c>
      <c r="V943">
        <v>0.20805597144316304</v>
      </c>
      <c r="W943">
        <v>9.6842859913724835E-2</v>
      </c>
      <c r="X943">
        <v>2.9786777130599528E-2</v>
      </c>
      <c r="Y943">
        <v>4.0643861778506436E-3</v>
      </c>
    </row>
    <row r="944" spans="1:25" x14ac:dyDescent="0.25">
      <c r="A944" s="1098"/>
      <c r="B944" s="1457">
        <v>694</v>
      </c>
      <c r="C944" s="1102">
        <v>0.99740392855017657</v>
      </c>
      <c r="D944" s="1102">
        <v>0.99568746321451806</v>
      </c>
      <c r="E944" s="1102">
        <v>1.004178711699532</v>
      </c>
      <c r="F944" s="1102">
        <v>0.99674237478658034</v>
      </c>
      <c r="G944" s="1102">
        <v>0.98628430195888905</v>
      </c>
      <c r="H944" s="1102">
        <v>0.97480197032977822</v>
      </c>
      <c r="I944" s="1102">
        <v>1.0229772057563176</v>
      </c>
      <c r="K944">
        <v>1.552017811284687</v>
      </c>
      <c r="L944">
        <v>0</v>
      </c>
      <c r="M944">
        <v>1.5148456599920438E-3</v>
      </c>
      <c r="N944">
        <v>0.14115297276058089</v>
      </c>
      <c r="O944">
        <v>0.12145391169608351</v>
      </c>
      <c r="P944">
        <v>1.5706100840453027E-2</v>
      </c>
      <c r="Q944">
        <v>9.0660946088947031E-4</v>
      </c>
      <c r="R944">
        <v>1.5113140123063156E-3</v>
      </c>
      <c r="S944">
        <v>0.12082418382183355</v>
      </c>
      <c r="T944">
        <v>0.82228652994868245</v>
      </c>
      <c r="U944">
        <v>0</v>
      </c>
      <c r="V944">
        <v>0.20518419445361188</v>
      </c>
      <c r="W944">
        <v>9.2498273031025827E-2</v>
      </c>
      <c r="X944">
        <v>2.7895268382244712E-2</v>
      </c>
      <c r="Y944">
        <v>4.1132985369675291E-3</v>
      </c>
    </row>
    <row r="945" spans="1:25" x14ac:dyDescent="0.25">
      <c r="A945" s="1098"/>
      <c r="B945" s="1457">
        <v>695</v>
      </c>
      <c r="C945" s="1102">
        <v>0.99624122801505255</v>
      </c>
      <c r="D945" s="1102">
        <v>1.0107517365269982</v>
      </c>
      <c r="E945" s="1102">
        <v>1.0071465017302847</v>
      </c>
      <c r="F945" s="1102">
        <v>1.0185674791966182</v>
      </c>
      <c r="G945" s="1102">
        <v>1.0176495415786075</v>
      </c>
      <c r="H945" s="1102">
        <v>1.0236608530274847</v>
      </c>
      <c r="I945" s="1102">
        <v>0.98182836487626179</v>
      </c>
      <c r="K945">
        <v>1.5827868544702004</v>
      </c>
      <c r="L945">
        <v>0</v>
      </c>
      <c r="M945">
        <v>1.571887099575625E-3</v>
      </c>
      <c r="N945">
        <v>0.147802890688775</v>
      </c>
      <c r="O945">
        <v>0.12236981902572835</v>
      </c>
      <c r="P945">
        <v>1.5989693164119998E-2</v>
      </c>
      <c r="Q945">
        <v>9.0500408191534836E-4</v>
      </c>
      <c r="R945">
        <v>1.5683940926265107E-3</v>
      </c>
      <c r="S945">
        <v>0.11898515382776836</v>
      </c>
      <c r="T945">
        <v>0.84009267263946619</v>
      </c>
      <c r="U945">
        <v>0</v>
      </c>
      <c r="V945">
        <v>0.20738236577342534</v>
      </c>
      <c r="W945">
        <v>9.6686065960350467E-2</v>
      </c>
      <c r="X945">
        <v>2.8308030616443998E-2</v>
      </c>
      <c r="Y945">
        <v>4.2686516991556796E-3</v>
      </c>
    </row>
    <row r="946" spans="1:25" x14ac:dyDescent="0.25">
      <c r="A946" s="1098"/>
      <c r="B946" s="1457">
        <v>696</v>
      </c>
      <c r="C946" s="1102">
        <v>0.97302638178528378</v>
      </c>
      <c r="D946" s="1102">
        <v>1.0177563626642803</v>
      </c>
      <c r="E946" s="1102">
        <v>0.98283709449027545</v>
      </c>
      <c r="F946" s="1102">
        <v>0.9661309385864203</v>
      </c>
      <c r="G946" s="1102">
        <v>1.0010509886663537</v>
      </c>
      <c r="H946" s="1102">
        <v>0.99832519022132959</v>
      </c>
      <c r="I946" s="1102">
        <v>0.98321792721895973</v>
      </c>
      <c r="K946">
        <v>1.5273836382955113</v>
      </c>
      <c r="L946">
        <v>0</v>
      </c>
      <c r="M946">
        <v>1.6347619436329818E-3</v>
      </c>
      <c r="N946">
        <v>0.14281591701470278</v>
      </c>
      <c r="O946">
        <v>0.11964495163550491</v>
      </c>
      <c r="P946">
        <v>1.511649287151492E-2</v>
      </c>
      <c r="Q946">
        <v>9.0098034083860583E-4</v>
      </c>
      <c r="R946">
        <v>1.6310111618493162E-3</v>
      </c>
      <c r="S946">
        <v>0.11898059455282017</v>
      </c>
      <c r="T946">
        <v>0.79839834363910145</v>
      </c>
      <c r="U946">
        <v>0</v>
      </c>
      <c r="V946">
        <v>0.20565857803522078</v>
      </c>
      <c r="W946">
        <v>9.4788867040269439E-2</v>
      </c>
      <c r="X946">
        <v>2.6643589227453243E-2</v>
      </c>
      <c r="Y946">
        <v>4.439074719868835E-3</v>
      </c>
    </row>
    <row r="947" spans="1:25" x14ac:dyDescent="0.25">
      <c r="A947" s="1098"/>
      <c r="B947" s="1457">
        <v>697</v>
      </c>
      <c r="C947" s="1102">
        <v>1.0132931518944293</v>
      </c>
      <c r="D947" s="1102">
        <v>0.97369816006168364</v>
      </c>
      <c r="E947" s="1102">
        <v>0.98748472919653651</v>
      </c>
      <c r="F947" s="1102">
        <v>0.99413172417131235</v>
      </c>
      <c r="G947" s="1102">
        <v>1.002795195213191</v>
      </c>
      <c r="H947" s="1102">
        <v>1.015256957638432</v>
      </c>
      <c r="I947" s="1102">
        <v>1.0182372521320546</v>
      </c>
      <c r="K947">
        <v>1.5591824377402752</v>
      </c>
      <c r="L947">
        <v>0</v>
      </c>
      <c r="M947">
        <v>1.6296939053610582E-3</v>
      </c>
      <c r="N947">
        <v>0.14439821810819248</v>
      </c>
      <c r="O947">
        <v>0.12148905135069148</v>
      </c>
      <c r="P947">
        <v>1.5528752485381644E-2</v>
      </c>
      <c r="Q947">
        <v>8.8491587972740562E-4</v>
      </c>
      <c r="R947">
        <v>1.6260629411859954E-3</v>
      </c>
      <c r="S947">
        <v>0.12328504868500766</v>
      </c>
      <c r="T947">
        <v>0.82123061539707443</v>
      </c>
      <c r="U947">
        <v>0</v>
      </c>
      <c r="V947">
        <v>0.20510395260021252</v>
      </c>
      <c r="W947">
        <v>9.557157502808987E-2</v>
      </c>
      <c r="X947">
        <v>2.7268331875668357E-2</v>
      </c>
      <c r="Y947">
        <v>4.4256072944037781E-3</v>
      </c>
    </row>
    <row r="948" spans="1:25" x14ac:dyDescent="0.25">
      <c r="A948" s="1098"/>
      <c r="B948" s="1457">
        <v>698</v>
      </c>
      <c r="C948" s="1102">
        <v>0.99205621729608728</v>
      </c>
      <c r="D948" s="1102">
        <v>0.99741075040260796</v>
      </c>
      <c r="E948" s="1102">
        <v>0.99612374514247159</v>
      </c>
      <c r="F948" s="1102">
        <v>1.013595106944825</v>
      </c>
      <c r="G948" s="1102">
        <v>0.98690953850438823</v>
      </c>
      <c r="H948" s="1102">
        <v>1.0049592408784962</v>
      </c>
      <c r="I948" s="1102">
        <v>0.98045352753510639</v>
      </c>
      <c r="K948">
        <v>1.5745361881805204</v>
      </c>
      <c r="L948">
        <v>0</v>
      </c>
      <c r="M948">
        <v>1.5964468907532837E-3</v>
      </c>
      <c r="N948">
        <v>0.14519056161312083</v>
      </c>
      <c r="O948">
        <v>0.12286344112424669</v>
      </c>
      <c r="P948">
        <v>1.5797301976855249E-2</v>
      </c>
      <c r="Q948">
        <v>9.0329154473478535E-4</v>
      </c>
      <c r="R948">
        <v>1.5928388758450437E-3</v>
      </c>
      <c r="S948">
        <v>0.11872607909979303</v>
      </c>
      <c r="T948">
        <v>0.83672852596607505</v>
      </c>
      <c r="U948">
        <v>0</v>
      </c>
      <c r="V948">
        <v>0.20647927953096315</v>
      </c>
      <c r="W948">
        <v>9.5600660214385083E-2</v>
      </c>
      <c r="X948">
        <v>2.7915472784399018E-2</v>
      </c>
      <c r="Y948">
        <v>4.3351823408559059E-3</v>
      </c>
    </row>
    <row r="949" spans="1:25" x14ac:dyDescent="0.25">
      <c r="A949" s="1098"/>
      <c r="B949" s="1457">
        <v>699</v>
      </c>
      <c r="C949" s="1102">
        <v>1.0284624289308473</v>
      </c>
      <c r="D949" s="1102">
        <v>1.0018959941866155</v>
      </c>
      <c r="E949" s="1102">
        <v>1.0019855363516836</v>
      </c>
      <c r="F949" s="1102">
        <v>0.99171387205709771</v>
      </c>
      <c r="G949" s="1102">
        <v>1.007102493218254</v>
      </c>
      <c r="H949" s="1102">
        <v>1.0224218401044607</v>
      </c>
      <c r="I949" s="1102">
        <v>1.01264625187244</v>
      </c>
      <c r="K949">
        <v>1.5450744628271533</v>
      </c>
      <c r="L949">
        <v>0</v>
      </c>
      <c r="M949">
        <v>1.5453200073321321E-3</v>
      </c>
      <c r="N949">
        <v>0.14305766146054164</v>
      </c>
      <c r="O949">
        <v>0.11928315950539285</v>
      </c>
      <c r="P949">
        <v>1.5578334786578248E-2</v>
      </c>
      <c r="Q949">
        <v>8.7505858410524807E-4</v>
      </c>
      <c r="R949">
        <v>1.5418879316040257E-3</v>
      </c>
      <c r="S949">
        <v>0.11941761857589291</v>
      </c>
      <c r="T949">
        <v>0.81828151027951601</v>
      </c>
      <c r="U949">
        <v>0</v>
      </c>
      <c r="V949">
        <v>0.20311794331822905</v>
      </c>
      <c r="W949">
        <v>9.3868406578373614E-2</v>
      </c>
      <c r="X949">
        <v>2.7401691147645041E-2</v>
      </c>
      <c r="Y949">
        <v>4.1965106666061085E-3</v>
      </c>
    </row>
    <row r="950" spans="1:25" x14ac:dyDescent="0.25">
      <c r="A950" s="1098"/>
      <c r="B950" s="1457">
        <v>700</v>
      </c>
      <c r="C950" s="1102">
        <v>1.0022249897634878</v>
      </c>
      <c r="D950" s="1102">
        <v>1.0226944318653413</v>
      </c>
      <c r="E950" s="1102">
        <v>0.97876699564324299</v>
      </c>
      <c r="F950" s="1102">
        <v>1.0015411541332915</v>
      </c>
      <c r="G950" s="1102">
        <v>0.99718413415987817</v>
      </c>
      <c r="H950" s="1102">
        <v>0.9897823381937918</v>
      </c>
      <c r="I950" s="1102">
        <v>1.0081739727421311</v>
      </c>
      <c r="K950">
        <v>1.5467490833156547</v>
      </c>
      <c r="L950">
        <v>0</v>
      </c>
      <c r="M950">
        <v>1.5903342160619646E-3</v>
      </c>
      <c r="N950">
        <v>0.13723286133949913</v>
      </c>
      <c r="O950">
        <v>0.12044610759253174</v>
      </c>
      <c r="P950">
        <v>1.5437129212865169E-2</v>
      </c>
      <c r="Q950">
        <v>8.6932527732280036E-4</v>
      </c>
      <c r="R950">
        <v>1.5866690311565469E-3</v>
      </c>
      <c r="S950">
        <v>0.11781102092123188</v>
      </c>
      <c r="T950">
        <v>0.827932519839509</v>
      </c>
      <c r="U950">
        <v>0</v>
      </c>
      <c r="V950">
        <v>0.20467801098766938</v>
      </c>
      <c r="W950">
        <v>9.1307298099332898E-2</v>
      </c>
      <c r="X950">
        <v>2.6720085173093426E-2</v>
      </c>
      <c r="Y950">
        <v>4.3183900575025722E-3</v>
      </c>
    </row>
    <row r="951" spans="1:25" x14ac:dyDescent="0.25">
      <c r="A951" s="1098"/>
      <c r="B951" s="1457">
        <v>701</v>
      </c>
      <c r="C951" s="1102">
        <v>1.0259627681307135</v>
      </c>
      <c r="D951" s="1102">
        <v>1.0001449346950344</v>
      </c>
      <c r="E951" s="1102">
        <v>1.0234169592197599</v>
      </c>
      <c r="F951" s="1102">
        <v>1.0027833070596959</v>
      </c>
      <c r="G951" s="1102">
        <v>0.97074507654811426</v>
      </c>
      <c r="H951" s="1102">
        <v>0.99930016609889327</v>
      </c>
      <c r="I951" s="1102">
        <v>1.0027818847456995</v>
      </c>
      <c r="K951">
        <v>1.5506856865101997</v>
      </c>
      <c r="L951">
        <v>0</v>
      </c>
      <c r="M951">
        <v>1.450479363820187E-3</v>
      </c>
      <c r="N951">
        <v>0.14324409321306181</v>
      </c>
      <c r="O951">
        <v>0.1201856396816646</v>
      </c>
      <c r="P951">
        <v>1.5888958759708218E-2</v>
      </c>
      <c r="Q951">
        <v>8.9739379442356406E-4</v>
      </c>
      <c r="R951">
        <v>1.4471865044145122E-3</v>
      </c>
      <c r="S951">
        <v>0.11696350230946773</v>
      </c>
      <c r="T951">
        <v>0.82600521199610322</v>
      </c>
      <c r="U951">
        <v>0</v>
      </c>
      <c r="V951">
        <v>0.20233661885876081</v>
      </c>
      <c r="W951">
        <v>9.2812867628085285E-2</v>
      </c>
      <c r="X951">
        <v>2.8415928528217241E-2</v>
      </c>
      <c r="Y951">
        <v>3.9387646001133366E-3</v>
      </c>
    </row>
    <row r="952" spans="1:25" x14ac:dyDescent="0.25">
      <c r="A952" s="1098"/>
      <c r="B952" s="1457">
        <v>702</v>
      </c>
      <c r="C952" s="1102">
        <v>1.0281949939644546</v>
      </c>
      <c r="D952" s="1102">
        <v>0.98504590778612233</v>
      </c>
      <c r="E952" s="1102">
        <v>0.98763469621798483</v>
      </c>
      <c r="F952" s="1102">
        <v>0.99436098694848796</v>
      </c>
      <c r="G952" s="1102">
        <v>0.9978107815795676</v>
      </c>
      <c r="H952" s="1102">
        <v>0.98849798305314629</v>
      </c>
      <c r="I952" s="1102">
        <v>0.95833907878392299</v>
      </c>
      <c r="K952">
        <v>1.5330595794374227</v>
      </c>
      <c r="L952">
        <v>0</v>
      </c>
      <c r="M952">
        <v>1.5547330924617047E-3</v>
      </c>
      <c r="N952">
        <v>0.13781024448528456</v>
      </c>
      <c r="O952">
        <v>0.12025444238218545</v>
      </c>
      <c r="P952">
        <v>1.5351642334845277E-2</v>
      </c>
      <c r="Q952">
        <v>8.6819391791550995E-4</v>
      </c>
      <c r="R952">
        <v>1.551172404621718E-3</v>
      </c>
      <c r="S952">
        <v>0.11164952151244793</v>
      </c>
      <c r="T952">
        <v>0.8214101003990335</v>
      </c>
      <c r="U952">
        <v>0</v>
      </c>
      <c r="V952">
        <v>0.20333118714036591</v>
      </c>
      <c r="W952">
        <v>9.1203041202615937E-2</v>
      </c>
      <c r="X952">
        <v>2.6962986809035309E-2</v>
      </c>
      <c r="Y952">
        <v>4.2217799415345597E-3</v>
      </c>
    </row>
    <row r="953" spans="1:25" x14ac:dyDescent="0.25">
      <c r="A953" s="1098"/>
      <c r="B953" s="1457">
        <v>703</v>
      </c>
      <c r="C953" s="1102">
        <v>0.99297251485514693</v>
      </c>
      <c r="D953" s="1102">
        <v>0.98643056257406381</v>
      </c>
      <c r="E953" s="1102">
        <v>0.99163092829912003</v>
      </c>
      <c r="F953" s="1102">
        <v>1.0012297210596923</v>
      </c>
      <c r="G953" s="1102">
        <v>1.0235985778478172</v>
      </c>
      <c r="H953" s="1102">
        <v>1.0186123575285961</v>
      </c>
      <c r="I953" s="1102">
        <v>1.0143032206029945</v>
      </c>
      <c r="K953">
        <v>1.5746726460888603</v>
      </c>
      <c r="L953">
        <v>0</v>
      </c>
      <c r="M953">
        <v>1.6405853125401112E-3</v>
      </c>
      <c r="N953">
        <v>0.14719707636965962</v>
      </c>
      <c r="O953">
        <v>0.12245248626366416</v>
      </c>
      <c r="P953">
        <v>1.5706062045953723E-2</v>
      </c>
      <c r="Q953">
        <v>9.0223646514385263E-4</v>
      </c>
      <c r="R953">
        <v>1.6369307623911122E-3</v>
      </c>
      <c r="S953">
        <v>0.12455746288878924</v>
      </c>
      <c r="T953">
        <v>0.82681867279464527</v>
      </c>
      <c r="U953">
        <v>0</v>
      </c>
      <c r="V953">
        <v>0.20774107809036294</v>
      </c>
      <c r="W953">
        <v>9.7182262057064442E-2</v>
      </c>
      <c r="X953">
        <v>2.7663777742577896E-2</v>
      </c>
      <c r="Y953">
        <v>4.4551859211478095E-3</v>
      </c>
    </row>
    <row r="954" spans="1:25" x14ac:dyDescent="0.25">
      <c r="A954" s="1098"/>
      <c r="B954" s="1457">
        <v>704</v>
      </c>
      <c r="C954" s="1102">
        <v>1.0074421681120185</v>
      </c>
      <c r="D954" s="1102">
        <v>1.0147623247734661</v>
      </c>
      <c r="E954" s="1102">
        <v>0.96650925002268684</v>
      </c>
      <c r="F954" s="1102">
        <v>0.99981623157928534</v>
      </c>
      <c r="G954" s="1102">
        <v>1.0052791156101135</v>
      </c>
      <c r="H954" s="1102">
        <v>0.98790797365368022</v>
      </c>
      <c r="I954" s="1102">
        <v>1.0320543714451256</v>
      </c>
      <c r="K954">
        <v>1.545699568572082</v>
      </c>
      <c r="L954">
        <v>0</v>
      </c>
      <c r="M954">
        <v>1.6271530792518201E-3</v>
      </c>
      <c r="N954">
        <v>0.13529508905925275</v>
      </c>
      <c r="O954">
        <v>0.12043693914255559</v>
      </c>
      <c r="P954">
        <v>1.5319796530545051E-2</v>
      </c>
      <c r="Q954">
        <v>8.5640514209635147E-4</v>
      </c>
      <c r="R954">
        <v>1.6234017222556219E-3</v>
      </c>
      <c r="S954">
        <v>0.12038093846868453</v>
      </c>
      <c r="T954">
        <v>0.82732645117708814</v>
      </c>
      <c r="U954">
        <v>0</v>
      </c>
      <c r="V954">
        <v>0.20472905507759526</v>
      </c>
      <c r="W954">
        <v>9.0690685338080279E-2</v>
      </c>
      <c r="X954">
        <v>2.624959565943169E-2</v>
      </c>
      <c r="Y954">
        <v>4.4183643337458861E-3</v>
      </c>
    </row>
    <row r="955" spans="1:25" x14ac:dyDescent="0.25">
      <c r="A955" s="1098"/>
      <c r="B955" s="1457">
        <v>705</v>
      </c>
      <c r="C955" s="1102">
        <v>0.97204610575771588</v>
      </c>
      <c r="D955" s="1102">
        <v>0.99923518388004917</v>
      </c>
      <c r="E955" s="1102">
        <v>1.0106019309074825</v>
      </c>
      <c r="F955" s="1102">
        <v>1.0043794032220079</v>
      </c>
      <c r="G955" s="1102">
        <v>0.98556195656486267</v>
      </c>
      <c r="H955" s="1102">
        <v>0.9831290182059027</v>
      </c>
      <c r="I955" s="1102">
        <v>1.0213823633151837</v>
      </c>
      <c r="K955">
        <v>1.5747894170233994</v>
      </c>
      <c r="L955">
        <v>0</v>
      </c>
      <c r="M955">
        <v>1.5417235937854848E-3</v>
      </c>
      <c r="N955">
        <v>0.14647319295034006</v>
      </c>
      <c r="O955">
        <v>0.12314863112971458</v>
      </c>
      <c r="P955">
        <v>1.5941163568845597E-2</v>
      </c>
      <c r="Q955">
        <v>9.3512027058604533E-4</v>
      </c>
      <c r="R955">
        <v>1.5381529157928126E-3</v>
      </c>
      <c r="S955">
        <v>0.12411885298910749</v>
      </c>
      <c r="T955">
        <v>0.8281625399661583</v>
      </c>
      <c r="U955">
        <v>0</v>
      </c>
      <c r="V955">
        <v>0.20765716330051812</v>
      </c>
      <c r="W955">
        <v>9.5621029082812406E-2</v>
      </c>
      <c r="X955">
        <v>2.8548949258493019E-2</v>
      </c>
      <c r="Y955">
        <v>4.1863451848156187E-3</v>
      </c>
    </row>
    <row r="956" spans="1:25" x14ac:dyDescent="0.25">
      <c r="A956" s="1098"/>
      <c r="B956" s="1457">
        <v>706</v>
      </c>
      <c r="C956" s="1102">
        <v>1.0243934440260618</v>
      </c>
      <c r="D956" s="1102">
        <v>0.98877204597250201</v>
      </c>
      <c r="E956" s="1102">
        <v>0.97427636135682349</v>
      </c>
      <c r="F956" s="1102">
        <v>0.98777498047483792</v>
      </c>
      <c r="G956" s="1102">
        <v>0.98003089879781757</v>
      </c>
      <c r="H956" s="1102">
        <v>1.0033941118212408</v>
      </c>
      <c r="I956" s="1102">
        <v>0.97428353960525704</v>
      </c>
      <c r="K956">
        <v>1.5310141374577015</v>
      </c>
      <c r="L956">
        <v>0</v>
      </c>
      <c r="M956">
        <v>1.6236374974122852E-3</v>
      </c>
      <c r="N956">
        <v>0.13822167711726455</v>
      </c>
      <c r="O956">
        <v>0.11985394712700238</v>
      </c>
      <c r="P956">
        <v>1.5163765687002376E-2</v>
      </c>
      <c r="Q956">
        <v>8.5801140204133013E-4</v>
      </c>
      <c r="R956">
        <v>1.6199690298801463E-3</v>
      </c>
      <c r="S956">
        <v>0.1147193180059687</v>
      </c>
      <c r="T956">
        <v>0.81684877669830513</v>
      </c>
      <c r="U956">
        <v>0</v>
      </c>
      <c r="V956">
        <v>0.20235931900498455</v>
      </c>
      <c r="W956">
        <v>9.2215599824062133E-2</v>
      </c>
      <c r="X956">
        <v>2.6368369381914857E-2</v>
      </c>
      <c r="Y956">
        <v>4.4090216766865791E-3</v>
      </c>
    </row>
    <row r="957" spans="1:25" x14ac:dyDescent="0.25">
      <c r="A957" s="1098"/>
      <c r="B957" s="1457">
        <v>707</v>
      </c>
      <c r="C957" s="1102">
        <v>1.007500207421639</v>
      </c>
      <c r="D957" s="1102">
        <v>1.0225672259421212</v>
      </c>
      <c r="E957" s="1102">
        <v>1.0255381387809397</v>
      </c>
      <c r="F957" s="1102">
        <v>1.040331722362458</v>
      </c>
      <c r="G957" s="1102">
        <v>0.98579180036989422</v>
      </c>
      <c r="H957" s="1102">
        <v>1.0071443703473872</v>
      </c>
      <c r="I957" s="1102">
        <v>0.98349150458597412</v>
      </c>
      <c r="K957">
        <v>1.5916008218734543</v>
      </c>
      <c r="L957">
        <v>0</v>
      </c>
      <c r="M957">
        <v>1.4655588914157572E-3</v>
      </c>
      <c r="N957">
        <v>0.14566393252792681</v>
      </c>
      <c r="O957">
        <v>0.12271074202744653</v>
      </c>
      <c r="P957">
        <v>1.6375716954551707E-2</v>
      </c>
      <c r="Q957">
        <v>9.0773845746198556E-4</v>
      </c>
      <c r="R957">
        <v>1.4622499426609375E-3</v>
      </c>
      <c r="S957">
        <v>0.11598883372858335</v>
      </c>
      <c r="T957">
        <v>0.85679038372776528</v>
      </c>
      <c r="U957">
        <v>0</v>
      </c>
      <c r="V957">
        <v>0.20579228334459485</v>
      </c>
      <c r="W957">
        <v>9.426412310475471E-2</v>
      </c>
      <c r="X957">
        <v>2.9130614635762549E-2</v>
      </c>
      <c r="Y957">
        <v>3.9797623133590223E-3</v>
      </c>
    </row>
    <row r="958" spans="1:25" x14ac:dyDescent="0.25">
      <c r="A958" s="1098"/>
      <c r="B958" s="1457">
        <v>708</v>
      </c>
      <c r="C958" s="1102">
        <v>0.99645238075240772</v>
      </c>
      <c r="D958" s="1102">
        <v>0.97122319287764103</v>
      </c>
      <c r="E958" s="1102">
        <v>1.0239153659151168</v>
      </c>
      <c r="F958" s="1102">
        <v>1.0064995411728497</v>
      </c>
      <c r="G958" s="1102">
        <v>1.0046510051940885</v>
      </c>
      <c r="H958" s="1102">
        <v>1.0026474982763767</v>
      </c>
      <c r="I958" s="1102">
        <v>1.0340670394598301</v>
      </c>
      <c r="K958">
        <v>1.5840996845801658</v>
      </c>
      <c r="L958">
        <v>0</v>
      </c>
      <c r="M958">
        <v>1.5191787518007223E-3</v>
      </c>
      <c r="N958">
        <v>0.15025646370681617</v>
      </c>
      <c r="O958">
        <v>0.12323978762708034</v>
      </c>
      <c r="P958">
        <v>1.6139545376826853E-2</v>
      </c>
      <c r="Q958">
        <v>9.3535676279010759E-4</v>
      </c>
      <c r="R958">
        <v>1.5157519011388236E-3</v>
      </c>
      <c r="S958">
        <v>0.12650609770437207</v>
      </c>
      <c r="T958">
        <v>0.82903358865850074</v>
      </c>
      <c r="U958">
        <v>0</v>
      </c>
      <c r="V958">
        <v>0.20739394667899386</v>
      </c>
      <c r="W958">
        <v>9.7328125416133573E-2</v>
      </c>
      <c r="X958">
        <v>2.9144822491892309E-2</v>
      </c>
      <c r="Y958">
        <v>4.1253770074199557E-3</v>
      </c>
    </row>
    <row r="959" spans="1:25" x14ac:dyDescent="0.25">
      <c r="A959" s="1098"/>
      <c r="B959" s="1457">
        <v>709</v>
      </c>
      <c r="C959" s="1102">
        <v>1.0115063215903715</v>
      </c>
      <c r="D959" s="1102">
        <v>0.99976966227584785</v>
      </c>
      <c r="E959" s="1102">
        <v>1.0134248323664343</v>
      </c>
      <c r="F959" s="1102">
        <v>0.99404616046972449</v>
      </c>
      <c r="G959" s="1102">
        <v>1.0404030711238834</v>
      </c>
      <c r="H959" s="1102">
        <v>1.0194625531709476</v>
      </c>
      <c r="I959" s="1102">
        <v>0.98236608296908767</v>
      </c>
      <c r="K959">
        <v>1.5547327295419422</v>
      </c>
      <c r="L959">
        <v>0</v>
      </c>
      <c r="M959">
        <v>1.5301658653996675E-3</v>
      </c>
      <c r="N959">
        <v>0.14663198822911688</v>
      </c>
      <c r="O959">
        <v>0.12034565589116604</v>
      </c>
      <c r="P959">
        <v>1.5745352441689141E-2</v>
      </c>
      <c r="Q959">
        <v>9.0106440946346891E-4</v>
      </c>
      <c r="R959">
        <v>1.5267552848400828E-3</v>
      </c>
      <c r="S959">
        <v>0.11765089053955356</v>
      </c>
      <c r="T959">
        <v>0.81945809651080792</v>
      </c>
      <c r="U959">
        <v>0</v>
      </c>
      <c r="V959">
        <v>0.20619992270999238</v>
      </c>
      <c r="W959">
        <v>9.5565735761489301E-2</v>
      </c>
      <c r="X959">
        <v>2.8082109038630003E-2</v>
      </c>
      <c r="Y959">
        <v>4.1553245905903216E-3</v>
      </c>
    </row>
    <row r="960" spans="1:25" x14ac:dyDescent="0.25">
      <c r="A960" s="1098"/>
      <c r="B960" s="1457">
        <v>710</v>
      </c>
      <c r="C960" s="1102">
        <v>1.0349876171068069</v>
      </c>
      <c r="D960" s="1102">
        <v>1.0124081829347338</v>
      </c>
      <c r="E960" s="1102">
        <v>0.9822781519261693</v>
      </c>
      <c r="F960" s="1102">
        <v>0.99990086633631303</v>
      </c>
      <c r="G960" s="1102">
        <v>0.96556811209516646</v>
      </c>
      <c r="H960" s="1102">
        <v>1.012313306162365</v>
      </c>
      <c r="I960" s="1102">
        <v>0.98693219070282379</v>
      </c>
      <c r="K960">
        <v>1.5362840051653772</v>
      </c>
      <c r="L960">
        <v>0</v>
      </c>
      <c r="M960">
        <v>1.5760451998315589E-3</v>
      </c>
      <c r="N960">
        <v>0.13746054455873144</v>
      </c>
      <c r="O960">
        <v>0.11913285603308936</v>
      </c>
      <c r="P960">
        <v>1.5356429797508729E-2</v>
      </c>
      <c r="Q960">
        <v>8.4833232001250969E-4</v>
      </c>
      <c r="R960">
        <v>1.5725074372659579E-3</v>
      </c>
      <c r="S960">
        <v>0.11421639918001905</v>
      </c>
      <c r="T960">
        <v>0.82634259231534823</v>
      </c>
      <c r="U960">
        <v>0</v>
      </c>
      <c r="V960">
        <v>0.20080492769107575</v>
      </c>
      <c r="W960">
        <v>9.1265168172929956E-2</v>
      </c>
      <c r="X960">
        <v>2.6580445991926507E-2</v>
      </c>
      <c r="Y960">
        <v>4.2798468673005581E-3</v>
      </c>
    </row>
    <row r="961" spans="1:25" x14ac:dyDescent="0.25">
      <c r="A961" s="1098"/>
      <c r="B961" s="1457">
        <v>711</v>
      </c>
      <c r="C961" s="1102">
        <v>1.004951319502964</v>
      </c>
      <c r="D961" s="1102">
        <v>1.0296895312760679</v>
      </c>
      <c r="E961" s="1102">
        <v>0.99775400924598745</v>
      </c>
      <c r="F961" s="1102">
        <v>0.98250150163036443</v>
      </c>
      <c r="G961" s="1102">
        <v>0.99302834614963986</v>
      </c>
      <c r="H961" s="1102">
        <v>1.0269318600726598</v>
      </c>
      <c r="I961" s="1102">
        <v>1.0042461567194099</v>
      </c>
      <c r="K961">
        <v>1.5382759023066948</v>
      </c>
      <c r="L961">
        <v>0</v>
      </c>
      <c r="M961">
        <v>1.5740644669482774E-3</v>
      </c>
      <c r="N961">
        <v>0.14386678371431846</v>
      </c>
      <c r="O961">
        <v>0.11863392123007846</v>
      </c>
      <c r="P961">
        <v>1.5429048499533892E-2</v>
      </c>
      <c r="Q961">
        <v>8.8190453149103616E-4</v>
      </c>
      <c r="R961">
        <v>1.5705597032610052E-3</v>
      </c>
      <c r="S961">
        <v>0.11939040689380004</v>
      </c>
      <c r="T961">
        <v>0.81095468239331181</v>
      </c>
      <c r="U961">
        <v>0</v>
      </c>
      <c r="V961">
        <v>0.20311276021377045</v>
      </c>
      <c r="W961">
        <v>9.4637055045375201E-2</v>
      </c>
      <c r="X961">
        <v>2.7098298771291208E-2</v>
      </c>
      <c r="Y961">
        <v>4.2745457774094201E-3</v>
      </c>
    </row>
    <row r="962" spans="1:25" x14ac:dyDescent="0.25">
      <c r="A962" s="1098"/>
      <c r="B962" s="1457">
        <v>712</v>
      </c>
      <c r="C962" s="1102">
        <v>1.0197543039677521</v>
      </c>
      <c r="D962" s="1102">
        <v>1.0043274597069611</v>
      </c>
      <c r="E962" s="1102">
        <v>1.021226200474413</v>
      </c>
      <c r="F962" s="1102">
        <v>0.96515291058738795</v>
      </c>
      <c r="G962" s="1102">
        <v>1.0086507387686789</v>
      </c>
      <c r="H962" s="1102">
        <v>0.98889656770419532</v>
      </c>
      <c r="I962" s="1102">
        <v>1.0053695498188902</v>
      </c>
      <c r="K962">
        <v>1.5132037154928635</v>
      </c>
      <c r="L962">
        <v>0</v>
      </c>
      <c r="M962">
        <v>1.4424590823682033E-3</v>
      </c>
      <c r="N962">
        <v>0.14150912615935363</v>
      </c>
      <c r="O962">
        <v>0.11768710028876739</v>
      </c>
      <c r="P962">
        <v>1.5433159406303729E-2</v>
      </c>
      <c r="Q962">
        <v>8.9933051770368347E-4</v>
      </c>
      <c r="R962">
        <v>1.4391365854318991E-3</v>
      </c>
      <c r="S962">
        <v>0.11661051117294821</v>
      </c>
      <c r="T962">
        <v>0.79514663775261307</v>
      </c>
      <c r="U962">
        <v>0</v>
      </c>
      <c r="V962">
        <v>0.20246991208496945</v>
      </c>
      <c r="W962">
        <v>9.1806100854200628E-2</v>
      </c>
      <c r="X962">
        <v>2.7728304378642845E-2</v>
      </c>
      <c r="Y962">
        <v>3.9168553742977424E-3</v>
      </c>
    </row>
    <row r="963" spans="1:25" x14ac:dyDescent="0.25">
      <c r="A963" s="1098"/>
      <c r="B963" s="1457">
        <v>713</v>
      </c>
      <c r="C963" s="1102">
        <v>0.98742640490641764</v>
      </c>
      <c r="D963" s="1102">
        <v>0.99258888365502262</v>
      </c>
      <c r="E963" s="1102">
        <v>1.021421535615459</v>
      </c>
      <c r="F963" s="1102">
        <v>1.0066971887971021</v>
      </c>
      <c r="G963" s="1102">
        <v>1.0074503677294846</v>
      </c>
      <c r="H963" s="1102">
        <v>0.99978109396444259</v>
      </c>
      <c r="I963" s="1102">
        <v>0.96829837772326999</v>
      </c>
      <c r="K963">
        <v>1.572916431168881</v>
      </c>
      <c r="L963">
        <v>0</v>
      </c>
      <c r="M963">
        <v>1.5168214748449817E-3</v>
      </c>
      <c r="N963">
        <v>0.14889667898589998</v>
      </c>
      <c r="O963">
        <v>0.12276179651019507</v>
      </c>
      <c r="P963">
        <v>1.5996210799780287E-2</v>
      </c>
      <c r="Q963">
        <v>9.3333913857732511E-4</v>
      </c>
      <c r="R963">
        <v>1.5133754275981415E-3</v>
      </c>
      <c r="S963">
        <v>0.11772054056829685</v>
      </c>
      <c r="T963">
        <v>0.82936027858949846</v>
      </c>
      <c r="U963">
        <v>0</v>
      </c>
      <c r="V963">
        <v>0.20763705654699641</v>
      </c>
      <c r="W963">
        <v>9.6587855701596684E-2</v>
      </c>
      <c r="X963">
        <v>2.8907211345440897E-2</v>
      </c>
      <c r="Y963">
        <v>4.118909029846512E-3</v>
      </c>
    </row>
    <row r="964" spans="1:25" x14ac:dyDescent="0.25">
      <c r="A964" s="1098"/>
      <c r="B964" s="1457">
        <v>714</v>
      </c>
      <c r="C964" s="1102">
        <v>1.0082766942474788</v>
      </c>
      <c r="D964" s="1102">
        <v>0.96862793785959389</v>
      </c>
      <c r="E964" s="1102">
        <v>0.9901128751392525</v>
      </c>
      <c r="F964" s="1102">
        <v>1.0126614666867129</v>
      </c>
      <c r="G964" s="1102">
        <v>0.95531681680809444</v>
      </c>
      <c r="H964" s="1102">
        <v>0.98180821515566918</v>
      </c>
      <c r="I964" s="1102">
        <v>0.98282330643855598</v>
      </c>
      <c r="K964">
        <v>1.564717145314902</v>
      </c>
      <c r="L964">
        <v>0</v>
      </c>
      <c r="M964">
        <v>1.5816051736987553E-3</v>
      </c>
      <c r="N964">
        <v>0.14124529679802236</v>
      </c>
      <c r="O964">
        <v>0.12327705735573311</v>
      </c>
      <c r="P964">
        <v>1.5676754799642697E-2</v>
      </c>
      <c r="Q964">
        <v>8.9362395568270481E-4</v>
      </c>
      <c r="R964">
        <v>1.5779683617914149E-3</v>
      </c>
      <c r="S964">
        <v>0.11741759514768592</v>
      </c>
      <c r="T964">
        <v>0.83636097929772113</v>
      </c>
      <c r="U964">
        <v>0</v>
      </c>
      <c r="V964">
        <v>0.20450963257011845</v>
      </c>
      <c r="W964">
        <v>9.3337570618482857E-2</v>
      </c>
      <c r="X964">
        <v>2.7707561880052585E-2</v>
      </c>
      <c r="Y964">
        <v>4.2947097036655684E-3</v>
      </c>
    </row>
    <row r="965" spans="1:25" x14ac:dyDescent="0.25">
      <c r="A965" s="1098"/>
      <c r="B965" s="1457">
        <v>715</v>
      </c>
      <c r="C965" s="1102">
        <v>1.0251982564719626</v>
      </c>
      <c r="D965" s="1102">
        <v>0.96643152221161333</v>
      </c>
      <c r="E965" s="1102">
        <v>1.0151456617848891</v>
      </c>
      <c r="F965" s="1102">
        <v>1.0205423795607755</v>
      </c>
      <c r="G965" s="1102">
        <v>1.0105195558907225</v>
      </c>
      <c r="H965" s="1102">
        <v>0.99652165602641951</v>
      </c>
      <c r="I965" s="1102">
        <v>1.0007544893908078</v>
      </c>
      <c r="K965">
        <v>1.5783156265312146</v>
      </c>
      <c r="L965">
        <v>0</v>
      </c>
      <c r="M965">
        <v>1.5035886956661164E-3</v>
      </c>
      <c r="N965">
        <v>0.14483084119304068</v>
      </c>
      <c r="O965">
        <v>0.12300079722289184</v>
      </c>
      <c r="P965">
        <v>1.6083879791664375E-2</v>
      </c>
      <c r="Q965">
        <v>9.0276999190938079E-4</v>
      </c>
      <c r="R965">
        <v>1.5001898850207334E-3</v>
      </c>
      <c r="S965">
        <v>0.11910185084552315</v>
      </c>
      <c r="T965">
        <v>0.84118556299202274</v>
      </c>
      <c r="U965">
        <v>0</v>
      </c>
      <c r="V965">
        <v>0.20612743527660543</v>
      </c>
      <c r="W965">
        <v>9.4296447112436607E-2</v>
      </c>
      <c r="X965">
        <v>2.870641858620241E-2</v>
      </c>
      <c r="Y965">
        <v>4.0830223295637491E-3</v>
      </c>
    </row>
    <row r="966" spans="1:25" x14ac:dyDescent="0.25">
      <c r="A966" s="1098"/>
      <c r="B966" s="1457">
        <v>716</v>
      </c>
      <c r="C966" s="1102">
        <v>1.0372784323595448</v>
      </c>
      <c r="D966" s="1102">
        <v>1.0120869302927629</v>
      </c>
      <c r="E966" s="1102">
        <v>0.99777323071500179</v>
      </c>
      <c r="F966" s="1102">
        <v>0.97933188438523289</v>
      </c>
      <c r="G966" s="1102">
        <v>0.99657906733822232</v>
      </c>
      <c r="H966" s="1102">
        <v>1.0069640155398454</v>
      </c>
      <c r="I966" s="1102">
        <v>0.99754629358375813</v>
      </c>
      <c r="K966">
        <v>1.5179989756607939</v>
      </c>
      <c r="L966">
        <v>0</v>
      </c>
      <c r="M966">
        <v>1.5130416223948992E-3</v>
      </c>
      <c r="N966">
        <v>0.13829285187343943</v>
      </c>
      <c r="O966">
        <v>0.11757220224749232</v>
      </c>
      <c r="P966">
        <v>1.5301408004790247E-2</v>
      </c>
      <c r="Q966">
        <v>8.6035028842878483E-4</v>
      </c>
      <c r="R966">
        <v>1.5096227215952197E-3</v>
      </c>
      <c r="S966">
        <v>0.11472923351155548</v>
      </c>
      <c r="T966">
        <v>0.8083372429337351</v>
      </c>
      <c r="U966">
        <v>0</v>
      </c>
      <c r="V966">
        <v>0.20100341298146021</v>
      </c>
      <c r="W966">
        <v>9.0969424062243745E-2</v>
      </c>
      <c r="X966">
        <v>2.6827573257260564E-2</v>
      </c>
      <c r="Y966">
        <v>4.1086954011857598E-3</v>
      </c>
    </row>
    <row r="967" spans="1:25" x14ac:dyDescent="0.25">
      <c r="A967" s="1098"/>
      <c r="B967" s="1457">
        <v>717</v>
      </c>
      <c r="C967" s="1102">
        <v>1.0132664233287694</v>
      </c>
      <c r="D967" s="1102">
        <v>1.0203337011150273</v>
      </c>
      <c r="E967" s="1102">
        <v>0.9791106987827819</v>
      </c>
      <c r="F967" s="1102">
        <v>0.99909711564137005</v>
      </c>
      <c r="G967" s="1102">
        <v>1.0159672856995663</v>
      </c>
      <c r="H967" s="1102">
        <v>0.99337060076561312</v>
      </c>
      <c r="I967" s="1102">
        <v>0.99156025268958992</v>
      </c>
      <c r="K967">
        <v>1.5398237236683665</v>
      </c>
      <c r="L967">
        <v>0</v>
      </c>
      <c r="M967">
        <v>1.580591862945128E-3</v>
      </c>
      <c r="N967">
        <v>0.13653554566684617</v>
      </c>
      <c r="O967">
        <v>0.11981603792899612</v>
      </c>
      <c r="P967">
        <v>1.5375423766615057E-2</v>
      </c>
      <c r="Q967">
        <v>8.6095779211752877E-4</v>
      </c>
      <c r="R967">
        <v>1.5769658418497278E-3</v>
      </c>
      <c r="S967">
        <v>0.11508629472192701</v>
      </c>
      <c r="T967">
        <v>0.82588923246501245</v>
      </c>
      <c r="U967">
        <v>0</v>
      </c>
      <c r="V967">
        <v>0.20455005851243868</v>
      </c>
      <c r="W967">
        <v>9.0824474926089957E-2</v>
      </c>
      <c r="X967">
        <v>2.659734273455468E-2</v>
      </c>
      <c r="Y967">
        <v>4.2919811748649049E-3</v>
      </c>
    </row>
    <row r="968" spans="1:25" x14ac:dyDescent="0.25">
      <c r="A968" s="1098"/>
      <c r="B968" s="1457">
        <v>718</v>
      </c>
      <c r="C968" s="1102">
        <v>0.99751519015346113</v>
      </c>
      <c r="D968" s="1102">
        <v>1.0012198843187099</v>
      </c>
      <c r="E968" s="1102">
        <v>1.0248253163873704</v>
      </c>
      <c r="F968" s="1102">
        <v>1.0341365417104116</v>
      </c>
      <c r="G968" s="1102">
        <v>1.0079721054160218</v>
      </c>
      <c r="H968" s="1102">
        <v>0.9955290855541723</v>
      </c>
      <c r="I968" s="1102">
        <v>1.0015677160543572</v>
      </c>
      <c r="K968">
        <v>1.595921698289009</v>
      </c>
      <c r="L968">
        <v>0</v>
      </c>
      <c r="M968">
        <v>1.4813916358372365E-3</v>
      </c>
      <c r="N968">
        <v>0.14691835489711022</v>
      </c>
      <c r="O968">
        <v>0.12375638536954005</v>
      </c>
      <c r="P968">
        <v>1.6380150213562768E-2</v>
      </c>
      <c r="Q968">
        <v>9.2392052854076731E-4</v>
      </c>
      <c r="R968">
        <v>1.4780162357956536E-3</v>
      </c>
      <c r="S968">
        <v>0.1198015259558818</v>
      </c>
      <c r="T968">
        <v>0.8517362554802359</v>
      </c>
      <c r="U968">
        <v>0</v>
      </c>
      <c r="V968">
        <v>0.2079603319697281</v>
      </c>
      <c r="W968">
        <v>9.5115400235315811E-2</v>
      </c>
      <c r="X968">
        <v>2.9310076073219671E-2</v>
      </c>
      <c r="Y968">
        <v>4.0226729659145833E-3</v>
      </c>
    </row>
    <row r="969" spans="1:25" x14ac:dyDescent="0.25">
      <c r="A969" s="1098"/>
      <c r="B969" s="1457">
        <v>719</v>
      </c>
      <c r="C969" s="1102">
        <v>0.96555805452762988</v>
      </c>
      <c r="D969" s="1102">
        <v>0.99881082335767024</v>
      </c>
      <c r="E969" s="1102">
        <v>1.008894321645911</v>
      </c>
      <c r="F969" s="1102">
        <v>0.99682198947337775</v>
      </c>
      <c r="G969" s="1102">
        <v>0.95443912201279457</v>
      </c>
      <c r="H969" s="1102">
        <v>1.0213690724659865</v>
      </c>
      <c r="I969" s="1102">
        <v>0.98326089930518135</v>
      </c>
      <c r="K969">
        <v>1.577089221559085</v>
      </c>
      <c r="L969">
        <v>0</v>
      </c>
      <c r="M969">
        <v>1.616801576105499E-3</v>
      </c>
      <c r="N969">
        <v>0.15282913591665939</v>
      </c>
      <c r="O969">
        <v>0.12298323455011682</v>
      </c>
      <c r="P969">
        <v>1.580934302348869E-2</v>
      </c>
      <c r="Q969">
        <v>9.3990684800653067E-4</v>
      </c>
      <c r="R969">
        <v>1.6131935175179167E-3</v>
      </c>
      <c r="S969">
        <v>0.12331034225550512</v>
      </c>
      <c r="T969">
        <v>0.82204289513361117</v>
      </c>
      <c r="U969">
        <v>0</v>
      </c>
      <c r="V969">
        <v>0.20644760683490276</v>
      </c>
      <c r="W969">
        <v>9.9870866040125156E-2</v>
      </c>
      <c r="X969">
        <v>2.8468918049671537E-2</v>
      </c>
      <c r="Y969">
        <v>4.3905809655836407E-3</v>
      </c>
    </row>
    <row r="970" spans="1:25" x14ac:dyDescent="0.25">
      <c r="A970" s="1098"/>
      <c r="B970" s="1457">
        <v>720</v>
      </c>
      <c r="C970" s="1102">
        <v>1.0172164149998131</v>
      </c>
      <c r="D970" s="1102">
        <v>1.0034490573325554</v>
      </c>
      <c r="E970" s="1102">
        <v>0.99955043008092903</v>
      </c>
      <c r="F970" s="1102">
        <v>0.98259693912204471</v>
      </c>
      <c r="G970" s="1102">
        <v>1.0238156998020469</v>
      </c>
      <c r="H970" s="1102">
        <v>0.96550286227865678</v>
      </c>
      <c r="I970" s="1102">
        <v>1.0188266794602823</v>
      </c>
      <c r="K970">
        <v>1.5238008902008189</v>
      </c>
      <c r="L970">
        <v>0</v>
      </c>
      <c r="M970">
        <v>1.4793716557541037E-3</v>
      </c>
      <c r="N970">
        <v>0.13593029983724869</v>
      </c>
      <c r="O970">
        <v>0.11913488681461462</v>
      </c>
      <c r="P970">
        <v>1.5428485228199283E-2</v>
      </c>
      <c r="Q970">
        <v>8.8195636172435352E-4</v>
      </c>
      <c r="R970">
        <v>1.4758862221979619E-3</v>
      </c>
      <c r="S970">
        <v>0.11672595097526489</v>
      </c>
      <c r="T970">
        <v>0.81091685420772763</v>
      </c>
      <c r="U970">
        <v>0</v>
      </c>
      <c r="V970">
        <v>0.20425444869160031</v>
      </c>
      <c r="W970">
        <v>8.9320834121628917E-2</v>
      </c>
      <c r="X970">
        <v>2.7193783625305848E-2</v>
      </c>
      <c r="Y970">
        <v>4.0168757710604625E-3</v>
      </c>
    </row>
    <row r="971" spans="1:25" x14ac:dyDescent="0.25">
      <c r="A971" s="1098"/>
      <c r="B971" s="1457">
        <v>721</v>
      </c>
      <c r="C971" s="1102">
        <v>1.0186382576931514</v>
      </c>
      <c r="D971" s="1102">
        <v>1.0142917588501024</v>
      </c>
      <c r="E971" s="1102">
        <v>0.97689266233955996</v>
      </c>
      <c r="F971" s="1102">
        <v>1.0174046223196185</v>
      </c>
      <c r="G971" s="1102">
        <v>0.99641299548008844</v>
      </c>
      <c r="H971" s="1102">
        <v>0.99346849568077344</v>
      </c>
      <c r="I971" s="1102">
        <v>0.98840799883426456</v>
      </c>
      <c r="K971">
        <v>1.5557319763764068</v>
      </c>
      <c r="L971">
        <v>0</v>
      </c>
      <c r="M971">
        <v>1.5876947890758435E-3</v>
      </c>
      <c r="N971">
        <v>0.13623252978071693</v>
      </c>
      <c r="O971">
        <v>0.12108046597916088</v>
      </c>
      <c r="P971">
        <v>1.554563069103819E-2</v>
      </c>
      <c r="Q971">
        <v>8.5645928001784892E-4</v>
      </c>
      <c r="R971">
        <v>1.5840626961567811E-3</v>
      </c>
      <c r="S971">
        <v>0.1146548031408024</v>
      </c>
      <c r="T971">
        <v>0.84117344101308023</v>
      </c>
      <c r="U971">
        <v>0</v>
      </c>
      <c r="V971">
        <v>0.20434185783744527</v>
      </c>
      <c r="W971">
        <v>9.0744551959124911E-2</v>
      </c>
      <c r="X971">
        <v>2.6794572315127538E-2</v>
      </c>
      <c r="Y971">
        <v>4.3112964728113101E-3</v>
      </c>
    </row>
    <row r="972" spans="1:25" x14ac:dyDescent="0.25">
      <c r="A972" s="1098"/>
      <c r="B972" s="1457">
        <v>722</v>
      </c>
      <c r="C972" s="1102">
        <v>1.0343698364535936</v>
      </c>
      <c r="D972" s="1102">
        <v>0.98924889536799021</v>
      </c>
      <c r="E972" s="1102">
        <v>1.0058618768843515</v>
      </c>
      <c r="F972" s="1102">
        <v>0.97798145782085788</v>
      </c>
      <c r="G972" s="1102">
        <v>1.0105766809804173</v>
      </c>
      <c r="H972" s="1102">
        <v>0.96455600730408508</v>
      </c>
      <c r="I972" s="1102">
        <v>1.0058835071288181</v>
      </c>
      <c r="K972">
        <v>1.5138247093374295</v>
      </c>
      <c r="L972">
        <v>0</v>
      </c>
      <c r="M972">
        <v>1.4473949177652109E-3</v>
      </c>
      <c r="N972">
        <v>0.1355526252186311</v>
      </c>
      <c r="O972">
        <v>0.1185739512587828</v>
      </c>
      <c r="P972">
        <v>1.5385871514335663E-2</v>
      </c>
      <c r="Q972">
        <v>8.7800771086667269E-4</v>
      </c>
      <c r="R972">
        <v>1.4439925432894276E-3</v>
      </c>
      <c r="S972">
        <v>0.11430492762365153</v>
      </c>
      <c r="T972">
        <v>0.80670086235856397</v>
      </c>
      <c r="U972">
        <v>0</v>
      </c>
      <c r="V972">
        <v>0.20247356203604455</v>
      </c>
      <c r="W972">
        <v>8.8739869529233129E-2</v>
      </c>
      <c r="X972">
        <v>2.7288362770974583E-2</v>
      </c>
      <c r="Y972">
        <v>3.9300716908198573E-3</v>
      </c>
    </row>
    <row r="973" spans="1:25" x14ac:dyDescent="0.25">
      <c r="A973" s="1098"/>
      <c r="B973" s="1457">
        <v>723</v>
      </c>
      <c r="C973" s="1102">
        <v>0.95683169034552829</v>
      </c>
      <c r="D973" s="1102">
        <v>0.99371489730465901</v>
      </c>
      <c r="E973" s="1102">
        <v>1.0041573028463517</v>
      </c>
      <c r="F973" s="1102">
        <v>0.97958926981661709</v>
      </c>
      <c r="G973" s="1102">
        <v>0.99978197649076439</v>
      </c>
      <c r="H973" s="1102">
        <v>0.99388404018749332</v>
      </c>
      <c r="I973" s="1102">
        <v>1.0066439738969595</v>
      </c>
      <c r="K973">
        <v>1.5609525792609813</v>
      </c>
      <c r="L973">
        <v>0</v>
      </c>
      <c r="M973">
        <v>1.6046238294219364E-3</v>
      </c>
      <c r="N973">
        <v>0.14951408808320785</v>
      </c>
      <c r="O973">
        <v>0.1224610642833672</v>
      </c>
      <c r="P973">
        <v>1.5619406983384496E-2</v>
      </c>
      <c r="Q973">
        <v>9.4578113534982177E-4</v>
      </c>
      <c r="R973">
        <v>1.6009393452934139E-3</v>
      </c>
      <c r="S973">
        <v>0.12530603971208334</v>
      </c>
      <c r="T973">
        <v>0.80813704618550464</v>
      </c>
      <c r="U973">
        <v>0</v>
      </c>
      <c r="V973">
        <v>0.20852078389305465</v>
      </c>
      <c r="W973">
        <v>9.7978597744275309E-2</v>
      </c>
      <c r="X973">
        <v>2.8116226576507815E-2</v>
      </c>
      <c r="Y973">
        <v>4.3572291483753326E-3</v>
      </c>
    </row>
    <row r="974" spans="1:25" x14ac:dyDescent="0.25">
      <c r="A974" s="1098"/>
      <c r="B974" s="1457">
        <v>724</v>
      </c>
      <c r="C974" s="1102">
        <v>0.9959814968597156</v>
      </c>
      <c r="D974" s="1102">
        <v>0.98199419844938474</v>
      </c>
      <c r="E974" s="1102">
        <v>0.97920427614294847</v>
      </c>
      <c r="F974" s="1102">
        <v>1.0401299105003592</v>
      </c>
      <c r="G974" s="1102">
        <v>1.0150773862282294</v>
      </c>
      <c r="H974" s="1102">
        <v>1.0041005716652982</v>
      </c>
      <c r="I974" s="1102">
        <v>1.0101005701037022</v>
      </c>
      <c r="K974">
        <v>1.6059494045485081</v>
      </c>
      <c r="L974">
        <v>0</v>
      </c>
      <c r="M974">
        <v>1.6638084595811038E-3</v>
      </c>
      <c r="N974">
        <v>0.14377092255282087</v>
      </c>
      <c r="O974">
        <v>0.12526464773309121</v>
      </c>
      <c r="P974">
        <v>1.6001584911639551E-2</v>
      </c>
      <c r="Q974">
        <v>8.8950864613135188E-4</v>
      </c>
      <c r="R974">
        <v>1.6600632855116721E-3</v>
      </c>
      <c r="S974">
        <v>0.1230548783307157</v>
      </c>
      <c r="T974">
        <v>0.85980191021365326</v>
      </c>
      <c r="U974">
        <v>0</v>
      </c>
      <c r="V974">
        <v>0.20923498009002464</v>
      </c>
      <c r="W974">
        <v>9.5632094832715231E-2</v>
      </c>
      <c r="X974">
        <v>2.7784477388338176E-2</v>
      </c>
      <c r="Y974">
        <v>4.5181450234477753E-3</v>
      </c>
    </row>
    <row r="975" spans="1:25" x14ac:dyDescent="0.25">
      <c r="A975" s="1098"/>
      <c r="B975" s="1457">
        <v>725</v>
      </c>
      <c r="C975" s="1102">
        <v>1.0247634398084418</v>
      </c>
      <c r="D975" s="1102">
        <v>0.9823541536601329</v>
      </c>
      <c r="E975" s="1102">
        <v>0.96901275399943965</v>
      </c>
      <c r="F975" s="1102">
        <v>0.98921623034666761</v>
      </c>
      <c r="G975" s="1102">
        <v>0.97834549036260132</v>
      </c>
      <c r="H975" s="1102">
        <v>1.0155024982322169</v>
      </c>
      <c r="I975" s="1102">
        <v>0.97367845571632494</v>
      </c>
      <c r="K975">
        <v>1.5370296598914617</v>
      </c>
      <c r="L975">
        <v>0</v>
      </c>
      <c r="M975">
        <v>1.6669640398920787E-3</v>
      </c>
      <c r="N975">
        <v>0.13967074703455601</v>
      </c>
      <c r="O975">
        <v>0.12023512065375504</v>
      </c>
      <c r="P975">
        <v>1.514204651171229E-2</v>
      </c>
      <c r="Q975">
        <v>8.5518713205834514E-4</v>
      </c>
      <c r="R975">
        <v>1.6632471507417178E-3</v>
      </c>
      <c r="S975">
        <v>0.11597585442274916</v>
      </c>
      <c r="T975">
        <v>0.81838911841400841</v>
      </c>
      <c r="U975">
        <v>0</v>
      </c>
      <c r="V975">
        <v>0.20251248482423148</v>
      </c>
      <c r="W975">
        <v>9.348096511124987E-2</v>
      </c>
      <c r="X975">
        <v>2.6245042221246354E-2</v>
      </c>
      <c r="Y975">
        <v>4.5268104550430692E-3</v>
      </c>
    </row>
    <row r="976" spans="1:25" x14ac:dyDescent="0.25">
      <c r="A976" s="1098"/>
      <c r="B976" s="1457">
        <v>726</v>
      </c>
      <c r="C976" s="1102">
        <v>1.0190162016809745</v>
      </c>
      <c r="D976" s="1102">
        <v>0.96050118958076547</v>
      </c>
      <c r="E976" s="1102">
        <v>1.0041504619157526</v>
      </c>
      <c r="F976" s="1102">
        <v>1.0130283115821119</v>
      </c>
      <c r="G976" s="1102">
        <v>0.97552244072688599</v>
      </c>
      <c r="H976" s="1102">
        <v>0.97439636738903679</v>
      </c>
      <c r="I976" s="1102">
        <v>0.98947809494410599</v>
      </c>
      <c r="K976">
        <v>1.563754433197573</v>
      </c>
      <c r="L976">
        <v>0</v>
      </c>
      <c r="M976">
        <v>1.5170483281414123E-3</v>
      </c>
      <c r="N976">
        <v>0.1413489323912929</v>
      </c>
      <c r="O976">
        <v>0.12308923768583524</v>
      </c>
      <c r="P976">
        <v>1.583317754378858E-2</v>
      </c>
      <c r="Q976">
        <v>9.002177935439502E-4</v>
      </c>
      <c r="R976">
        <v>1.5135412707266383E-3</v>
      </c>
      <c r="S976">
        <v>0.1170629520190453</v>
      </c>
      <c r="T976">
        <v>0.83572388947306797</v>
      </c>
      <c r="U976">
        <v>0</v>
      </c>
      <c r="V976">
        <v>0.20483073876486219</v>
      </c>
      <c r="W976">
        <v>9.2628236514141593E-2</v>
      </c>
      <c r="X976">
        <v>2.8221197669237898E-2</v>
      </c>
      <c r="Y976">
        <v>4.1193604001721063E-3</v>
      </c>
    </row>
    <row r="977" spans="1:25" x14ac:dyDescent="0.25">
      <c r="A977" s="1098"/>
      <c r="B977" s="1457">
        <v>727</v>
      </c>
      <c r="C977" s="1102">
        <v>0.99811760233238989</v>
      </c>
      <c r="D977" s="1102">
        <v>1.0342229106863101</v>
      </c>
      <c r="E977" s="1102">
        <v>0.98925212126123119</v>
      </c>
      <c r="F977" s="1102">
        <v>0.9969143677730431</v>
      </c>
      <c r="G977" s="1102">
        <v>1.0076655244741053</v>
      </c>
      <c r="H977" s="1102">
        <v>1.0476038215312573</v>
      </c>
      <c r="I977" s="1102">
        <v>1.0009728006495209</v>
      </c>
      <c r="K977">
        <v>1.5602932651324988</v>
      </c>
      <c r="L977">
        <v>0</v>
      </c>
      <c r="M977">
        <v>1.6423694375882021E-3</v>
      </c>
      <c r="N977">
        <v>0.1463077191882253</v>
      </c>
      <c r="O977">
        <v>0.11981307602230626</v>
      </c>
      <c r="P977">
        <v>1.5547823793395183E-2</v>
      </c>
      <c r="Q977">
        <v>8.7857781582317926E-4</v>
      </c>
      <c r="R977">
        <v>1.6387842642506191E-3</v>
      </c>
      <c r="S977">
        <v>0.12114564291581577</v>
      </c>
      <c r="T977">
        <v>0.82341232244058493</v>
      </c>
      <c r="U977">
        <v>0</v>
      </c>
      <c r="V977">
        <v>0.20494250472923439</v>
      </c>
      <c r="W977">
        <v>9.673279468053872E-2</v>
      </c>
      <c r="X977">
        <v>2.7056158177709132E-2</v>
      </c>
      <c r="Y977">
        <v>4.4602305422026638E-3</v>
      </c>
    </row>
    <row r="978" spans="1:25" x14ac:dyDescent="0.25">
      <c r="A978" s="1098"/>
      <c r="B978" s="1457">
        <v>728</v>
      </c>
      <c r="C978" s="1102">
        <v>0.96478144853725623</v>
      </c>
      <c r="D978" s="1102">
        <v>1.0271534025409157</v>
      </c>
      <c r="E978" s="1102">
        <v>0.98329736664923484</v>
      </c>
      <c r="F978" s="1102">
        <v>0.95828220136473941</v>
      </c>
      <c r="G978" s="1102">
        <v>1.0439682822741685</v>
      </c>
      <c r="H978" s="1102">
        <v>1.0260569751275492</v>
      </c>
      <c r="I978" s="1102">
        <v>0.9920355231891308</v>
      </c>
      <c r="K978">
        <v>1.5331364642649226</v>
      </c>
      <c r="L978">
        <v>0</v>
      </c>
      <c r="M978">
        <v>1.6820592301658192E-3</v>
      </c>
      <c r="N978">
        <v>0.14716087450892548</v>
      </c>
      <c r="O978">
        <v>0.11911692454444864</v>
      </c>
      <c r="P978">
        <v>1.5108550964901305E-2</v>
      </c>
      <c r="Q978">
        <v>9.0578166708964701E-4</v>
      </c>
      <c r="R978">
        <v>1.6782938629480802E-3</v>
      </c>
      <c r="S978">
        <v>0.12252712267595606</v>
      </c>
      <c r="T978">
        <v>0.7918828889002556</v>
      </c>
      <c r="U978">
        <v>0</v>
      </c>
      <c r="V978">
        <v>0.20763956443432216</v>
      </c>
      <c r="W978">
        <v>9.7645598598320241E-2</v>
      </c>
      <c r="X978">
        <v>2.6585160692400408E-2</v>
      </c>
      <c r="Y978">
        <v>4.5677626455214431E-3</v>
      </c>
    </row>
    <row r="979" spans="1:25" x14ac:dyDescent="0.25">
      <c r="A979" s="1098"/>
      <c r="B979" s="1457">
        <v>729</v>
      </c>
      <c r="C979" s="1102">
        <v>0.99666300937387919</v>
      </c>
      <c r="D979" s="1102">
        <v>1.0041428492809146</v>
      </c>
      <c r="E979" s="1102">
        <v>1.0350355105043891</v>
      </c>
      <c r="F979" s="1102">
        <v>1.0131731182549806</v>
      </c>
      <c r="G979" s="1102">
        <v>0.97428298227036891</v>
      </c>
      <c r="H979" s="1102">
        <v>0.98032067402134371</v>
      </c>
      <c r="I979" s="1102">
        <v>0.99683660331713231</v>
      </c>
      <c r="K979">
        <v>1.5689234450764875</v>
      </c>
      <c r="L979">
        <v>0</v>
      </c>
      <c r="M979">
        <v>1.4246239756783945E-3</v>
      </c>
      <c r="N979">
        <v>0.14569890970733254</v>
      </c>
      <c r="O979">
        <v>0.12218167277010862</v>
      </c>
      <c r="P979">
        <v>1.6187128690694282E-2</v>
      </c>
      <c r="Q979">
        <v>9.3330671570956351E-4</v>
      </c>
      <c r="R979">
        <v>1.4213206594020991E-3</v>
      </c>
      <c r="S979">
        <v>0.11781839345487678</v>
      </c>
      <c r="T979">
        <v>0.83379745654896786</v>
      </c>
      <c r="U979">
        <v>0</v>
      </c>
      <c r="V979">
        <v>0.20536072143807191</v>
      </c>
      <c r="W979">
        <v>9.3768500813524128E-2</v>
      </c>
      <c r="X979">
        <v>2.9312291956816006E-2</v>
      </c>
      <c r="Y979">
        <v>3.8683662966630646E-3</v>
      </c>
    </row>
    <row r="980" spans="1:25" x14ac:dyDescent="0.25">
      <c r="A980" s="1098"/>
      <c r="B980" s="1457">
        <v>730</v>
      </c>
      <c r="C980" s="1102">
        <v>1.0088533989593931</v>
      </c>
      <c r="D980" s="1102">
        <v>0.99324402973653869</v>
      </c>
      <c r="E980" s="1102">
        <v>0.99711617757377602</v>
      </c>
      <c r="F980" s="1102">
        <v>1.0411871122279874</v>
      </c>
      <c r="G980" s="1102">
        <v>0.98932608726613658</v>
      </c>
      <c r="H980" s="1102">
        <v>0.9688218291716133</v>
      </c>
      <c r="I980" s="1102">
        <v>1.0130000107908053</v>
      </c>
      <c r="K980">
        <v>1.5875913831352197</v>
      </c>
      <c r="L980">
        <v>0</v>
      </c>
      <c r="M980">
        <v>1.5188062324961995E-3</v>
      </c>
      <c r="N980">
        <v>0.13853390862446516</v>
      </c>
      <c r="O980">
        <v>0.12409400986211749</v>
      </c>
      <c r="P980">
        <v>1.6115249073283582E-2</v>
      </c>
      <c r="Q980">
        <v>8.9065821139524756E-4</v>
      </c>
      <c r="R980">
        <v>1.5152596488659806E-3</v>
      </c>
      <c r="S980">
        <v>0.11829119896295723</v>
      </c>
      <c r="T980">
        <v>0.85943755761067464</v>
      </c>
      <c r="U980">
        <v>0</v>
      </c>
      <c r="V980">
        <v>0.20671777307554962</v>
      </c>
      <c r="W980">
        <v>9.116365770264917E-2</v>
      </c>
      <c r="X980">
        <v>2.8226879336752764E-2</v>
      </c>
      <c r="Y980">
        <v>4.1240372590041954E-3</v>
      </c>
    </row>
    <row r="981" spans="1:25" x14ac:dyDescent="0.25">
      <c r="A981" s="1098"/>
      <c r="B981" s="1457">
        <v>731</v>
      </c>
      <c r="C981" s="1102">
        <v>0.96943822243058675</v>
      </c>
      <c r="D981" s="1102">
        <v>1.0269790587419123</v>
      </c>
      <c r="E981" s="1102">
        <v>1.0005878110369648</v>
      </c>
      <c r="F981" s="1102">
        <v>0.96873309896489934</v>
      </c>
      <c r="G981" s="1102">
        <v>0.99975892958081336</v>
      </c>
      <c r="H981" s="1102">
        <v>1.0085814852297619</v>
      </c>
      <c r="I981" s="1102">
        <v>0.9943375098514905</v>
      </c>
      <c r="K981">
        <v>1.5365041166136455</v>
      </c>
      <c r="L981">
        <v>0</v>
      </c>
      <c r="M981">
        <v>1.5896376054268307E-3</v>
      </c>
      <c r="N981">
        <v>0.14653242035766942</v>
      </c>
      <c r="O981">
        <v>0.11957973996176151</v>
      </c>
      <c r="P981">
        <v>1.5362856134781014E-2</v>
      </c>
      <c r="Q981">
        <v>9.1786943474567314E-4</v>
      </c>
      <c r="R981">
        <v>1.5860219338037266E-3</v>
      </c>
      <c r="S981">
        <v>0.12097330531984625</v>
      </c>
      <c r="T981">
        <v>0.79940897645529729</v>
      </c>
      <c r="U981">
        <v>0</v>
      </c>
      <c r="V981">
        <v>0.20581861592197023</v>
      </c>
      <c r="W981">
        <v>9.6228222409510428E-2</v>
      </c>
      <c r="X981">
        <v>2.7369097417862896E-2</v>
      </c>
      <c r="Y981">
        <v>4.3166288718237801E-3</v>
      </c>
    </row>
    <row r="982" spans="1:25" x14ac:dyDescent="0.25">
      <c r="A982" s="1098"/>
      <c r="B982" s="1457">
        <v>732</v>
      </c>
      <c r="C982" s="1102">
        <v>0.9970419572807413</v>
      </c>
      <c r="D982" s="1102">
        <v>0.99997141827183511</v>
      </c>
      <c r="E982" s="1102">
        <v>0.99846447737468269</v>
      </c>
      <c r="F982" s="1102">
        <v>0.95677513959203564</v>
      </c>
      <c r="G982" s="1102">
        <v>1.035952713414616</v>
      </c>
      <c r="H982" s="1102">
        <v>1.0217241005371138</v>
      </c>
      <c r="I982" s="1102">
        <v>0.95920193966346023</v>
      </c>
      <c r="K982">
        <v>1.5197634282823544</v>
      </c>
      <c r="L982">
        <v>0</v>
      </c>
      <c r="M982">
        <v>1.5982477958051582E-3</v>
      </c>
      <c r="N982">
        <v>0.14639008256278696</v>
      </c>
      <c r="O982">
        <v>0.11846885375016342</v>
      </c>
      <c r="P982">
        <v>1.5135009447980248E-2</v>
      </c>
      <c r="Q982">
        <v>9.0003806968778574E-4</v>
      </c>
      <c r="R982">
        <v>1.5946788662919659E-3</v>
      </c>
      <c r="S982">
        <v>0.11635982168668278</v>
      </c>
      <c r="T982">
        <v>0.78967528190656278</v>
      </c>
      <c r="U982">
        <v>0</v>
      </c>
      <c r="V982">
        <v>0.20522586000939178</v>
      </c>
      <c r="W982">
        <v>9.6256192268582369E-2</v>
      </c>
      <c r="X982">
        <v>2.7015667321730302E-2</v>
      </c>
      <c r="Y982">
        <v>4.3401901882997394E-3</v>
      </c>
    </row>
    <row r="983" spans="1:25" x14ac:dyDescent="0.25">
      <c r="A983" s="1098"/>
      <c r="B983" s="1457">
        <v>733</v>
      </c>
      <c r="C983" s="1102">
        <v>1.016859170960887</v>
      </c>
      <c r="D983" s="1102">
        <v>0.96497993218677169</v>
      </c>
      <c r="E983" s="1102">
        <v>1.0143162366881808</v>
      </c>
      <c r="F983" s="1102">
        <v>0.96998201927639927</v>
      </c>
      <c r="G983" s="1102">
        <v>1.0069261631441095</v>
      </c>
      <c r="H983" s="1102">
        <v>1.0101662863732137</v>
      </c>
      <c r="I983" s="1102">
        <v>0.98006247338553443</v>
      </c>
      <c r="K983">
        <v>1.5337469462135409</v>
      </c>
      <c r="L983">
        <v>0</v>
      </c>
      <c r="M983">
        <v>1.5335705407485156E-3</v>
      </c>
      <c r="N983">
        <v>0.14735256790865858</v>
      </c>
      <c r="O983">
        <v>0.11991053603551251</v>
      </c>
      <c r="P983">
        <v>1.5462348352652344E-2</v>
      </c>
      <c r="Q983">
        <v>9.0994412887258945E-4</v>
      </c>
      <c r="R983">
        <v>1.5301358785612133E-3</v>
      </c>
      <c r="S983">
        <v>0.11840483537353605</v>
      </c>
      <c r="T983">
        <v>0.79956373954110949</v>
      </c>
      <c r="U983">
        <v>0</v>
      </c>
      <c r="V983">
        <v>0.20404741244943236</v>
      </c>
      <c r="W983">
        <v>9.5985052213466579E-2</v>
      </c>
      <c r="X983">
        <v>2.79494194202007E-2</v>
      </c>
      <c r="Y983">
        <v>4.1645254522868179E-3</v>
      </c>
    </row>
    <row r="984" spans="1:25" x14ac:dyDescent="0.25">
      <c r="A984" s="1098"/>
      <c r="B984" s="1457">
        <v>734</v>
      </c>
      <c r="C984" s="1102">
        <v>1.008142115421403</v>
      </c>
      <c r="D984" s="1102">
        <v>1.0080697939336132</v>
      </c>
      <c r="E984" s="1102">
        <v>1.0144880969084096</v>
      </c>
      <c r="F984" s="1102">
        <v>1.0313698419439381</v>
      </c>
      <c r="G984" s="1102">
        <v>1.0000441159672988</v>
      </c>
      <c r="H984" s="1102">
        <v>1.0072803984949674</v>
      </c>
      <c r="I984" s="1102">
        <v>1.025802380054214</v>
      </c>
      <c r="K984">
        <v>1.5908040354401805</v>
      </c>
      <c r="L984">
        <v>0</v>
      </c>
      <c r="M984">
        <v>1.5102809548417006E-3</v>
      </c>
      <c r="N984">
        <v>0.14518809601334209</v>
      </c>
      <c r="O984">
        <v>0.12273888667696649</v>
      </c>
      <c r="P984">
        <v>1.6240934698051563E-2</v>
      </c>
      <c r="Q984">
        <v>9.0207292050790977E-4</v>
      </c>
      <c r="R984">
        <v>1.5068778213267414E-3</v>
      </c>
      <c r="S984">
        <v>0.12188283680842035</v>
      </c>
      <c r="T984">
        <v>0.85015458167076507</v>
      </c>
      <c r="U984">
        <v>0</v>
      </c>
      <c r="V984">
        <v>0.2063380317172272</v>
      </c>
      <c r="W984">
        <v>9.4565570484416273E-2</v>
      </c>
      <c r="X984">
        <v>2.8695202896488022E-2</v>
      </c>
      <c r="Y984">
        <v>4.101224687511092E-3</v>
      </c>
    </row>
    <row r="985" spans="1:25" x14ac:dyDescent="0.25">
      <c r="A985" s="1098"/>
      <c r="B985" s="1457">
        <v>735</v>
      </c>
      <c r="C985" s="1102">
        <v>1.0037677203533661</v>
      </c>
      <c r="D985" s="1102">
        <v>0.99953599066485121</v>
      </c>
      <c r="E985" s="1102">
        <v>1.0108035502989909</v>
      </c>
      <c r="F985" s="1102">
        <v>0.97363445072871435</v>
      </c>
      <c r="G985" s="1102">
        <v>1.0025555919979849</v>
      </c>
      <c r="H985" s="1102">
        <v>1.0260224242171812</v>
      </c>
      <c r="I985" s="1102">
        <v>0.99327536193854649</v>
      </c>
      <c r="K985">
        <v>1.5394553277826057</v>
      </c>
      <c r="L985">
        <v>0</v>
      </c>
      <c r="M985">
        <v>1.5571912697375694E-3</v>
      </c>
      <c r="N985">
        <v>0.14804713403196487</v>
      </c>
      <c r="O985">
        <v>0.1193123302436335</v>
      </c>
      <c r="P985">
        <v>1.5492181944496607E-2</v>
      </c>
      <c r="Q985">
        <v>9.0564729131371326E-4</v>
      </c>
      <c r="R985">
        <v>1.5537352985891804E-3</v>
      </c>
      <c r="S985">
        <v>0.12022686037516321</v>
      </c>
      <c r="T985">
        <v>0.80279885245002447</v>
      </c>
      <c r="U985">
        <v>0</v>
      </c>
      <c r="V985">
        <v>0.20407366599463581</v>
      </c>
      <c r="W985">
        <v>9.663705007456394E-2</v>
      </c>
      <c r="X985">
        <v>2.7736306053900345E-2</v>
      </c>
      <c r="Y985">
        <v>4.2287552940562228E-3</v>
      </c>
    </row>
    <row r="986" spans="1:25" x14ac:dyDescent="0.25">
      <c r="A986" s="1098"/>
      <c r="B986" s="1457">
        <v>736</v>
      </c>
      <c r="C986" s="1102">
        <v>1.0159574693908626</v>
      </c>
      <c r="D986" s="1102">
        <v>1.0084544574548155</v>
      </c>
      <c r="E986" s="1102">
        <v>1.0030402351867114</v>
      </c>
      <c r="F986" s="1102">
        <v>1.0218504281000558</v>
      </c>
      <c r="G986" s="1102">
        <v>0.98885953705530771</v>
      </c>
      <c r="H986" s="1102">
        <v>1.0119310553637146</v>
      </c>
      <c r="I986" s="1102">
        <v>1.0138222443146143</v>
      </c>
      <c r="K986">
        <v>1.5752942845546536</v>
      </c>
      <c r="L986">
        <v>0</v>
      </c>
      <c r="M986">
        <v>1.5412637892121858E-3</v>
      </c>
      <c r="N986">
        <v>0.14313422927315736</v>
      </c>
      <c r="O986">
        <v>0.12170182405899765</v>
      </c>
      <c r="P986">
        <v>1.5956288588208259E-2</v>
      </c>
      <c r="Q986">
        <v>8.8448576157526874E-4</v>
      </c>
      <c r="R986">
        <v>1.5378061012369674E-3</v>
      </c>
      <c r="S986">
        <v>0.11983955019987369</v>
      </c>
      <c r="T986">
        <v>0.84307668280690562</v>
      </c>
      <c r="U986">
        <v>0</v>
      </c>
      <c r="V986">
        <v>0.2046669827470983</v>
      </c>
      <c r="W986">
        <v>9.3859908781981263E-2</v>
      </c>
      <c r="X986">
        <v>2.7992388754906936E-2</v>
      </c>
      <c r="Y986">
        <v>4.1854012699219954E-3</v>
      </c>
    </row>
    <row r="987" spans="1:25" x14ac:dyDescent="0.25">
      <c r="A987" s="1098"/>
      <c r="B987" s="1457">
        <v>737</v>
      </c>
      <c r="C987" s="1102">
        <v>0.96927899025923137</v>
      </c>
      <c r="D987" s="1102">
        <v>0.96980829012774461</v>
      </c>
      <c r="E987" s="1102">
        <v>1.0001219650277033</v>
      </c>
      <c r="F987" s="1102">
        <v>0.99139925381644844</v>
      </c>
      <c r="G987" s="1102">
        <v>0.97149578817259863</v>
      </c>
      <c r="H987" s="1102">
        <v>1.0105493451146192</v>
      </c>
      <c r="I987" s="1102">
        <v>1.0084886400474427</v>
      </c>
      <c r="K987">
        <v>1.5776387151553266</v>
      </c>
      <c r="L987">
        <v>0</v>
      </c>
      <c r="M987">
        <v>1.649736736577251E-3</v>
      </c>
      <c r="N987">
        <v>0.15186296491675874</v>
      </c>
      <c r="O987">
        <v>0.12373472828405975</v>
      </c>
      <c r="P987">
        <v>1.5721716921614018E-2</v>
      </c>
      <c r="Q987">
        <v>9.3884263797860154E-4</v>
      </c>
      <c r="R987">
        <v>1.6460330836334102E-3</v>
      </c>
      <c r="S987">
        <v>0.12727910332802805</v>
      </c>
      <c r="T987">
        <v>0.81814381392809754</v>
      </c>
      <c r="U987">
        <v>0</v>
      </c>
      <c r="V987">
        <v>0.20748462736012685</v>
      </c>
      <c r="W987">
        <v>9.9756413250793236E-2</v>
      </c>
      <c r="X987">
        <v>2.8240248741822332E-2</v>
      </c>
      <c r="Y987">
        <v>4.4799594389899541E-3</v>
      </c>
    </row>
    <row r="988" spans="1:25" x14ac:dyDescent="0.25">
      <c r="A988" s="1098"/>
      <c r="B988" s="1457">
        <v>738</v>
      </c>
      <c r="C988" s="1102">
        <v>1.0099509495505983</v>
      </c>
      <c r="D988" s="1102">
        <v>0.99369992530918738</v>
      </c>
      <c r="E988" s="1102">
        <v>0.98228613103717355</v>
      </c>
      <c r="F988" s="1102">
        <v>1.0003463989447436</v>
      </c>
      <c r="G988" s="1102">
        <v>1.0098956928117151</v>
      </c>
      <c r="H988" s="1102">
        <v>0.99691061022001737</v>
      </c>
      <c r="I988" s="1102">
        <v>1.007462711796377</v>
      </c>
      <c r="K988">
        <v>1.5534123414956027</v>
      </c>
      <c r="L988">
        <v>0</v>
      </c>
      <c r="M988">
        <v>1.6047005500825903E-3</v>
      </c>
      <c r="N988">
        <v>0.13995879236772263</v>
      </c>
      <c r="O988">
        <v>0.12122119755838152</v>
      </c>
      <c r="P988">
        <v>1.54940713422948E-2</v>
      </c>
      <c r="Q988">
        <v>8.7588011749539709E-4</v>
      </c>
      <c r="R988">
        <v>1.6010479969525524E-3</v>
      </c>
      <c r="S988">
        <v>0.11946075931950755</v>
      </c>
      <c r="T988">
        <v>0.82671025990628577</v>
      </c>
      <c r="U988">
        <v>0</v>
      </c>
      <c r="V988">
        <v>0.20540817793710525</v>
      </c>
      <c r="W988">
        <v>9.292340091729992E-2</v>
      </c>
      <c r="X988">
        <v>2.7005929720266355E-2</v>
      </c>
      <c r="Y988">
        <v>4.3575248623744971E-3</v>
      </c>
    </row>
    <row r="989" spans="1:25" x14ac:dyDescent="0.25">
      <c r="A989" s="1098"/>
      <c r="B989" s="1457">
        <v>739</v>
      </c>
      <c r="C989" s="1102">
        <v>1.0104579426110554</v>
      </c>
      <c r="D989" s="1102">
        <v>1.036018083380748</v>
      </c>
      <c r="E989" s="1102">
        <v>0.97301732871244795</v>
      </c>
      <c r="F989" s="1102">
        <v>0.98882665608208131</v>
      </c>
      <c r="G989" s="1102">
        <v>0.99035882281020893</v>
      </c>
      <c r="H989" s="1102">
        <v>1.0179253631014533</v>
      </c>
      <c r="I989" s="1102">
        <v>1.0313375089435557</v>
      </c>
      <c r="K989">
        <v>1.5369037534299648</v>
      </c>
      <c r="L989">
        <v>0</v>
      </c>
      <c r="M989">
        <v>1.6290094758346122E-3</v>
      </c>
      <c r="N989">
        <v>0.13815324339639778</v>
      </c>
      <c r="O989">
        <v>0.1186027436072693</v>
      </c>
      <c r="P989">
        <v>1.5247068816197867E-2</v>
      </c>
      <c r="Q989">
        <v>8.5262524071711375E-4</v>
      </c>
      <c r="R989">
        <v>1.6253497018956235E-3</v>
      </c>
      <c r="S989">
        <v>0.12080639685002147</v>
      </c>
      <c r="T989">
        <v>0.81780171237089561</v>
      </c>
      <c r="U989">
        <v>0</v>
      </c>
      <c r="V989">
        <v>0.20264156297070332</v>
      </c>
      <c r="W989">
        <v>9.2240395315966797E-2</v>
      </c>
      <c r="X989">
        <v>2.6137998543559238E-2</v>
      </c>
      <c r="Y989">
        <v>4.4236660921746556E-3</v>
      </c>
    </row>
    <row r="990" spans="1:25" x14ac:dyDescent="0.25">
      <c r="A990" s="1098"/>
      <c r="B990" s="1457">
        <v>740</v>
      </c>
      <c r="C990" s="1102">
        <v>1.0277365023327902</v>
      </c>
      <c r="D990" s="1102">
        <v>1.0282706178597185</v>
      </c>
      <c r="E990" s="1102">
        <v>0.96894914228039286</v>
      </c>
      <c r="F990" s="1102">
        <v>0.99574211562035853</v>
      </c>
      <c r="G990" s="1102">
        <v>1.0237943018731404</v>
      </c>
      <c r="H990" s="1102">
        <v>0.97094891768541203</v>
      </c>
      <c r="I990" s="1102">
        <v>1.0098787066037247</v>
      </c>
      <c r="K990">
        <v>1.5218949424833534</v>
      </c>
      <c r="L990">
        <v>0</v>
      </c>
      <c r="M990">
        <v>1.5497932205554941E-3</v>
      </c>
      <c r="N990">
        <v>0.12981284854267583</v>
      </c>
      <c r="O990">
        <v>0.11856056183306359</v>
      </c>
      <c r="P990">
        <v>1.5188849841087008E-2</v>
      </c>
      <c r="Q990">
        <v>8.3721719617973664E-4</v>
      </c>
      <c r="R990">
        <v>1.5461537120556937E-3</v>
      </c>
      <c r="S990">
        <v>0.1133448195755874</v>
      </c>
      <c r="T990">
        <v>0.82379229753936567</v>
      </c>
      <c r="U990">
        <v>0</v>
      </c>
      <c r="V990">
        <v>0.2033142555636368</v>
      </c>
      <c r="W990">
        <v>8.6886487221941977E-2</v>
      </c>
      <c r="X990">
        <v>2.5953123963534511E-2</v>
      </c>
      <c r="Y990">
        <v>4.2081207147814008E-3</v>
      </c>
    </row>
    <row r="991" spans="1:25" x14ac:dyDescent="0.25">
      <c r="A991" s="1098"/>
      <c r="B991" s="1457">
        <v>741</v>
      </c>
      <c r="C991" s="1102">
        <v>1.0036663676823414</v>
      </c>
      <c r="D991" s="1102">
        <v>1.0068466809420149</v>
      </c>
      <c r="E991" s="1102">
        <v>1.0128768741365359</v>
      </c>
      <c r="F991" s="1102">
        <v>0.9958136961581856</v>
      </c>
      <c r="G991" s="1102">
        <v>1.006276304764419</v>
      </c>
      <c r="H991" s="1102">
        <v>1.0185720282409596</v>
      </c>
      <c r="I991" s="1102">
        <v>1.0066830567086955</v>
      </c>
      <c r="K991">
        <v>1.5592747225140879</v>
      </c>
      <c r="L991">
        <v>0</v>
      </c>
      <c r="M991">
        <v>1.5357092967266802E-3</v>
      </c>
      <c r="N991">
        <v>0.14691919339882295</v>
      </c>
      <c r="O991">
        <v>0.12055762253988042</v>
      </c>
      <c r="P991">
        <v>1.5790274089357771E-2</v>
      </c>
      <c r="Q991">
        <v>9.0503358599050565E-4</v>
      </c>
      <c r="R991">
        <v>1.5322778534890248E-3</v>
      </c>
      <c r="S991">
        <v>0.12088820221352482</v>
      </c>
      <c r="T991">
        <v>0.82095098295707225</v>
      </c>
      <c r="U991">
        <v>0</v>
      </c>
      <c r="V991">
        <v>0.20519337784172378</v>
      </c>
      <c r="W991">
        <v>9.5783786240682636E-2</v>
      </c>
      <c r="X991">
        <v>2.8119325888331628E-2</v>
      </c>
      <c r="Y991">
        <v>4.1703552019384743E-3</v>
      </c>
    </row>
    <row r="992" spans="1:25" x14ac:dyDescent="0.25">
      <c r="A992" s="1098"/>
      <c r="B992" s="1457">
        <v>742</v>
      </c>
      <c r="C992" s="1102">
        <v>0.99022093161010272</v>
      </c>
      <c r="D992" s="1102">
        <v>1.0116753803408649</v>
      </c>
      <c r="E992" s="1102">
        <v>1.0038840525587323</v>
      </c>
      <c r="F992" s="1102">
        <v>1.0070727010304765</v>
      </c>
      <c r="G992" s="1102">
        <v>0.99820921732951184</v>
      </c>
      <c r="H992" s="1102">
        <v>0.9962011325346668</v>
      </c>
      <c r="I992" s="1102">
        <v>1.022759818802542</v>
      </c>
      <c r="K992">
        <v>1.5687270384312839</v>
      </c>
      <c r="L992">
        <v>0</v>
      </c>
      <c r="M992">
        <v>1.5466875805140669E-3</v>
      </c>
      <c r="N992">
        <v>0.14399823413455159</v>
      </c>
      <c r="O992">
        <v>0.12185396586872227</v>
      </c>
      <c r="P992">
        <v>1.5855987828553849E-2</v>
      </c>
      <c r="Q992">
        <v>9.0710919197035619E-4</v>
      </c>
      <c r="R992">
        <v>1.5431507463287079E-3</v>
      </c>
      <c r="S992">
        <v>0.12228403739074262</v>
      </c>
      <c r="T992">
        <v>0.83082833095609865</v>
      </c>
      <c r="U992">
        <v>0</v>
      </c>
      <c r="V992">
        <v>0.20639575338435262</v>
      </c>
      <c r="W992">
        <v>9.4379262154530366E-2</v>
      </c>
      <c r="X992">
        <v>2.8027946723948302E-2</v>
      </c>
      <c r="Y992">
        <v>4.1999476319999323E-3</v>
      </c>
    </row>
    <row r="993" spans="1:25" x14ac:dyDescent="0.25">
      <c r="A993" s="1098"/>
      <c r="B993" s="1457">
        <v>743</v>
      </c>
      <c r="C993" s="1102">
        <v>0.9786321842200908</v>
      </c>
      <c r="D993" s="1102">
        <v>1.0042083530678727</v>
      </c>
      <c r="E993" s="1102">
        <v>0.9960771581878477</v>
      </c>
      <c r="F993" s="1102">
        <v>0.96445154591191395</v>
      </c>
      <c r="G993" s="1102">
        <v>1.0253138432285978</v>
      </c>
      <c r="H993" s="1102">
        <v>0.99787864328077236</v>
      </c>
      <c r="I993" s="1102">
        <v>1.0037594287224794</v>
      </c>
      <c r="K993">
        <v>1.532272317746336</v>
      </c>
      <c r="L993">
        <v>0</v>
      </c>
      <c r="M993">
        <v>1.5931528041735741E-3</v>
      </c>
      <c r="N993">
        <v>0.14486626287180215</v>
      </c>
      <c r="O993">
        <v>0.11977850935091053</v>
      </c>
      <c r="P993">
        <v>1.5288142304154496E-2</v>
      </c>
      <c r="Q993">
        <v>9.1315352375440735E-4</v>
      </c>
      <c r="R993">
        <v>1.5895048687539787E-3</v>
      </c>
      <c r="S993">
        <v>0.12174934067941098</v>
      </c>
      <c r="T993">
        <v>0.79616320853932632</v>
      </c>
      <c r="U993">
        <v>0</v>
      </c>
      <c r="V993">
        <v>0.20659552410387125</v>
      </c>
      <c r="W993">
        <v>9.5389775185977035E-2</v>
      </c>
      <c r="X993">
        <v>2.7205940849937243E-2</v>
      </c>
      <c r="Y993">
        <v>4.3261082726091683E-3</v>
      </c>
    </row>
    <row r="994" spans="1:25" x14ac:dyDescent="0.25">
      <c r="A994" s="1098"/>
      <c r="B994" s="1457">
        <v>744</v>
      </c>
      <c r="C994" s="1102">
        <v>0.9850717787731601</v>
      </c>
      <c r="D994" s="1102">
        <v>1.0083153115028303</v>
      </c>
      <c r="E994" s="1102">
        <v>0.99049541751499626</v>
      </c>
      <c r="F994" s="1102">
        <v>0.95880073518917364</v>
      </c>
      <c r="G994" s="1102">
        <v>0.98052250821261255</v>
      </c>
      <c r="H994" s="1102">
        <v>0.95461356723107216</v>
      </c>
      <c r="I994" s="1102">
        <v>1.0394291982685795</v>
      </c>
      <c r="K994">
        <v>1.5094834334413199</v>
      </c>
      <c r="L994">
        <v>0</v>
      </c>
      <c r="M994">
        <v>1.528269099489276E-3</v>
      </c>
      <c r="N994">
        <v>0.1366269664988416</v>
      </c>
      <c r="O994">
        <v>0.1188804247631655</v>
      </c>
      <c r="P994">
        <v>1.5119761553904451E-2</v>
      </c>
      <c r="Q994">
        <v>9.0045922087715038E-4</v>
      </c>
      <c r="R994">
        <v>1.5246088317989331E-3</v>
      </c>
      <c r="S994">
        <v>0.12135400202978602</v>
      </c>
      <c r="T994">
        <v>0.79185286752136608</v>
      </c>
      <c r="U994">
        <v>0</v>
      </c>
      <c r="V994">
        <v>0.20358925318070034</v>
      </c>
      <c r="W994">
        <v>9.0265007299772632E-2</v>
      </c>
      <c r="X994">
        <v>2.6748868987606245E-2</v>
      </c>
      <c r="Y994">
        <v>4.149482652990367E-3</v>
      </c>
    </row>
    <row r="995" spans="1:25" x14ac:dyDescent="0.25">
      <c r="A995" s="1098"/>
      <c r="B995" s="1457">
        <v>745</v>
      </c>
      <c r="C995" s="1102">
        <v>1.0445690248534869</v>
      </c>
      <c r="D995" s="1102">
        <v>0.98447506103764959</v>
      </c>
      <c r="E995" s="1102">
        <v>1.0236564301032172</v>
      </c>
      <c r="F995" s="1102">
        <v>1.0155607886367464</v>
      </c>
      <c r="G995" s="1102">
        <v>0.96918656374640755</v>
      </c>
      <c r="H995" s="1102">
        <v>0.97777871469366295</v>
      </c>
      <c r="I995" s="1102">
        <v>0.98409675400579322</v>
      </c>
      <c r="K995">
        <v>1.5502771368053243</v>
      </c>
      <c r="L995">
        <v>0</v>
      </c>
      <c r="M995">
        <v>1.4089959464158163E-3</v>
      </c>
      <c r="N995">
        <v>0.13924248792948934</v>
      </c>
      <c r="O995">
        <v>0.12084856748889314</v>
      </c>
      <c r="P995">
        <v>1.5967615116364197E-2</v>
      </c>
      <c r="Q995">
        <v>8.8721177462471978E-4</v>
      </c>
      <c r="R995">
        <v>1.4057428687808346E-3</v>
      </c>
      <c r="S995">
        <v>0.11235058241387395</v>
      </c>
      <c r="T995">
        <v>0.83651431466802584</v>
      </c>
      <c r="U995">
        <v>0</v>
      </c>
      <c r="V995">
        <v>0.20191593243609673</v>
      </c>
      <c r="W995">
        <v>9.020748318683601E-2</v>
      </c>
      <c r="X995">
        <v>2.8520226182946369E-2</v>
      </c>
      <c r="Y995">
        <v>3.8259686858092795E-3</v>
      </c>
    </row>
    <row r="996" spans="1:25" x14ac:dyDescent="0.25">
      <c r="A996" s="1098"/>
      <c r="B996" s="1457">
        <v>746</v>
      </c>
      <c r="C996" s="1102">
        <v>0.989786780637536</v>
      </c>
      <c r="D996" s="1102">
        <v>0.95650950060792905</v>
      </c>
      <c r="E996" s="1102">
        <v>1.0204393795815583</v>
      </c>
      <c r="F996" s="1102">
        <v>0.97841182366252011</v>
      </c>
      <c r="G996" s="1102">
        <v>1.0027511338394393</v>
      </c>
      <c r="H996" s="1102">
        <v>1.0097008077152052</v>
      </c>
      <c r="I996" s="1102">
        <v>1.0129705966869094</v>
      </c>
      <c r="K996">
        <v>1.5630511169748333</v>
      </c>
      <c r="L996">
        <v>0</v>
      </c>
      <c r="M996">
        <v>1.5604348986775068E-3</v>
      </c>
      <c r="N996">
        <v>0.15272956795003095</v>
      </c>
      <c r="O996">
        <v>0.12226457507766254</v>
      </c>
      <c r="P996">
        <v>1.5770446745993795E-2</v>
      </c>
      <c r="Q996">
        <v>9.4405491819238004E-4</v>
      </c>
      <c r="R996">
        <v>1.5569386365709872E-3</v>
      </c>
      <c r="S996">
        <v>0.12624638579672315</v>
      </c>
      <c r="T996">
        <v>0.80612036936982545</v>
      </c>
      <c r="U996">
        <v>0</v>
      </c>
      <c r="V996">
        <v>0.20685996201305337</v>
      </c>
      <c r="W996">
        <v>9.9131118297956899E-2</v>
      </c>
      <c r="X996">
        <v>2.8750659343436246E-2</v>
      </c>
      <c r="Y996">
        <v>4.23747372406262E-3</v>
      </c>
    </row>
    <row r="997" spans="1:25" x14ac:dyDescent="0.25">
      <c r="A997" s="1098"/>
      <c r="B997" s="1457">
        <v>747</v>
      </c>
      <c r="C997" s="1102">
        <v>1.003099094022337</v>
      </c>
      <c r="D997" s="1102">
        <v>0.99385713276569909</v>
      </c>
      <c r="E997" s="1102">
        <v>1.015017751109784</v>
      </c>
      <c r="F997" s="1102">
        <v>1.0085158026395398</v>
      </c>
      <c r="G997" s="1102">
        <v>1.0162165235729907</v>
      </c>
      <c r="H997" s="1102">
        <v>0.96808603254591574</v>
      </c>
      <c r="I997" s="1102">
        <v>0.98893794508452748</v>
      </c>
      <c r="K997">
        <v>1.5582200435047762</v>
      </c>
      <c r="L997">
        <v>0</v>
      </c>
      <c r="M997">
        <v>1.4660264658948739E-3</v>
      </c>
      <c r="N997">
        <v>0.14114644074304644</v>
      </c>
      <c r="O997">
        <v>0.12204167134689593</v>
      </c>
      <c r="P997">
        <v>1.5909619610967204E-2</v>
      </c>
      <c r="Q997">
        <v>9.1226886120039056E-4</v>
      </c>
      <c r="R997">
        <v>1.4625905277372716E-3</v>
      </c>
      <c r="S997">
        <v>0.11586264292270938</v>
      </c>
      <c r="T997">
        <v>0.8312810685959714</v>
      </c>
      <c r="U997">
        <v>0</v>
      </c>
      <c r="V997">
        <v>0.20674162834720969</v>
      </c>
      <c r="W997">
        <v>9.1904512132959165E-2</v>
      </c>
      <c r="X997">
        <v>2.8442937608309314E-2</v>
      </c>
      <c r="Y997">
        <v>3.9806892736629629E-3</v>
      </c>
    </row>
    <row r="998" spans="1:25" x14ac:dyDescent="0.25">
      <c r="A998" s="1098"/>
      <c r="B998" s="1457">
        <v>748</v>
      </c>
      <c r="C998" s="1102">
        <v>0.99655241362037228</v>
      </c>
      <c r="D998" s="1102">
        <v>0.98972872485414787</v>
      </c>
      <c r="E998" s="1102">
        <v>0.9712258192881903</v>
      </c>
      <c r="F998" s="1102">
        <v>1.0258665642169396</v>
      </c>
      <c r="G998" s="1102">
        <v>0.98018008678050694</v>
      </c>
      <c r="H998" s="1102">
        <v>0.97786532835073725</v>
      </c>
      <c r="I998" s="1102">
        <v>1.0099012911607137</v>
      </c>
      <c r="K998">
        <v>1.5777976304306613</v>
      </c>
      <c r="L998">
        <v>0</v>
      </c>
      <c r="M998">
        <v>1.63734956783409E-3</v>
      </c>
      <c r="N998">
        <v>0.13809975379601083</v>
      </c>
      <c r="O998">
        <v>0.12390763269836601</v>
      </c>
      <c r="P998">
        <v>1.5680921302289954E-2</v>
      </c>
      <c r="Q998">
        <v>8.7881599166739145E-4</v>
      </c>
      <c r="R998">
        <v>1.6335562466852367E-3</v>
      </c>
      <c r="S998">
        <v>0.12016432139203562</v>
      </c>
      <c r="T998">
        <v>0.84855826907536247</v>
      </c>
      <c r="U998">
        <v>0</v>
      </c>
      <c r="V998">
        <v>0.20661949655377024</v>
      </c>
      <c r="W998">
        <v>9.230510491992841E-2</v>
      </c>
      <c r="X998">
        <v>2.7141106420572651E-2</v>
      </c>
      <c r="Y998">
        <v>4.4460016018052209E-3</v>
      </c>
    </row>
    <row r="999" spans="1:25" x14ac:dyDescent="0.25">
      <c r="A999" s="1098"/>
      <c r="B999" s="1457">
        <v>749</v>
      </c>
      <c r="C999" s="1102">
        <v>1.035660887818471</v>
      </c>
      <c r="D999" s="1102">
        <v>0.9935924167328738</v>
      </c>
      <c r="E999" s="1102">
        <v>0.99093138366588496</v>
      </c>
      <c r="F999" s="1102">
        <v>0.96376935316205847</v>
      </c>
      <c r="G999" s="1102">
        <v>1.0198045566661362</v>
      </c>
      <c r="H999" s="1102">
        <v>0.99364248207911887</v>
      </c>
      <c r="I999" s="1102">
        <v>0.98627396236665821</v>
      </c>
      <c r="K999">
        <v>1.5030086743923254</v>
      </c>
      <c r="L999">
        <v>0</v>
      </c>
      <c r="M999">
        <v>1.5306192362354062E-3</v>
      </c>
      <c r="N999">
        <v>0.13703253370054228</v>
      </c>
      <c r="O999">
        <v>0.1173639037912912</v>
      </c>
      <c r="P999">
        <v>1.505376578994579E-2</v>
      </c>
      <c r="Q999">
        <v>8.61919825521198E-4</v>
      </c>
      <c r="R999">
        <v>1.5271203790760816E-3</v>
      </c>
      <c r="S999">
        <v>0.11374456197478185</v>
      </c>
      <c r="T999">
        <v>0.79592847887503337</v>
      </c>
      <c r="U999">
        <v>0</v>
      </c>
      <c r="V999">
        <v>0.20189346121072824</v>
      </c>
      <c r="W999">
        <v>9.0509324310838066E-2</v>
      </c>
      <c r="X999">
        <v>2.6467905514055666E-2</v>
      </c>
      <c r="Y999">
        <v>4.1563182567474271E-3</v>
      </c>
    </row>
    <row r="1000" spans="1:25" x14ac:dyDescent="0.25">
      <c r="A1000" s="1098"/>
      <c r="B1000" s="1457">
        <v>750</v>
      </c>
      <c r="C1000" s="1102">
        <v>1.0241565934356314</v>
      </c>
      <c r="D1000" s="1102">
        <v>1.0049425334085267</v>
      </c>
      <c r="E1000" s="1102">
        <v>1.0236191857457859</v>
      </c>
      <c r="F1000" s="1102">
        <v>0.97957065205285232</v>
      </c>
      <c r="G1000" s="1102">
        <v>0.9663548520606362</v>
      </c>
      <c r="H1000" s="1102">
        <v>0.99358333507388197</v>
      </c>
      <c r="I1000" s="1102">
        <v>1.0267218949640311</v>
      </c>
      <c r="K1000">
        <v>1.5278166463504996</v>
      </c>
      <c r="L1000">
        <v>0</v>
      </c>
      <c r="M1000">
        <v>1.4374847415038318E-3</v>
      </c>
      <c r="N1000">
        <v>0.14204466707096353</v>
      </c>
      <c r="O1000">
        <v>0.11845475502848615</v>
      </c>
      <c r="P1000">
        <v>1.5635197232529131E-2</v>
      </c>
      <c r="Q1000">
        <v>8.9744307404933019E-4</v>
      </c>
      <c r="R1000">
        <v>1.4341937688348253E-3</v>
      </c>
      <c r="S1000">
        <v>0.11902195188269762</v>
      </c>
      <c r="T1000">
        <v>0.80687172982591648</v>
      </c>
      <c r="U1000">
        <v>0</v>
      </c>
      <c r="V1000">
        <v>0.20094703751608958</v>
      </c>
      <c r="W1000">
        <v>9.2024859064207432E-2</v>
      </c>
      <c r="X1000">
        <v>2.8018893971308727E-2</v>
      </c>
      <c r="Y1000">
        <v>3.9034026569195602E-3</v>
      </c>
    </row>
    <row r="1001" spans="1:25" x14ac:dyDescent="0.25">
      <c r="A1001" s="1098"/>
      <c r="B1001" s="1457">
        <v>751</v>
      </c>
      <c r="C1001" s="1102">
        <v>1.0166072066213356</v>
      </c>
      <c r="D1001" s="1102">
        <v>1.0236762706545477</v>
      </c>
      <c r="E1001" s="1102">
        <v>0.97511007609357436</v>
      </c>
      <c r="F1001" s="1102">
        <v>1.0241000833067841</v>
      </c>
      <c r="G1001" s="1102">
        <v>1.0124128220743827</v>
      </c>
      <c r="H1001" s="1102">
        <v>1.0081248435298251</v>
      </c>
      <c r="I1001" s="1102">
        <v>1.0243251071884638</v>
      </c>
      <c r="K1001">
        <v>1.5700310997444058</v>
      </c>
      <c r="L1001">
        <v>0</v>
      </c>
      <c r="M1001">
        <v>1.6123470470886217E-3</v>
      </c>
      <c r="N1001">
        <v>0.13760763736683901</v>
      </c>
      <c r="O1001">
        <v>0.12123921843702443</v>
      </c>
      <c r="P1001">
        <v>1.5678939285811159E-2</v>
      </c>
      <c r="Q1001">
        <v>8.5341564494496522E-4</v>
      </c>
      <c r="R1001">
        <v>1.6087076986228148E-3</v>
      </c>
      <c r="S1001">
        <v>0.11958444161866247</v>
      </c>
      <c r="T1001">
        <v>0.84683106366380179</v>
      </c>
      <c r="U1001">
        <v>0</v>
      </c>
      <c r="V1001">
        <v>0.20529282827275422</v>
      </c>
      <c r="W1001">
        <v>9.1759538922055503E-2</v>
      </c>
      <c r="X1001">
        <v>2.6809283835675893E-2</v>
      </c>
      <c r="Y1001">
        <v>4.3783720453009749E-3</v>
      </c>
    </row>
    <row r="1002" spans="1:25" x14ac:dyDescent="0.25">
      <c r="A1002" s="1098"/>
      <c r="B1002" s="1457">
        <v>752</v>
      </c>
      <c r="C1002" s="1102">
        <v>0.98604862307946306</v>
      </c>
      <c r="D1002" s="1102">
        <v>0.9938287616685979</v>
      </c>
      <c r="E1002" s="1102">
        <v>1.0326337283123157</v>
      </c>
      <c r="F1002" s="1102">
        <v>0.97337846720568433</v>
      </c>
      <c r="G1002" s="1102">
        <v>1.0135076729754837</v>
      </c>
      <c r="H1002" s="1102">
        <v>0.9770607120751037</v>
      </c>
      <c r="I1002" s="1102">
        <v>0.97386735790339174</v>
      </c>
      <c r="K1002">
        <v>1.5349745106004988</v>
      </c>
      <c r="L1002">
        <v>0</v>
      </c>
      <c r="M1002">
        <v>1.4451771205320132E-3</v>
      </c>
      <c r="N1002">
        <v>0.14673306290116292</v>
      </c>
      <c r="O1002">
        <v>0.12038397722826649</v>
      </c>
      <c r="P1002">
        <v>1.5698088581574718E-2</v>
      </c>
      <c r="Q1002">
        <v>9.4494326581432493E-4</v>
      </c>
      <c r="R1002">
        <v>1.4418075967340929E-3</v>
      </c>
      <c r="S1002">
        <v>0.11650133899205214</v>
      </c>
      <c r="T1002">
        <v>0.80119996191004383</v>
      </c>
      <c r="U1002">
        <v>0</v>
      </c>
      <c r="V1002">
        <v>0.20626650550391123</v>
      </c>
      <c r="W1002">
        <v>9.4565411874199257E-2</v>
      </c>
      <c r="X1002">
        <v>2.8760464880707402E-2</v>
      </c>
      <c r="Y1002">
        <v>3.9241249865636738E-3</v>
      </c>
    </row>
    <row r="1003" spans="1:25" x14ac:dyDescent="0.25">
      <c r="A1003" s="1098"/>
      <c r="B1003" s="1457">
        <v>753</v>
      </c>
      <c r="C1003" s="1102">
        <v>1.0128290669276119</v>
      </c>
      <c r="D1003" s="1102">
        <v>1.0098439467325864</v>
      </c>
      <c r="E1003" s="1102">
        <v>0.99543251062776394</v>
      </c>
      <c r="F1003" s="1102">
        <v>1.0325592994356887</v>
      </c>
      <c r="G1003" s="1102">
        <v>0.99075627811892031</v>
      </c>
      <c r="H1003" s="1102">
        <v>0.97823454949702948</v>
      </c>
      <c r="I1003" s="1102">
        <v>0.97320393387737447</v>
      </c>
      <c r="K1003">
        <v>1.5704741126143589</v>
      </c>
      <c r="L1003">
        <v>0</v>
      </c>
      <c r="M1003">
        <v>1.5179430130669903E-3</v>
      </c>
      <c r="N1003">
        <v>0.13775457619970072</v>
      </c>
      <c r="O1003">
        <v>0.12255314609010466</v>
      </c>
      <c r="P1003">
        <v>1.5908037618873359E-2</v>
      </c>
      <c r="Q1003">
        <v>8.7975963864355441E-4</v>
      </c>
      <c r="R1003">
        <v>1.5144214241562017E-3</v>
      </c>
      <c r="S1003">
        <v>0.11276521717540335</v>
      </c>
      <c r="T1003">
        <v>0.85243078897073854</v>
      </c>
      <c r="U1003">
        <v>0</v>
      </c>
      <c r="V1003">
        <v>0.20550013785870419</v>
      </c>
      <c r="W1003">
        <v>9.0741835406041013E-2</v>
      </c>
      <c r="X1003">
        <v>2.7822379357394452E-2</v>
      </c>
      <c r="Y1003">
        <v>4.1217558876648795E-3</v>
      </c>
    </row>
    <row r="1004" spans="1:25" x14ac:dyDescent="0.25">
      <c r="A1004" s="1098"/>
      <c r="B1004" s="1457">
        <v>754</v>
      </c>
      <c r="C1004" s="1102">
        <v>0.96627157038762479</v>
      </c>
      <c r="D1004" s="1102">
        <v>0.99491827563307844</v>
      </c>
      <c r="E1004" s="1102">
        <v>1.0033808004443086</v>
      </c>
      <c r="F1004" s="1102">
        <v>0.9785316669448374</v>
      </c>
      <c r="G1004" s="1102">
        <v>1.0296918525905148</v>
      </c>
      <c r="H1004" s="1102">
        <v>1.0233081507287383</v>
      </c>
      <c r="I1004" s="1102">
        <v>1.0387135874499809</v>
      </c>
      <c r="K1004">
        <v>1.5698347424764441</v>
      </c>
      <c r="L1004">
        <v>0</v>
      </c>
      <c r="M1004">
        <v>1.6386012333009258E-3</v>
      </c>
      <c r="N1004">
        <v>0.15233257549139981</v>
      </c>
      <c r="O1004">
        <v>0.1218234180781405</v>
      </c>
      <c r="P1004">
        <v>1.567567574531006E-2</v>
      </c>
      <c r="Q1004">
        <v>9.3533634769941932E-4</v>
      </c>
      <c r="R1004">
        <v>1.634948628179091E-3</v>
      </c>
      <c r="S1004">
        <v>0.13050147280869828</v>
      </c>
      <c r="T1004">
        <v>0.80731461696211071</v>
      </c>
      <c r="U1004">
        <v>0</v>
      </c>
      <c r="V1004">
        <v>0.20891954499984153</v>
      </c>
      <c r="W1004">
        <v>9.987153483846789E-2</v>
      </c>
      <c r="X1004">
        <v>2.8014428604662883E-2</v>
      </c>
      <c r="Y1004">
        <v>4.4497912052330561E-3</v>
      </c>
    </row>
    <row r="1005" spans="1:25" x14ac:dyDescent="0.25">
      <c r="A1005" s="1098"/>
      <c r="B1005" s="1457">
        <v>755</v>
      </c>
      <c r="C1005" s="1102">
        <v>0.99414595087395408</v>
      </c>
      <c r="D1005" s="1102">
        <v>0.99989662241611987</v>
      </c>
      <c r="E1005" s="1102">
        <v>0.98042677420282609</v>
      </c>
      <c r="F1005" s="1102">
        <v>1.0068985679341946</v>
      </c>
      <c r="G1005" s="1102">
        <v>0.9689533166502301</v>
      </c>
      <c r="H1005" s="1102">
        <v>1.0016882975162746</v>
      </c>
      <c r="I1005" s="1102">
        <v>0.99166090158288922</v>
      </c>
      <c r="K1005">
        <v>1.5632719081205915</v>
      </c>
      <c r="L1005">
        <v>0</v>
      </c>
      <c r="M1005">
        <v>1.6374782527204586E-3</v>
      </c>
      <c r="N1005">
        <v>0.14201747235326048</v>
      </c>
      <c r="O1005">
        <v>0.12222220770989309</v>
      </c>
      <c r="P1005">
        <v>1.5540025034126834E-2</v>
      </c>
      <c r="Q1005">
        <v>8.8586849538784462E-4</v>
      </c>
      <c r="R1005">
        <v>1.6337625851377377E-3</v>
      </c>
      <c r="S1005">
        <v>0.11933635076083852</v>
      </c>
      <c r="T1005">
        <v>0.83224984652194456</v>
      </c>
      <c r="U1005">
        <v>0</v>
      </c>
      <c r="V1005">
        <v>0.20504183696530903</v>
      </c>
      <c r="W1005">
        <v>9.439603596238802E-2</v>
      </c>
      <c r="X1005">
        <v>2.7139416797971709E-2</v>
      </c>
      <c r="Y1005">
        <v>4.4465631870534757E-3</v>
      </c>
    </row>
    <row r="1006" spans="1:25" x14ac:dyDescent="0.25">
      <c r="A1006" s="1098"/>
      <c r="B1006" s="1457">
        <v>756</v>
      </c>
      <c r="C1006" s="1102">
        <v>0.99229144662455815</v>
      </c>
      <c r="D1006" s="1102">
        <v>0.97131913676755555</v>
      </c>
      <c r="E1006" s="1102">
        <v>0.95229998991986331</v>
      </c>
      <c r="F1006" s="1102">
        <v>0.99720533560116664</v>
      </c>
      <c r="G1006" s="1102">
        <v>1.0135001204598104</v>
      </c>
      <c r="H1006" s="1102">
        <v>0.99355821189194249</v>
      </c>
      <c r="I1006" s="1102">
        <v>0.96802991714640019</v>
      </c>
      <c r="K1006">
        <v>1.5553442935986357</v>
      </c>
      <c r="L1006">
        <v>0</v>
      </c>
      <c r="M1006">
        <v>1.7513947638880139E-3</v>
      </c>
      <c r="N1006">
        <v>0.13949209386872419</v>
      </c>
      <c r="O1006">
        <v>0.1229968541656374</v>
      </c>
      <c r="P1006">
        <v>1.5141550892744252E-2</v>
      </c>
      <c r="Q1006">
        <v>8.7161017302693846E-4</v>
      </c>
      <c r="R1006">
        <v>1.7474037062100501E-3</v>
      </c>
      <c r="S1006">
        <v>0.11798372276806615</v>
      </c>
      <c r="T1006">
        <v>0.82611992501038101</v>
      </c>
      <c r="U1006">
        <v>0</v>
      </c>
      <c r="V1006">
        <v>0.20753202317371647</v>
      </c>
      <c r="W1006">
        <v>9.4323067899510615E-2</v>
      </c>
      <c r="X1006">
        <v>2.6131579847678815E-2</v>
      </c>
      <c r="Y1006">
        <v>4.7558568568268136E-3</v>
      </c>
    </row>
    <row r="1007" spans="1:25" x14ac:dyDescent="0.25">
      <c r="A1007" s="1098"/>
      <c r="B1007" s="1457">
        <v>757</v>
      </c>
      <c r="C1007" s="1102">
        <v>0.9905958406406592</v>
      </c>
      <c r="D1007" s="1102">
        <v>1.0045702049781775</v>
      </c>
      <c r="E1007" s="1102">
        <v>0.99872914034304894</v>
      </c>
      <c r="F1007" s="1102">
        <v>0.98284951320561176</v>
      </c>
      <c r="G1007" s="1102">
        <v>0.99261787895954645</v>
      </c>
      <c r="H1007" s="1102">
        <v>1.036752537933431</v>
      </c>
      <c r="I1007" s="1102">
        <v>1.0100780128165603</v>
      </c>
      <c r="K1007">
        <v>1.5570381589258597</v>
      </c>
      <c r="L1007">
        <v>0</v>
      </c>
      <c r="M1007">
        <v>1.6298261044519573E-3</v>
      </c>
      <c r="N1007">
        <v>0.14940702714027046</v>
      </c>
      <c r="O1007">
        <v>0.12045027980358304</v>
      </c>
      <c r="P1007">
        <v>1.5537178544260025E-2</v>
      </c>
      <c r="Q1007">
        <v>9.0448213396755218E-4</v>
      </c>
      <c r="R1007">
        <v>1.6262425050915812E-3</v>
      </c>
      <c r="S1007">
        <v>0.12433509676389769</v>
      </c>
      <c r="T1007">
        <v>0.81117860762640859</v>
      </c>
      <c r="U1007">
        <v>0</v>
      </c>
      <c r="V1007">
        <v>0.20504985593814481</v>
      </c>
      <c r="W1007">
        <v>9.8224461288631673E-2</v>
      </c>
      <c r="X1007">
        <v>2.7528657277893644E-2</v>
      </c>
      <c r="Y1007">
        <v>4.4260960081615574E-3</v>
      </c>
    </row>
    <row r="1008" spans="1:25" x14ac:dyDescent="0.25">
      <c r="A1008" s="1098"/>
      <c r="B1008" s="1457">
        <v>758</v>
      </c>
      <c r="C1008" s="1102">
        <v>1.0453688390005123</v>
      </c>
      <c r="D1008" s="1102">
        <v>1.0006169534620963</v>
      </c>
      <c r="E1008" s="1102">
        <v>1.0026497893492778</v>
      </c>
      <c r="F1008" s="1102">
        <v>0.99723966485298021</v>
      </c>
      <c r="G1008" s="1102">
        <v>0.98594491985416566</v>
      </c>
      <c r="H1008" s="1102">
        <v>0.96014424857864211</v>
      </c>
      <c r="I1008" s="1102">
        <v>0.99161436083642163</v>
      </c>
      <c r="K1008">
        <v>1.5203701332571629</v>
      </c>
      <c r="L1008">
        <v>0</v>
      </c>
      <c r="M1008">
        <v>1.4290413421055156E-3</v>
      </c>
      <c r="N1008">
        <v>0.13254032725885506</v>
      </c>
      <c r="O1008">
        <v>0.11889850244868343</v>
      </c>
      <c r="P1008">
        <v>1.5499740734528944E-2</v>
      </c>
      <c r="Q1008">
        <v>8.6193924185125901E-4</v>
      </c>
      <c r="R1008">
        <v>1.4256676997369412E-3</v>
      </c>
      <c r="S1008">
        <v>0.11056099620977759</v>
      </c>
      <c r="T1008">
        <v>0.82279726498272654</v>
      </c>
      <c r="U1008">
        <v>0</v>
      </c>
      <c r="V1008">
        <v>0.20115200127531035</v>
      </c>
      <c r="W1008">
        <v>8.6933110420018556E-2</v>
      </c>
      <c r="X1008">
        <v>2.7249426820326994E-2</v>
      </c>
      <c r="Y1008">
        <v>3.8801975074530429E-3</v>
      </c>
    </row>
    <row r="1009" spans="1:25" x14ac:dyDescent="0.25">
      <c r="A1009" s="1098"/>
      <c r="B1009" s="1457">
        <v>759</v>
      </c>
      <c r="C1009" s="1102">
        <v>1.0475325607444606</v>
      </c>
      <c r="D1009" s="1102">
        <v>1.0350699543503521</v>
      </c>
      <c r="E1009" s="1102">
        <v>0.95460060061059926</v>
      </c>
      <c r="F1009" s="1102">
        <v>1.0125893521143068</v>
      </c>
      <c r="G1009" s="1102">
        <v>1.0186462190641115</v>
      </c>
      <c r="H1009" s="1102">
        <v>1.0001131578266258</v>
      </c>
      <c r="I1009" s="1102">
        <v>0.95842273410761714</v>
      </c>
      <c r="K1009">
        <v>1.5289430770926902</v>
      </c>
      <c r="L1009">
        <v>0</v>
      </c>
      <c r="M1009">
        <v>1.611130920790485E-3</v>
      </c>
      <c r="N1009">
        <v>0.1292189527735747</v>
      </c>
      <c r="O1009">
        <v>0.11850892964566938</v>
      </c>
      <c r="P1009">
        <v>1.512353785160667E-2</v>
      </c>
      <c r="Q1009">
        <v>8.0688751805990785E-4</v>
      </c>
      <c r="R1009">
        <v>1.6074626658412079E-3</v>
      </c>
      <c r="S1009">
        <v>0.10734898768824845</v>
      </c>
      <c r="T1009">
        <v>0.83870730504158875</v>
      </c>
      <c r="U1009">
        <v>0</v>
      </c>
      <c r="V1009">
        <v>0.20216877546926329</v>
      </c>
      <c r="W1009">
        <v>8.7252598898143741E-2</v>
      </c>
      <c r="X1009">
        <v>2.5435786984989252E-2</v>
      </c>
      <c r="Y1009">
        <v>4.3749834764943872E-3</v>
      </c>
    </row>
    <row r="1010" spans="1:25" x14ac:dyDescent="0.25">
      <c r="A1010" s="1098"/>
      <c r="B1010" s="1457">
        <v>760</v>
      </c>
      <c r="C1010" s="1102">
        <v>1.0204501011373701</v>
      </c>
      <c r="D1010" s="1102">
        <v>0.9680987987183618</v>
      </c>
      <c r="E1010" s="1102">
        <v>0.99405082762674246</v>
      </c>
      <c r="F1010" s="1102">
        <v>1.025734974727315</v>
      </c>
      <c r="G1010" s="1102">
        <v>0.97394105675051079</v>
      </c>
      <c r="H1010" s="1102">
        <v>1.0075840716987052</v>
      </c>
      <c r="I1010" s="1102">
        <v>0.98796131247988395</v>
      </c>
      <c r="K1010">
        <v>1.5825291243771784</v>
      </c>
      <c r="L1010">
        <v>0</v>
      </c>
      <c r="M1010">
        <v>1.594228960913285E-3</v>
      </c>
      <c r="N1010">
        <v>0.14408677686735055</v>
      </c>
      <c r="O1010">
        <v>0.12358737388929973</v>
      </c>
      <c r="P1010">
        <v>1.5892666342918228E-2</v>
      </c>
      <c r="Q1010">
        <v>8.8678504909098059E-4</v>
      </c>
      <c r="R1010">
        <v>1.5906639525024896E-3</v>
      </c>
      <c r="S1010">
        <v>0.11883569319557327</v>
      </c>
      <c r="T1010">
        <v>0.84689075653861556</v>
      </c>
      <c r="U1010">
        <v>0</v>
      </c>
      <c r="V1010">
        <v>0.20504448456819674</v>
      </c>
      <c r="W1010">
        <v>9.4991288039653704E-2</v>
      </c>
      <c r="X1010">
        <v>2.7987601978406711E-2</v>
      </c>
      <c r="Y1010">
        <v>4.3292629164807606E-3</v>
      </c>
    </row>
    <row r="1011" spans="1:25" x14ac:dyDescent="0.25">
      <c r="A1011" s="1098"/>
      <c r="B1011" s="1457">
        <v>761</v>
      </c>
      <c r="C1011" s="1102">
        <v>1.0309248862158302</v>
      </c>
      <c r="D1011" s="1102">
        <v>1.0168130936457502</v>
      </c>
      <c r="E1011" s="1102">
        <v>1.0108967847564909</v>
      </c>
      <c r="F1011" s="1102">
        <v>1.0150304865101607</v>
      </c>
      <c r="G1011" s="1102">
        <v>0.98899167976180702</v>
      </c>
      <c r="H1011" s="1102">
        <v>1.0182779969607136</v>
      </c>
      <c r="I1011" s="1102">
        <v>0.98248591656736561</v>
      </c>
      <c r="K1011">
        <v>1.5584207277982198</v>
      </c>
      <c r="L1011">
        <v>0</v>
      </c>
      <c r="M1011">
        <v>1.4974090865264302E-3</v>
      </c>
      <c r="N1011">
        <v>0.1424018102760152</v>
      </c>
      <c r="O1011">
        <v>0.12010027928624452</v>
      </c>
      <c r="P1011">
        <v>1.5865834344022098E-2</v>
      </c>
      <c r="Q1011">
        <v>8.7585044873499118E-4</v>
      </c>
      <c r="R1011">
        <v>1.4940677893709223E-3</v>
      </c>
      <c r="S1011">
        <v>0.11441608062243731</v>
      </c>
      <c r="T1011">
        <v>0.83692525349322733</v>
      </c>
      <c r="U1011">
        <v>0</v>
      </c>
      <c r="V1011">
        <v>0.20287922089439983</v>
      </c>
      <c r="W1011">
        <v>9.2946985550174346E-2</v>
      </c>
      <c r="X1011">
        <v>2.7946394176766438E-2</v>
      </c>
      <c r="Y1011">
        <v>4.0663600033532532E-3</v>
      </c>
    </row>
    <row r="1012" spans="1:25" x14ac:dyDescent="0.25">
      <c r="A1012" s="1098"/>
      <c r="B1012" s="1457">
        <v>762</v>
      </c>
      <c r="C1012" s="1102">
        <v>0.98742471996861525</v>
      </c>
      <c r="D1012" s="1102">
        <v>1.0124967996137701</v>
      </c>
      <c r="E1012" s="1102">
        <v>1.0014795242401753</v>
      </c>
      <c r="F1012" s="1102">
        <v>1.0127490826612864</v>
      </c>
      <c r="G1012" s="1102">
        <v>0.9880410587659384</v>
      </c>
      <c r="H1012" s="1102">
        <v>0.99300284116657989</v>
      </c>
      <c r="I1012" s="1102">
        <v>1.0028677889166129</v>
      </c>
      <c r="K1012">
        <v>1.5712621472760382</v>
      </c>
      <c r="L1012">
        <v>0</v>
      </c>
      <c r="M1012">
        <v>1.5534494117608424E-3</v>
      </c>
      <c r="N1012">
        <v>0.14358008576427878</v>
      </c>
      <c r="O1012">
        <v>0.12236730799035067</v>
      </c>
      <c r="P1012">
        <v>1.5862394073017753E-2</v>
      </c>
      <c r="Q1012">
        <v>9.0712162685024065E-4</v>
      </c>
      <c r="R1012">
        <v>1.54988597662193E-3</v>
      </c>
      <c r="S1012">
        <v>0.11994416532503219</v>
      </c>
      <c r="T1012">
        <v>0.83567185383252551</v>
      </c>
      <c r="U1012">
        <v>0</v>
      </c>
      <c r="V1012">
        <v>0.20644319869065841</v>
      </c>
      <c r="W1012">
        <v>9.4239498540797065E-2</v>
      </c>
      <c r="X1012">
        <v>2.8031806159076494E-2</v>
      </c>
      <c r="Y1012">
        <v>4.218278708590012E-3</v>
      </c>
    </row>
    <row r="1013" spans="1:25" x14ac:dyDescent="0.25">
      <c r="A1013" s="1098"/>
      <c r="B1013" s="1457">
        <v>763</v>
      </c>
      <c r="C1013" s="1102">
        <v>1.0058005652796174</v>
      </c>
      <c r="D1013" s="1102">
        <v>1.0187061021853192</v>
      </c>
      <c r="E1013" s="1102">
        <v>1.0236205544139538</v>
      </c>
      <c r="F1013" s="1102">
        <v>0.97909800549815462</v>
      </c>
      <c r="G1013" s="1102">
        <v>0.98562624683096711</v>
      </c>
      <c r="H1013" s="1102">
        <v>0.96716624690779229</v>
      </c>
      <c r="I1013" s="1102">
        <v>0.97956792368281498</v>
      </c>
      <c r="K1013">
        <v>1.5189131308983785</v>
      </c>
      <c r="L1013">
        <v>0</v>
      </c>
      <c r="M1013">
        <v>1.411955900516518E-3</v>
      </c>
      <c r="N1013">
        <v>0.13951268228573135</v>
      </c>
      <c r="O1013">
        <v>0.11874093270578832</v>
      </c>
      <c r="P1013">
        <v>1.5567252139302856E-2</v>
      </c>
      <c r="Q1013">
        <v>9.0886407419561136E-4</v>
      </c>
      <c r="R1013">
        <v>1.4086230605841953E-3</v>
      </c>
      <c r="S1013">
        <v>0.11257418104883991</v>
      </c>
      <c r="T1013">
        <v>0.80648232371610762</v>
      </c>
      <c r="U1013">
        <v>0</v>
      </c>
      <c r="V1013">
        <v>0.20289008847633341</v>
      </c>
      <c r="W1013">
        <v>9.0384418778345341E-2</v>
      </c>
      <c r="X1013">
        <v>2.802191289522318E-2</v>
      </c>
      <c r="Y1013">
        <v>3.8338076184430557E-3</v>
      </c>
    </row>
    <row r="1014" spans="1:25" x14ac:dyDescent="0.25">
      <c r="A1014" s="1098"/>
      <c r="B1014" s="1457">
        <v>764</v>
      </c>
      <c r="C1014" s="1102">
        <v>0.96169582624828875</v>
      </c>
      <c r="D1014" s="1102">
        <v>0.98954287385708573</v>
      </c>
      <c r="E1014" s="1102">
        <v>1.0240599026740029</v>
      </c>
      <c r="F1014" s="1102">
        <v>0.96910078519030829</v>
      </c>
      <c r="G1014" s="1102">
        <v>1.000208056865117</v>
      </c>
      <c r="H1014" s="1102">
        <v>1.0198512142742</v>
      </c>
      <c r="I1014" s="1102">
        <v>0.99049412743635634</v>
      </c>
      <c r="K1014">
        <v>1.5590622106177592</v>
      </c>
      <c r="L1014">
        <v>0</v>
      </c>
      <c r="M1014">
        <v>1.5747932371741422E-3</v>
      </c>
      <c r="N1014">
        <v>0.15582788781261855</v>
      </c>
      <c r="O1014">
        <v>0.12156987135535773</v>
      </c>
      <c r="P1014">
        <v>1.5698515701640482E-2</v>
      </c>
      <c r="Q1014">
        <v>9.6208653905981406E-4</v>
      </c>
      <c r="R1014">
        <v>1.5712700389067988E-3</v>
      </c>
      <c r="S1014">
        <v>0.12510198488660554</v>
      </c>
      <c r="T1014">
        <v>0.79821984153534054</v>
      </c>
      <c r="U1014">
        <v>0</v>
      </c>
      <c r="V1014">
        <v>0.20770521900894426</v>
      </c>
      <c r="W1014">
        <v>0.10092848854612275</v>
      </c>
      <c r="X1014">
        <v>2.87753593534598E-2</v>
      </c>
      <c r="Y1014">
        <v>4.2764790768751873E-3</v>
      </c>
    </row>
    <row r="1015" spans="1:25" x14ac:dyDescent="0.25">
      <c r="A1015" s="1098"/>
      <c r="B1015" s="1457">
        <v>765</v>
      </c>
      <c r="C1015" s="1102">
        <v>1.0038731768566138</v>
      </c>
      <c r="D1015" s="1102">
        <v>1.0180869584045453</v>
      </c>
      <c r="E1015" s="1102">
        <v>1.0029215301763219</v>
      </c>
      <c r="F1015" s="1102">
        <v>1.001864825807987</v>
      </c>
      <c r="G1015" s="1102">
        <v>1.0141095672521057</v>
      </c>
      <c r="H1015" s="1102">
        <v>1.0038044059258808</v>
      </c>
      <c r="I1015" s="1102">
        <v>1.0210294587962121</v>
      </c>
      <c r="K1015">
        <v>1.5577979747948192</v>
      </c>
      <c r="L1015">
        <v>0</v>
      </c>
      <c r="M1015">
        <v>1.5357723102143481E-3</v>
      </c>
      <c r="N1015">
        <v>0.14256925347392185</v>
      </c>
      <c r="O1015">
        <v>0.12050947990042297</v>
      </c>
      <c r="P1015">
        <v>1.575163998506178E-2</v>
      </c>
      <c r="Q1015">
        <v>8.9162600027318855E-4</v>
      </c>
      <c r="R1015">
        <v>1.5322854219625114E-3</v>
      </c>
      <c r="S1015">
        <v>0.12061592977862062</v>
      </c>
      <c r="T1015">
        <v>0.82659542081186921</v>
      </c>
      <c r="U1015">
        <v>0</v>
      </c>
      <c r="V1015">
        <v>0.20549269465212297</v>
      </c>
      <c r="W1015">
        <v>9.3496007906067352E-2</v>
      </c>
      <c r="X1015">
        <v>2.7709033373884116E-2</v>
      </c>
      <c r="Y1015">
        <v>4.1703758008283598E-3</v>
      </c>
    </row>
    <row r="1016" spans="1:25" x14ac:dyDescent="0.25">
      <c r="A1016" s="1098"/>
      <c r="B1016" s="1457">
        <v>766</v>
      </c>
      <c r="C1016" s="1102">
        <v>1.0491341851430573</v>
      </c>
      <c r="D1016" s="1102">
        <v>1.0310921379343048</v>
      </c>
      <c r="E1016" s="1102">
        <v>0.99979890667599236</v>
      </c>
      <c r="F1016" s="1102">
        <v>1.0192853662731534</v>
      </c>
      <c r="G1016" s="1102">
        <v>1.0120500769404346</v>
      </c>
      <c r="H1016" s="1102">
        <v>0.98862882619798487</v>
      </c>
      <c r="I1016" s="1102">
        <v>0.98594735479845808</v>
      </c>
      <c r="K1016">
        <v>1.5412221886549016</v>
      </c>
      <c r="L1016">
        <v>0</v>
      </c>
      <c r="M1016">
        <v>1.452380091762742E-3</v>
      </c>
      <c r="N1016">
        <v>0.13355787179311285</v>
      </c>
      <c r="O1016">
        <v>0.11892278837230889</v>
      </c>
      <c r="P1016">
        <v>1.5722160944121127E-2</v>
      </c>
      <c r="Q1016">
        <v>8.4609760037789592E-4</v>
      </c>
      <c r="R1016">
        <v>1.4490389535625017E-3</v>
      </c>
      <c r="S1016">
        <v>0.10979503422757435</v>
      </c>
      <c r="T1016">
        <v>0.84117832949611893</v>
      </c>
      <c r="U1016">
        <v>0</v>
      </c>
      <c r="V1016">
        <v>0.2022722184405335</v>
      </c>
      <c r="W1016">
        <v>8.774893047991425E-2</v>
      </c>
      <c r="X1016">
        <v>2.7238292083004174E-2</v>
      </c>
      <c r="Y1016">
        <v>3.9438063560344652E-3</v>
      </c>
    </row>
    <row r="1017" spans="1:25" x14ac:dyDescent="0.25">
      <c r="A1017" s="1098"/>
      <c r="B1017" s="1457">
        <v>767</v>
      </c>
      <c r="C1017" s="1102">
        <v>1.0002204180349967</v>
      </c>
      <c r="D1017" s="1102">
        <v>1.0003935408843023</v>
      </c>
      <c r="E1017" s="1102">
        <v>0.95107308240989552</v>
      </c>
      <c r="F1017" s="1102">
        <v>0.95899597846197415</v>
      </c>
      <c r="G1017" s="1102">
        <v>1.0191481322127323</v>
      </c>
      <c r="H1017" s="1102">
        <v>0.98235665286247054</v>
      </c>
      <c r="I1017" s="1102">
        <v>1.0252929348069855</v>
      </c>
      <c r="K1017">
        <v>1.50818147125573</v>
      </c>
      <c r="L1017">
        <v>0</v>
      </c>
      <c r="M1017">
        <v>1.6896589962952402E-3</v>
      </c>
      <c r="N1017">
        <v>0.13406961993312863</v>
      </c>
      <c r="O1017">
        <v>0.11857682298974248</v>
      </c>
      <c r="P1017">
        <v>1.4704750050706115E-2</v>
      </c>
      <c r="Q1017">
        <v>8.5344453043101007E-4</v>
      </c>
      <c r="R1017">
        <v>1.6857361193166858E-3</v>
      </c>
      <c r="S1017">
        <v>0.12070582436640247</v>
      </c>
      <c r="T1017">
        <v>0.79454545551134559</v>
      </c>
      <c r="U1017">
        <v>0</v>
      </c>
      <c r="V1017">
        <v>0.20422319119719454</v>
      </c>
      <c r="W1017">
        <v>9.0725164884677259E-2</v>
      </c>
      <c r="X1017">
        <v>2.5193102655062645E-2</v>
      </c>
      <c r="Y1017">
        <v>4.5880180140176344E-3</v>
      </c>
    </row>
    <row r="1018" spans="1:25" x14ac:dyDescent="0.25">
      <c r="A1018" s="1098"/>
      <c r="B1018" s="1457">
        <v>768</v>
      </c>
      <c r="C1018" s="1102">
        <v>1.0398880836504398</v>
      </c>
      <c r="D1018" s="1102">
        <v>0.99788450498593462</v>
      </c>
      <c r="E1018" s="1102">
        <v>1.0013647841606172</v>
      </c>
      <c r="F1018" s="1102">
        <v>0.97218485488051909</v>
      </c>
      <c r="G1018" s="1102">
        <v>1.0016150009649223</v>
      </c>
      <c r="H1018" s="1102">
        <v>1.0230296897608717</v>
      </c>
      <c r="I1018" s="1102">
        <v>0.96023196708572423</v>
      </c>
      <c r="K1018">
        <v>1.5149954808063575</v>
      </c>
      <c r="L1018">
        <v>0</v>
      </c>
      <c r="M1018">
        <v>1.5336301234334419E-3</v>
      </c>
      <c r="N1018">
        <v>0.14170966795418341</v>
      </c>
      <c r="O1018">
        <v>0.11754025317425483</v>
      </c>
      <c r="P1018">
        <v>1.5225948936959097E-2</v>
      </c>
      <c r="Q1018">
        <v>8.6627671560668093E-4</v>
      </c>
      <c r="R1018">
        <v>1.530225924026125E-3</v>
      </c>
      <c r="S1018">
        <v>0.11225159827718681</v>
      </c>
      <c r="T1018">
        <v>0.80220756189668685</v>
      </c>
      <c r="U1018">
        <v>0</v>
      </c>
      <c r="V1018">
        <v>0.20107111501774977</v>
      </c>
      <c r="W1018">
        <v>9.3018176633645061E-2</v>
      </c>
      <c r="X1018">
        <v>2.6943515873134812E-2</v>
      </c>
      <c r="Y1018">
        <v>4.1647705263588271E-3</v>
      </c>
    </row>
    <row r="1019" spans="1:25" x14ac:dyDescent="0.25">
      <c r="A1019" s="1098"/>
      <c r="B1019" s="1457">
        <v>769</v>
      </c>
      <c r="C1019" s="1102">
        <v>0.99417100162240879</v>
      </c>
      <c r="D1019" s="1102">
        <v>1.0119570439810952</v>
      </c>
      <c r="E1019" s="1102">
        <v>0.96803012620086804</v>
      </c>
      <c r="F1019" s="1102">
        <v>1.0229763475685487</v>
      </c>
      <c r="G1019" s="1102">
        <v>1.0180287020537409</v>
      </c>
      <c r="H1019" s="1102">
        <v>1.0377807338978078</v>
      </c>
      <c r="I1019" s="1102">
        <v>1.0133933524221808</v>
      </c>
      <c r="K1019">
        <v>1.5904966590308556</v>
      </c>
      <c r="L1019">
        <v>0</v>
      </c>
      <c r="M1019">
        <v>1.7307177296780609E-3</v>
      </c>
      <c r="N1019">
        <v>0.14458711901414467</v>
      </c>
      <c r="O1019">
        <v>0.12284483919548547</v>
      </c>
      <c r="P1019">
        <v>1.5679751370074362E-2</v>
      </c>
      <c r="Q1019">
        <v>8.7019407286717499E-4</v>
      </c>
      <c r="R1019">
        <v>1.7269240090868588E-3</v>
      </c>
      <c r="S1019">
        <v>0.12404987152428623</v>
      </c>
      <c r="T1019">
        <v>0.84638660111361885</v>
      </c>
      <c r="U1019">
        <v>0</v>
      </c>
      <c r="V1019">
        <v>0.20769933268969418</v>
      </c>
      <c r="W1019">
        <v>9.6829429940775799E-2</v>
      </c>
      <c r="X1019">
        <v>2.6853195958110664E-2</v>
      </c>
      <c r="Y1019">
        <v>4.7001178723878306E-3</v>
      </c>
    </row>
    <row r="1020" spans="1:25" x14ac:dyDescent="0.25">
      <c r="A1020" s="1098"/>
      <c r="B1020" s="1457">
        <v>770</v>
      </c>
      <c r="C1020" s="1102">
        <v>1.0038118931075504</v>
      </c>
      <c r="D1020" s="1102">
        <v>0.98801581488910428</v>
      </c>
      <c r="E1020" s="1102">
        <v>1.0097399725739302</v>
      </c>
      <c r="F1020" s="1102">
        <v>0.9649301767964098</v>
      </c>
      <c r="G1020" s="1102">
        <v>1.0310173558166382</v>
      </c>
      <c r="H1020" s="1102">
        <v>1.0125191673087672</v>
      </c>
      <c r="I1020" s="1102">
        <v>1.015846598225697</v>
      </c>
      <c r="K1020">
        <v>1.5336449139983432</v>
      </c>
      <c r="L1020">
        <v>0</v>
      </c>
      <c r="M1020">
        <v>1.5490461240923598E-3</v>
      </c>
      <c r="N1020">
        <v>0.14679667557682013</v>
      </c>
      <c r="O1020">
        <v>0.11919395098956903</v>
      </c>
      <c r="P1020">
        <v>1.5431756534567694E-2</v>
      </c>
      <c r="Q1020">
        <v>9.088192152694668E-4</v>
      </c>
      <c r="R1020">
        <v>1.545566563011552E-3</v>
      </c>
      <c r="S1020">
        <v>0.12265589943721458</v>
      </c>
      <c r="T1020">
        <v>0.79568925386731082</v>
      </c>
      <c r="U1020">
        <v>0</v>
      </c>
      <c r="V1020">
        <v>0.20523695882257478</v>
      </c>
      <c r="W1020">
        <v>9.5880920944792544E-2</v>
      </c>
      <c r="X1020">
        <v>2.7647635482667285E-2</v>
      </c>
      <c r="Y1020">
        <v>4.2065226886368774E-3</v>
      </c>
    </row>
    <row r="1021" spans="1:25" x14ac:dyDescent="0.25">
      <c r="A1021" s="1098"/>
      <c r="B1021" s="1457">
        <v>771</v>
      </c>
      <c r="C1021" s="1102">
        <v>0.97953616999705917</v>
      </c>
      <c r="D1021" s="1102">
        <v>0.9983361450718351</v>
      </c>
      <c r="E1021" s="1102">
        <v>0.97415109299438463</v>
      </c>
      <c r="F1021" s="1102">
        <v>1.0052610013742169</v>
      </c>
      <c r="G1021" s="1102">
        <v>0.97902900103597224</v>
      </c>
      <c r="H1021" s="1102">
        <v>1.0043611555981711</v>
      </c>
      <c r="I1021" s="1102">
        <v>1.0308993173196825</v>
      </c>
      <c r="K1021">
        <v>1.574640463135875</v>
      </c>
      <c r="L1021">
        <v>0</v>
      </c>
      <c r="M1021">
        <v>1.6875253504498712E-3</v>
      </c>
      <c r="N1021">
        <v>0.14360519915030154</v>
      </c>
      <c r="O1021">
        <v>0.12295962520251931</v>
      </c>
      <c r="P1021">
        <v>1.556672542759481E-2</v>
      </c>
      <c r="Q1021">
        <v>8.9373741112334535E-4</v>
      </c>
      <c r="R1021">
        <v>1.6837026423493931E-3</v>
      </c>
      <c r="S1021">
        <v>0.12613424679723167</v>
      </c>
      <c r="T1021">
        <v>0.83131740559221368</v>
      </c>
      <c r="U1021">
        <v>0</v>
      </c>
      <c r="V1021">
        <v>0.20671065283512183</v>
      </c>
      <c r="W1021">
        <v>9.5814536272353396E-2</v>
      </c>
      <c r="X1021">
        <v>2.7059673595465659E-2</v>
      </c>
      <c r="Y1021">
        <v>4.5824835600481659E-3</v>
      </c>
    </row>
    <row r="1022" spans="1:25" x14ac:dyDescent="0.25">
      <c r="A1022" s="1098"/>
      <c r="B1022" s="1457">
        <v>772</v>
      </c>
      <c r="C1022" s="1102">
        <v>0.99927241099689978</v>
      </c>
      <c r="D1022" s="1102">
        <v>1.0055041454986986</v>
      </c>
      <c r="E1022" s="1102">
        <v>1.0028520833741035</v>
      </c>
      <c r="F1022" s="1102">
        <v>1.0421316184824678</v>
      </c>
      <c r="G1022" s="1102">
        <v>0.97887657760739721</v>
      </c>
      <c r="H1022" s="1102">
        <v>1.0223422327187519</v>
      </c>
      <c r="I1022" s="1102">
        <v>1.0336781956399579</v>
      </c>
      <c r="K1022">
        <v>1.6098947623418352</v>
      </c>
      <c r="L1022">
        <v>0</v>
      </c>
      <c r="M1022">
        <v>1.5868321432621246E-3</v>
      </c>
      <c r="N1022">
        <v>0.14728597526746146</v>
      </c>
      <c r="O1022">
        <v>0.12408942027761173</v>
      </c>
      <c r="P1022">
        <v>1.6286125767053902E-2</v>
      </c>
      <c r="Q1022">
        <v>9.0013336208669126E-4</v>
      </c>
      <c r="R1022">
        <v>1.5833112247355498E-3</v>
      </c>
      <c r="S1022">
        <v>0.12532162391700724</v>
      </c>
      <c r="T1022">
        <v>0.85982258414250423</v>
      </c>
      <c r="U1022">
        <v>0</v>
      </c>
      <c r="V1022">
        <v>0.20674005012549435</v>
      </c>
      <c r="W1022">
        <v>9.6593181765298436E-2</v>
      </c>
      <c r="X1022">
        <v>2.8549937420518336E-2</v>
      </c>
      <c r="Y1022">
        <v>4.3092512153252056E-3</v>
      </c>
    </row>
    <row r="1023" spans="1:25" x14ac:dyDescent="0.25">
      <c r="A1023" s="1098"/>
      <c r="B1023" s="1457">
        <v>773</v>
      </c>
      <c r="C1023" s="1102">
        <v>0.9873234310019241</v>
      </c>
      <c r="D1023" s="1102">
        <v>1.0181260425432272</v>
      </c>
      <c r="E1023" s="1102">
        <v>0.99166004293463617</v>
      </c>
      <c r="F1023" s="1102">
        <v>0.97963106905341923</v>
      </c>
      <c r="G1023" s="1102">
        <v>1.0135485995317599</v>
      </c>
      <c r="H1023" s="1102">
        <v>0.98566051695303292</v>
      </c>
      <c r="I1023" s="1102">
        <v>1.0053947833502892</v>
      </c>
      <c r="K1023">
        <v>1.534222548584254</v>
      </c>
      <c r="L1023">
        <v>0</v>
      </c>
      <c r="M1023">
        <v>1.5649248181197676E-3</v>
      </c>
      <c r="N1023">
        <v>0.14040813939684449</v>
      </c>
      <c r="O1023">
        <v>0.11982649021953735</v>
      </c>
      <c r="P1023">
        <v>1.5362409540523798E-2</v>
      </c>
      <c r="Q1023">
        <v>8.9601920241126772E-4</v>
      </c>
      <c r="R1023">
        <v>1.5612957802109825E-3</v>
      </c>
      <c r="S1023">
        <v>0.11905622817840263</v>
      </c>
      <c r="T1023">
        <v>0.80898054708186051</v>
      </c>
      <c r="U1023">
        <v>0</v>
      </c>
      <c r="V1023">
        <v>0.20569434952665408</v>
      </c>
      <c r="W1023">
        <v>9.2698464224821225E-2</v>
      </c>
      <c r="X1023">
        <v>2.7054197818389008E-2</v>
      </c>
      <c r="Y1023">
        <v>4.2493324327186714E-3</v>
      </c>
    </row>
    <row r="1024" spans="1:25" x14ac:dyDescent="0.25">
      <c r="A1024" s="1098"/>
      <c r="B1024" s="1457">
        <v>774</v>
      </c>
      <c r="C1024" s="1102">
        <v>1.0071433542939829</v>
      </c>
      <c r="D1024" s="1102">
        <v>0.99599446358192745</v>
      </c>
      <c r="E1024" s="1102">
        <v>1.0318202298218779</v>
      </c>
      <c r="F1024" s="1102">
        <v>1.0137269458037457</v>
      </c>
      <c r="G1024" s="1102">
        <v>1.0197432547767433</v>
      </c>
      <c r="H1024" s="1102">
        <v>1.0006704092367826</v>
      </c>
      <c r="I1024" s="1102">
        <v>0.9879151851647292</v>
      </c>
      <c r="K1024">
        <v>1.573996284609257</v>
      </c>
      <c r="L1024">
        <v>0</v>
      </c>
      <c r="M1024">
        <v>1.4566262260547987E-3</v>
      </c>
      <c r="N1024">
        <v>0.14754293430116988</v>
      </c>
      <c r="O1024">
        <v>0.1220542265638955</v>
      </c>
      <c r="P1024">
        <v>1.6177959913393606E-2</v>
      </c>
      <c r="Q1024">
        <v>9.2358003393109395E-4</v>
      </c>
      <c r="R1024">
        <v>1.4533245545557737E-3</v>
      </c>
      <c r="S1024">
        <v>0.11775780477329446</v>
      </c>
      <c r="T1024">
        <v>0.83446487874043462</v>
      </c>
      <c r="U1024">
        <v>0</v>
      </c>
      <c r="V1024">
        <v>0.20679616835106357</v>
      </c>
      <c r="W1024">
        <v>9.5132185620861995E-2</v>
      </c>
      <c r="X1024">
        <v>2.9194377633518866E-2</v>
      </c>
      <c r="Y1024">
        <v>3.9554703491901638E-3</v>
      </c>
    </row>
    <row r="1025" spans="1:25" x14ac:dyDescent="0.25">
      <c r="A1025" s="1098"/>
      <c r="B1025" s="1457">
        <v>775</v>
      </c>
      <c r="C1025" s="1102">
        <v>1.0085493588504189</v>
      </c>
      <c r="D1025" s="1102">
        <v>1.0129966194394411</v>
      </c>
      <c r="E1025" s="1102">
        <v>0.9960177063334692</v>
      </c>
      <c r="F1025" s="1102">
        <v>0.98250796013601638</v>
      </c>
      <c r="G1025" s="1102">
        <v>0.96518806083462949</v>
      </c>
      <c r="H1025" s="1102">
        <v>1.0416405398529236</v>
      </c>
      <c r="I1025" s="1102">
        <v>0.98598484077747495</v>
      </c>
      <c r="K1025">
        <v>1.5422123102391803</v>
      </c>
      <c r="L1025">
        <v>0</v>
      </c>
      <c r="M1025">
        <v>1.6119012396359437E-3</v>
      </c>
      <c r="N1025">
        <v>0.14655959148134104</v>
      </c>
      <c r="O1025">
        <v>0.11916298839110163</v>
      </c>
      <c r="P1025">
        <v>1.5391888229679766E-2</v>
      </c>
      <c r="Q1025">
        <v>8.8292871838894517E-4</v>
      </c>
      <c r="R1025">
        <v>1.6083733959312365E-3</v>
      </c>
      <c r="S1025">
        <v>0.11909164072281737</v>
      </c>
      <c r="T1025">
        <v>0.81107280028494189</v>
      </c>
      <c r="U1025">
        <v>0</v>
      </c>
      <c r="V1025">
        <v>0.20203516950830688</v>
      </c>
      <c r="W1025">
        <v>9.6508198329262676E-2</v>
      </c>
      <c r="X1025">
        <v>2.7133170233467861E-2</v>
      </c>
      <c r="Y1025">
        <v>4.3774621835773525E-3</v>
      </c>
    </row>
    <row r="1026" spans="1:25" x14ac:dyDescent="0.25">
      <c r="A1026" s="1098"/>
      <c r="B1026" s="1457">
        <v>776</v>
      </c>
      <c r="C1026" s="1102">
        <v>1.0255710875990653</v>
      </c>
      <c r="D1026" s="1102">
        <v>1.0379981836868453</v>
      </c>
      <c r="E1026" s="1102">
        <v>0.98767302824909586</v>
      </c>
      <c r="F1026" s="1102">
        <v>0.98555545636837172</v>
      </c>
      <c r="G1026" s="1102">
        <v>1.0034993410409609</v>
      </c>
      <c r="H1026" s="1102">
        <v>0.99679552069295319</v>
      </c>
      <c r="I1026" s="1102">
        <v>1.0117344541935485</v>
      </c>
      <c r="K1026">
        <v>1.5198276878166794</v>
      </c>
      <c r="L1026">
        <v>0</v>
      </c>
      <c r="M1026">
        <v>1.5243222550372184E-3</v>
      </c>
      <c r="N1026">
        <v>0.13512991688656548</v>
      </c>
      <c r="O1026">
        <v>0.11750922240722401</v>
      </c>
      <c r="P1026">
        <v>1.527991347300363E-2</v>
      </c>
      <c r="Q1026">
        <v>8.5240851706883613E-4</v>
      </c>
      <c r="R1026">
        <v>1.5208267244761452E-3</v>
      </c>
      <c r="S1026">
        <v>0.11510118097816226</v>
      </c>
      <c r="T1026">
        <v>0.81413362167109127</v>
      </c>
      <c r="U1026">
        <v>0</v>
      </c>
      <c r="V1026">
        <v>0.20180968770916238</v>
      </c>
      <c r="W1026">
        <v>8.9427138717343063E-2</v>
      </c>
      <c r="X1026">
        <v>2.6448903983988286E-2</v>
      </c>
      <c r="Y1026">
        <v>4.139189003629082E-3</v>
      </c>
    </row>
    <row r="1027" spans="1:25" x14ac:dyDescent="0.25">
      <c r="A1027" s="1098"/>
      <c r="B1027" s="1457">
        <v>777</v>
      </c>
      <c r="C1027" s="1102">
        <v>0.99138766093953756</v>
      </c>
      <c r="D1027" s="1102">
        <v>1.0165599778827872</v>
      </c>
      <c r="E1027" s="1102">
        <v>0.96570709966987345</v>
      </c>
      <c r="F1027" s="1102">
        <v>0.99363969224354998</v>
      </c>
      <c r="G1027" s="1102">
        <v>1.0043442466519643</v>
      </c>
      <c r="H1027" s="1102">
        <v>1.0246440162133623</v>
      </c>
      <c r="I1027" s="1102">
        <v>0.99659017658144422</v>
      </c>
      <c r="K1027">
        <v>1.5539237452666059</v>
      </c>
      <c r="L1027">
        <v>0</v>
      </c>
      <c r="M1027">
        <v>1.7133092441346275E-3</v>
      </c>
      <c r="N1027">
        <v>0.14212430864895889</v>
      </c>
      <c r="O1027">
        <v>0.12074324177558578</v>
      </c>
      <c r="P1027">
        <v>1.5260716689368839E-2</v>
      </c>
      <c r="Q1027">
        <v>8.6892163409602789E-4</v>
      </c>
      <c r="R1027">
        <v>1.7094935260228974E-3</v>
      </c>
      <c r="S1027">
        <v>0.12076886141525355</v>
      </c>
      <c r="T1027">
        <v>0.82226898521313563</v>
      </c>
      <c r="U1027">
        <v>0</v>
      </c>
      <c r="V1027">
        <v>0.20566063853449287</v>
      </c>
      <c r="W1027">
        <v>9.5315098700634482E-2</v>
      </c>
      <c r="X1027">
        <v>2.6264110529746997E-2</v>
      </c>
      <c r="Y1027">
        <v>4.6526778434449268E-3</v>
      </c>
    </row>
    <row r="1028" spans="1:25" x14ac:dyDescent="0.25">
      <c r="A1028" s="1098"/>
      <c r="B1028" s="1457">
        <v>778</v>
      </c>
      <c r="C1028" s="1102">
        <v>1.0083903406335781</v>
      </c>
      <c r="D1028" s="1102">
        <v>1.0115175218636063</v>
      </c>
      <c r="E1028" s="1102">
        <v>0.98813208695796584</v>
      </c>
      <c r="F1028" s="1102">
        <v>0.9851234281331458</v>
      </c>
      <c r="G1028" s="1102">
        <v>0.9963756463332657</v>
      </c>
      <c r="H1028" s="1102">
        <v>0.99737500854618799</v>
      </c>
      <c r="I1028" s="1102">
        <v>1.0224231559129593</v>
      </c>
      <c r="K1028">
        <v>1.5359419049580669</v>
      </c>
      <c r="L1028">
        <v>0</v>
      </c>
      <c r="M1028">
        <v>1.5706673483023904E-3</v>
      </c>
      <c r="N1028">
        <v>0.13943296311018402</v>
      </c>
      <c r="O1028">
        <v>0.11943908944006061</v>
      </c>
      <c r="P1028">
        <v>1.5371903269045724E-2</v>
      </c>
      <c r="Q1028">
        <v>8.7635927791016781E-4</v>
      </c>
      <c r="R1028">
        <v>1.5670787346605849E-3</v>
      </c>
      <c r="S1028">
        <v>0.12008751580799422</v>
      </c>
      <c r="T1028">
        <v>0.81374670780960079</v>
      </c>
      <c r="U1028">
        <v>0</v>
      </c>
      <c r="V1028">
        <v>0.20361912935393706</v>
      </c>
      <c r="W1028">
        <v>9.224942150138464E-2</v>
      </c>
      <c r="X1028">
        <v>2.6857332273209803E-2</v>
      </c>
      <c r="Y1028">
        <v>4.2650717283800677E-3</v>
      </c>
    </row>
    <row r="1029" spans="1:25" x14ac:dyDescent="0.25">
      <c r="A1029" s="1098"/>
      <c r="B1029" s="1457">
        <v>779</v>
      </c>
      <c r="C1029" s="1102">
        <v>0.98783509116249502</v>
      </c>
      <c r="D1029" s="1102">
        <v>0.97331369879954044</v>
      </c>
      <c r="E1029" s="1102">
        <v>0.98811710473205738</v>
      </c>
      <c r="F1029" s="1102">
        <v>0.98178718389200303</v>
      </c>
      <c r="G1029" s="1102">
        <v>0.99356839344598036</v>
      </c>
      <c r="H1029" s="1102">
        <v>0.99290160348692824</v>
      </c>
      <c r="I1029" s="1102">
        <v>1.0033428084325076</v>
      </c>
      <c r="K1029">
        <v>1.5499533576195779</v>
      </c>
      <c r="L1029">
        <v>0</v>
      </c>
      <c r="M1029">
        <v>1.6283471226575057E-3</v>
      </c>
      <c r="N1029">
        <v>0.14454683791602796</v>
      </c>
      <c r="O1029">
        <v>0.1219342007608943</v>
      </c>
      <c r="P1029">
        <v>1.5403192792435405E-2</v>
      </c>
      <c r="Q1029">
        <v>9.084642817774654E-4</v>
      </c>
      <c r="R1029">
        <v>1.6246268683129739E-3</v>
      </c>
      <c r="S1029">
        <v>0.12257782911397112</v>
      </c>
      <c r="T1029">
        <v>0.81099182902416223</v>
      </c>
      <c r="U1029">
        <v>0</v>
      </c>
      <c r="V1029">
        <v>0.20620650962002324</v>
      </c>
      <c r="W1029">
        <v>9.5633641700337127E-2</v>
      </c>
      <c r="X1029">
        <v>2.7332873886847683E-2</v>
      </c>
      <c r="Y1029">
        <v>4.4216987774447093E-3</v>
      </c>
    </row>
    <row r="1030" spans="1:25" x14ac:dyDescent="0.25">
      <c r="A1030" s="1098"/>
      <c r="B1030" s="1457">
        <v>780</v>
      </c>
      <c r="C1030" s="1102">
        <v>1.0169833998054703</v>
      </c>
      <c r="D1030" s="1102">
        <v>0.95514729363434292</v>
      </c>
      <c r="E1030" s="1102">
        <v>0.98265830609383509</v>
      </c>
      <c r="F1030" s="1102">
        <v>0.97834203225587457</v>
      </c>
      <c r="G1030" s="1102">
        <v>0.99542250952987099</v>
      </c>
      <c r="H1030" s="1102">
        <v>0.98880096964081843</v>
      </c>
      <c r="I1030" s="1102">
        <v>1.0100006983599175</v>
      </c>
      <c r="K1030">
        <v>1.5365610216693191</v>
      </c>
      <c r="L1030">
        <v>0</v>
      </c>
      <c r="M1030">
        <v>1.6132199047951144E-3</v>
      </c>
      <c r="N1030">
        <v>0.14085942601523924</v>
      </c>
      <c r="O1030">
        <v>0.12103639926453756</v>
      </c>
      <c r="P1030">
        <v>1.5258359832333639E-2</v>
      </c>
      <c r="Q1030">
        <v>8.8404466443623569E-4</v>
      </c>
      <c r="R1030">
        <v>1.6095375759703284E-3</v>
      </c>
      <c r="S1030">
        <v>0.12102279638351901</v>
      </c>
      <c r="T1030">
        <v>0.8085010807728652</v>
      </c>
      <c r="U1030">
        <v>0</v>
      </c>
      <c r="V1030">
        <v>0.20420972747981592</v>
      </c>
      <c r="W1030">
        <v>9.3500388835581191E-2</v>
      </c>
      <c r="X1030">
        <v>2.6911850051942635E-2</v>
      </c>
      <c r="Y1030">
        <v>4.380630697871913E-3</v>
      </c>
    </row>
    <row r="1031" spans="1:25" x14ac:dyDescent="0.25">
      <c r="A1031" s="1098"/>
      <c r="B1031" s="1457">
        <v>781</v>
      </c>
      <c r="C1031" s="1102">
        <v>0.97560700280277424</v>
      </c>
      <c r="D1031" s="1102">
        <v>1.0015609480563101</v>
      </c>
      <c r="E1031" s="1102">
        <v>0.98709940242904259</v>
      </c>
      <c r="F1031" s="1102">
        <v>0.99011303053349387</v>
      </c>
      <c r="G1031" s="1102">
        <v>1.0025597439699052</v>
      </c>
      <c r="H1031" s="1102">
        <v>1.0109858351280896</v>
      </c>
      <c r="I1031" s="1102">
        <v>1.0340913746157863</v>
      </c>
      <c r="K1031">
        <v>1.566083705433202</v>
      </c>
      <c r="L1031">
        <v>0</v>
      </c>
      <c r="M1031">
        <v>1.6549590409037627E-3</v>
      </c>
      <c r="N1031">
        <v>0.14646209691789275</v>
      </c>
      <c r="O1031">
        <v>0.12191173802473292</v>
      </c>
      <c r="P1031">
        <v>1.5562298349713984E-2</v>
      </c>
      <c r="Q1031">
        <v>9.0841916659093695E-4</v>
      </c>
      <c r="R1031">
        <v>1.6512271633604004E-3</v>
      </c>
      <c r="S1031">
        <v>0.12724689190981819</v>
      </c>
      <c r="T1031">
        <v>0.81793620191694649</v>
      </c>
      <c r="U1031">
        <v>0</v>
      </c>
      <c r="V1031">
        <v>0.20724889333578964</v>
      </c>
      <c r="W1031">
        <v>9.6960003390385505E-2</v>
      </c>
      <c r="X1031">
        <v>2.7356798287095752E-2</v>
      </c>
      <c r="Y1031">
        <v>4.4940960117788994E-3</v>
      </c>
    </row>
    <row r="1032" spans="1:25" x14ac:dyDescent="0.25">
      <c r="A1032" s="1098"/>
      <c r="B1032" s="1457">
        <v>782</v>
      </c>
      <c r="C1032" s="1102">
        <v>0.99544951066097853</v>
      </c>
      <c r="D1032" s="1102">
        <v>0.99404685680875093</v>
      </c>
      <c r="E1032" s="1102">
        <v>1.0369589413240423</v>
      </c>
      <c r="F1032" s="1102">
        <v>1.0298370023912093</v>
      </c>
      <c r="G1032" s="1102">
        <v>1.0005930048939364</v>
      </c>
      <c r="H1032" s="1102">
        <v>0.97947013539388317</v>
      </c>
      <c r="I1032" s="1102">
        <v>0.9634228590386148</v>
      </c>
      <c r="K1032">
        <v>1.5862908489945597</v>
      </c>
      <c r="L1032">
        <v>0</v>
      </c>
      <c r="M1032">
        <v>1.4292239058483792E-3</v>
      </c>
      <c r="N1032">
        <v>0.14701965155508742</v>
      </c>
      <c r="O1032">
        <v>0.12385396802380494</v>
      </c>
      <c r="P1032">
        <v>1.6391089716119769E-2</v>
      </c>
      <c r="Q1032">
        <v>9.4006668120348667E-4</v>
      </c>
      <c r="R1032">
        <v>1.4259164617190336E-3</v>
      </c>
      <c r="S1032">
        <v>0.11472371684465077</v>
      </c>
      <c r="T1032">
        <v>0.84738265162409609</v>
      </c>
      <c r="U1032">
        <v>0</v>
      </c>
      <c r="V1032">
        <v>0.20782476517823859</v>
      </c>
      <c r="W1032">
        <v>9.4513412226793894E-2</v>
      </c>
      <c r="X1032">
        <v>2.9763960033130272E-2</v>
      </c>
      <c r="Y1032">
        <v>3.8808745555639337E-3</v>
      </c>
    </row>
    <row r="1033" spans="1:25" x14ac:dyDescent="0.25">
      <c r="A1033" s="1098"/>
      <c r="B1033" s="1457">
        <v>783</v>
      </c>
      <c r="C1033" s="1102">
        <v>1.0254255570543533</v>
      </c>
      <c r="D1033" s="1102">
        <v>1.0182367002741954</v>
      </c>
      <c r="E1033" s="1102">
        <v>1.0063635919538327</v>
      </c>
      <c r="F1033" s="1102">
        <v>0.99846724225087657</v>
      </c>
      <c r="G1033" s="1102">
        <v>1.0203997974845365</v>
      </c>
      <c r="H1033" s="1102">
        <v>1.0014440019024748</v>
      </c>
      <c r="I1033" s="1102">
        <v>1.0226146284584396</v>
      </c>
      <c r="K1033">
        <v>1.5443266393017407</v>
      </c>
      <c r="L1033">
        <v>0</v>
      </c>
      <c r="M1033">
        <v>1.4910268451751698E-3</v>
      </c>
      <c r="N1033">
        <v>0.13986149795345654</v>
      </c>
      <c r="O1033">
        <v>0.11918510554633319</v>
      </c>
      <c r="P1033">
        <v>1.5694357814994838E-2</v>
      </c>
      <c r="Q1033">
        <v>8.7594724064510819E-4</v>
      </c>
      <c r="R1033">
        <v>1.4876377469902229E-3</v>
      </c>
      <c r="S1033">
        <v>0.11817409738386453</v>
      </c>
      <c r="T1033">
        <v>0.82356586037558055</v>
      </c>
      <c r="U1033">
        <v>0</v>
      </c>
      <c r="V1033">
        <v>0.20383927816623573</v>
      </c>
      <c r="W1033">
        <v>9.1533516715918445E-2</v>
      </c>
      <c r="X1033">
        <v>2.7551507655239758E-2</v>
      </c>
      <c r="Y1033">
        <v>4.0488595476558904E-3</v>
      </c>
    </row>
    <row r="1034" spans="1:25" x14ac:dyDescent="0.25">
      <c r="A1034" s="1098"/>
      <c r="B1034" s="1457">
        <v>784</v>
      </c>
      <c r="C1034" s="1102">
        <v>1.0080788256595972</v>
      </c>
      <c r="D1034" s="1102">
        <v>0.96151054053607576</v>
      </c>
      <c r="E1034" s="1102">
        <v>0.98616901923124367</v>
      </c>
      <c r="F1034" s="1102">
        <v>1.0320330373000886</v>
      </c>
      <c r="G1034" s="1102">
        <v>0.99963806175383696</v>
      </c>
      <c r="H1034" s="1102">
        <v>0.98582229459664306</v>
      </c>
      <c r="I1034" s="1102">
        <v>0.9891527103733978</v>
      </c>
      <c r="K1034">
        <v>1.5899184195584195</v>
      </c>
      <c r="L1034">
        <v>0</v>
      </c>
      <c r="M1034">
        <v>1.6104802824112277E-3</v>
      </c>
      <c r="N1034">
        <v>0.14212119831711179</v>
      </c>
      <c r="O1034">
        <v>0.12499638088373875</v>
      </c>
      <c r="P1034">
        <v>1.5916802403705806E-2</v>
      </c>
      <c r="Q1034">
        <v>8.9275873352309589E-4</v>
      </c>
      <c r="R1034">
        <v>1.606802097779793E-3</v>
      </c>
      <c r="S1034">
        <v>0.11914678170550837</v>
      </c>
      <c r="T1034">
        <v>0.85263028164724619</v>
      </c>
      <c r="U1034">
        <v>0</v>
      </c>
      <c r="V1034">
        <v>0.20775404724966509</v>
      </c>
      <c r="W1034">
        <v>9.4138860528324403E-2</v>
      </c>
      <c r="X1034">
        <v>2.7951800646239078E-2</v>
      </c>
      <c r="Y1034">
        <v>4.3731856279874172E-3</v>
      </c>
    </row>
    <row r="1035" spans="1:25" x14ac:dyDescent="0.25">
      <c r="A1035" s="1098"/>
      <c r="B1035" s="1457">
        <v>785</v>
      </c>
      <c r="C1035" s="1102">
        <v>0.98432841824510908</v>
      </c>
      <c r="D1035" s="1102">
        <v>1.0117553911920611</v>
      </c>
      <c r="E1035" s="1102">
        <v>0.9691185085338978</v>
      </c>
      <c r="F1035" s="1102">
        <v>0.99766349809369048</v>
      </c>
      <c r="G1035" s="1102">
        <v>1.0019254785107643</v>
      </c>
      <c r="H1035" s="1102">
        <v>0.97908641430179622</v>
      </c>
      <c r="I1035" s="1102">
        <v>1.013645012983853</v>
      </c>
      <c r="K1035">
        <v>1.5506975669993825</v>
      </c>
      <c r="L1035">
        <v>0</v>
      </c>
      <c r="M1035">
        <v>1.6413475022514455E-3</v>
      </c>
      <c r="N1035">
        <v>0.13755470666808553</v>
      </c>
      <c r="O1035">
        <v>0.12159199943448687</v>
      </c>
      <c r="P1035">
        <v>1.534815585068906E-2</v>
      </c>
      <c r="Q1035">
        <v>8.7997471552982056E-4</v>
      </c>
      <c r="R1035">
        <v>1.637524140173734E-3</v>
      </c>
      <c r="S1035">
        <v>0.12036730396335617</v>
      </c>
      <c r="T1035">
        <v>0.82537056269521669</v>
      </c>
      <c r="U1035">
        <v>0</v>
      </c>
      <c r="V1035">
        <v>0.20651599444935198</v>
      </c>
      <c r="W1035">
        <v>9.2058779361954918E-2</v>
      </c>
      <c r="X1035">
        <v>2.6557112322924705E-2</v>
      </c>
      <c r="Y1035">
        <v>4.4568008998651732E-3</v>
      </c>
    </row>
    <row r="1036" spans="1:25" x14ac:dyDescent="0.25">
      <c r="A1036" s="1098"/>
      <c r="B1036" s="1457">
        <v>786</v>
      </c>
      <c r="C1036" s="1102">
        <v>0.97855254413662063</v>
      </c>
      <c r="D1036" s="1102">
        <v>1.0093984381702465</v>
      </c>
      <c r="E1036" s="1102">
        <v>1.0013409160874791</v>
      </c>
      <c r="F1036" s="1102">
        <v>1.0012644978039327</v>
      </c>
      <c r="G1036" s="1102">
        <v>1.0093830694343562</v>
      </c>
      <c r="H1036" s="1102">
        <v>1.0070002668237956</v>
      </c>
      <c r="I1036" s="1102">
        <v>0.96115245735407995</v>
      </c>
      <c r="K1036">
        <v>1.5655050769866043</v>
      </c>
      <c r="L1036">
        <v>0</v>
      </c>
      <c r="M1036">
        <v>1.5904064574956758E-3</v>
      </c>
      <c r="N1036">
        <v>0.14693871739206099</v>
      </c>
      <c r="O1036">
        <v>0.12215932741309175</v>
      </c>
      <c r="P1036">
        <v>1.5710480987027636E-2</v>
      </c>
      <c r="Q1036">
        <v>9.1633740129842952E-4</v>
      </c>
      <c r="R1036">
        <v>1.5868052677117292E-3</v>
      </c>
      <c r="S1036">
        <v>0.11717386690940709</v>
      </c>
      <c r="T1036">
        <v>0.82620448188339335</v>
      </c>
      <c r="U1036">
        <v>0</v>
      </c>
      <c r="V1036">
        <v>0.20766951762825878</v>
      </c>
      <c r="W1036">
        <v>9.6451889645796471E-2</v>
      </c>
      <c r="X1036">
        <v>2.7965298067558413E-2</v>
      </c>
      <c r="Y1036">
        <v>4.3187608484954098E-3</v>
      </c>
    </row>
    <row r="1037" spans="1:25" x14ac:dyDescent="0.25">
      <c r="A1037" s="1098"/>
      <c r="B1037" s="1457">
        <v>787</v>
      </c>
      <c r="C1037" s="1102">
        <v>0.98131098463073663</v>
      </c>
      <c r="D1037" s="1102">
        <v>1.0197188355959235</v>
      </c>
      <c r="E1037" s="1102">
        <v>1.0400004258971711</v>
      </c>
      <c r="F1037" s="1102">
        <v>1.0011169058788707</v>
      </c>
      <c r="G1037" s="1102">
        <v>1.0062102882031565</v>
      </c>
      <c r="H1037" s="1102">
        <v>0.99678837978152135</v>
      </c>
      <c r="I1037" s="1102">
        <v>0.99974422569210786</v>
      </c>
      <c r="K1037">
        <v>1.5680552191994412</v>
      </c>
      <c r="L1037">
        <v>0</v>
      </c>
      <c r="M1037">
        <v>1.4404974837357121E-3</v>
      </c>
      <c r="N1037">
        <v>0.14954683198097735</v>
      </c>
      <c r="O1037">
        <v>0.12144848017996521</v>
      </c>
      <c r="P1037">
        <v>1.6156896044475809E-2</v>
      </c>
      <c r="Q1037">
        <v>9.4685543326106551E-4</v>
      </c>
      <c r="R1037">
        <v>1.4371974396210525E-3</v>
      </c>
      <c r="S1037">
        <v>0.12007826655533968</v>
      </c>
      <c r="T1037">
        <v>0.82355362412180322</v>
      </c>
      <c r="U1037">
        <v>0</v>
      </c>
      <c r="V1037">
        <v>0.2070446239692669</v>
      </c>
      <c r="W1037">
        <v>9.5969581465837395E-2</v>
      </c>
      <c r="X1037">
        <v>2.9401781833987971E-2</v>
      </c>
      <c r="Y1037">
        <v>3.9115776586398626E-3</v>
      </c>
    </row>
    <row r="1038" spans="1:25" x14ac:dyDescent="0.25">
      <c r="A1038" s="1098"/>
      <c r="B1038" s="1457">
        <v>788</v>
      </c>
      <c r="C1038" s="1102">
        <v>1.0135932513630073</v>
      </c>
      <c r="D1038" s="1102">
        <v>0.98739621264260802</v>
      </c>
      <c r="E1038" s="1102">
        <v>0.95418103315944225</v>
      </c>
      <c r="F1038" s="1102">
        <v>0.99030342514770309</v>
      </c>
      <c r="G1038" s="1102">
        <v>0.98864003113117893</v>
      </c>
      <c r="H1038" s="1102">
        <v>0.98610097358096005</v>
      </c>
      <c r="I1038" s="1102">
        <v>0.9611490935488689</v>
      </c>
      <c r="K1038">
        <v>1.5295703463653518</v>
      </c>
      <c r="L1038">
        <v>0</v>
      </c>
      <c r="M1038">
        <v>1.6812463880859459E-3</v>
      </c>
      <c r="N1038">
        <v>0.13466798520007897</v>
      </c>
      <c r="O1038">
        <v>0.12068847084931016</v>
      </c>
      <c r="P1038">
        <v>1.4972661107865829E-2</v>
      </c>
      <c r="Q1038">
        <v>8.494044232394873E-4</v>
      </c>
      <c r="R1038">
        <v>1.6773797827271746E-3</v>
      </c>
      <c r="S1038">
        <v>0.11308385148144254</v>
      </c>
      <c r="T1038">
        <v>0.82027636150874139</v>
      </c>
      <c r="U1038">
        <v>0</v>
      </c>
      <c r="V1038">
        <v>0.20376774263972994</v>
      </c>
      <c r="W1038">
        <v>9.0955466423940937E-2</v>
      </c>
      <c r="X1038">
        <v>2.5746994515874463E-2</v>
      </c>
      <c r="Y1038">
        <v>4.5652748204866016E-3</v>
      </c>
    </row>
    <row r="1039" spans="1:25" x14ac:dyDescent="0.25">
      <c r="A1039" s="1098"/>
      <c r="B1039" s="1457">
        <v>789</v>
      </c>
      <c r="C1039" s="1102">
        <v>1.0025125014506251</v>
      </c>
      <c r="D1039" s="1102">
        <v>1.0101690247956374</v>
      </c>
      <c r="E1039" s="1102">
        <v>1.0122509455213831</v>
      </c>
      <c r="F1039" s="1102">
        <v>1.0011203821421639</v>
      </c>
      <c r="G1039" s="1102">
        <v>0.97572563412962388</v>
      </c>
      <c r="H1039" s="1102">
        <v>0.97020004427503315</v>
      </c>
      <c r="I1039" s="1102">
        <v>1.0017153206505576</v>
      </c>
      <c r="K1039">
        <v>1.5463829396816791</v>
      </c>
      <c r="L1039">
        <v>0</v>
      </c>
      <c r="M1039">
        <v>1.4641013955084166E-3</v>
      </c>
      <c r="N1039">
        <v>0.13978849432122767</v>
      </c>
      <c r="O1039">
        <v>0.120845144806214</v>
      </c>
      <c r="P1039">
        <v>1.5766803219773438E-2</v>
      </c>
      <c r="Q1039">
        <v>9.0429894374094303E-4</v>
      </c>
      <c r="R1039">
        <v>1.4606660606484587E-3</v>
      </c>
      <c r="S1039">
        <v>0.11640666291111684</v>
      </c>
      <c r="T1039">
        <v>0.82536693850640652</v>
      </c>
      <c r="U1039">
        <v>0</v>
      </c>
      <c r="V1039">
        <v>0.20408897656815908</v>
      </c>
      <c r="W1039">
        <v>9.1168511588149079E-2</v>
      </c>
      <c r="X1039">
        <v>2.8075092643101551E-2</v>
      </c>
      <c r="Y1039">
        <v>3.9754515086476193E-3</v>
      </c>
    </row>
    <row r="1040" spans="1:25" x14ac:dyDescent="0.25">
      <c r="A1040" s="1098"/>
      <c r="B1040" s="1457">
        <v>790</v>
      </c>
      <c r="C1040" s="1102">
        <v>1.038303013365955</v>
      </c>
      <c r="D1040" s="1102">
        <v>1.0170179768832952</v>
      </c>
      <c r="E1040" s="1102">
        <v>1.0236993358427569</v>
      </c>
      <c r="F1040" s="1102">
        <v>0.96228310514178061</v>
      </c>
      <c r="G1040" s="1102">
        <v>1.0323900008194806</v>
      </c>
      <c r="H1040" s="1102">
        <v>1.0236540909029292</v>
      </c>
      <c r="I1040" s="1102">
        <v>0.95996661778514336</v>
      </c>
      <c r="K1040">
        <v>1.5052541846509087</v>
      </c>
      <c r="L1040">
        <v>0</v>
      </c>
      <c r="M1040">
        <v>1.4502000417742317E-3</v>
      </c>
      <c r="N1040">
        <v>0.14334468239676962</v>
      </c>
      <c r="O1040">
        <v>0.1160558138906846</v>
      </c>
      <c r="P1040">
        <v>1.5337599766413532E-2</v>
      </c>
      <c r="Q1040">
        <v>8.8106883493646192E-4</v>
      </c>
      <c r="R1040">
        <v>1.4469699184736856E-3</v>
      </c>
      <c r="S1040">
        <v>0.11114526984931249</v>
      </c>
      <c r="T1040">
        <v>0.79262695580256737</v>
      </c>
      <c r="U1040">
        <v>0</v>
      </c>
      <c r="V1040">
        <v>0.20155818012322957</v>
      </c>
      <c r="W1040">
        <v>9.2862743051741942E-2</v>
      </c>
      <c r="X1040">
        <v>2.7506925933972304E-2</v>
      </c>
      <c r="Y1040">
        <v>3.9381751245799413E-3</v>
      </c>
    </row>
    <row r="1041" spans="1:25" x14ac:dyDescent="0.25">
      <c r="A1041" s="1098"/>
      <c r="B1041" s="1457">
        <v>791</v>
      </c>
      <c r="C1041" s="1102">
        <v>0.96581095738783684</v>
      </c>
      <c r="D1041" s="1102">
        <v>1.0288063520886717</v>
      </c>
      <c r="E1041" s="1102">
        <v>0.98627361286722626</v>
      </c>
      <c r="F1041" s="1102">
        <v>0.97479899903895306</v>
      </c>
      <c r="G1041" s="1102">
        <v>0.96664909543885591</v>
      </c>
      <c r="H1041" s="1102">
        <v>0.99946564685036055</v>
      </c>
      <c r="I1041" s="1102">
        <v>1.0090891010153655</v>
      </c>
      <c r="K1041">
        <v>1.5390916648972863</v>
      </c>
      <c r="L1041">
        <v>0</v>
      </c>
      <c r="M1041">
        <v>1.6275008083895353E-3</v>
      </c>
      <c r="N1041">
        <v>0.14366699571943903</v>
      </c>
      <c r="O1041">
        <v>0.12016655232741449</v>
      </c>
      <c r="P1041">
        <v>1.5284606409211499E-2</v>
      </c>
      <c r="Q1041">
        <v>9.0705178164725861E-4</v>
      </c>
      <c r="R1041">
        <v>1.6237649531978186E-3</v>
      </c>
      <c r="S1041">
        <v>0.12234825966301512</v>
      </c>
      <c r="T1041">
        <v>0.80533870719950529</v>
      </c>
      <c r="U1041">
        <v>0</v>
      </c>
      <c r="V1041">
        <v>0.20488913379487644</v>
      </c>
      <c r="W1041">
        <v>9.5156792194570947E-2</v>
      </c>
      <c r="X1041">
        <v>2.6917948734165809E-2</v>
      </c>
      <c r="Y1041">
        <v>4.4193529286314986E-3</v>
      </c>
    </row>
    <row r="1042" spans="1:25" x14ac:dyDescent="0.25">
      <c r="A1042" s="1098"/>
      <c r="B1042" s="1457">
        <v>792</v>
      </c>
      <c r="C1042" s="1102">
        <v>0.96716406288356338</v>
      </c>
      <c r="D1042" s="1102">
        <v>1.0016351090299793</v>
      </c>
      <c r="E1042" s="1102">
        <v>0.98330833570773124</v>
      </c>
      <c r="F1042" s="1102">
        <v>1.021071374127468</v>
      </c>
      <c r="G1042" s="1102">
        <v>1.004772197224258</v>
      </c>
      <c r="H1042" s="1102">
        <v>0.98504790521017604</v>
      </c>
      <c r="I1042" s="1102">
        <v>1.0083428604934119</v>
      </c>
      <c r="K1042">
        <v>1.5891628719908779</v>
      </c>
      <c r="L1042">
        <v>0</v>
      </c>
      <c r="M1042">
        <v>1.6421777985635394E-3</v>
      </c>
      <c r="N1042">
        <v>0.14366613560779823</v>
      </c>
      <c r="O1042">
        <v>0.12456380865084662</v>
      </c>
      <c r="P1042">
        <v>1.5843435672808139E-2</v>
      </c>
      <c r="Q1042">
        <v>9.1269907591008605E-4</v>
      </c>
      <c r="R1042">
        <v>1.6383838050628501E-3</v>
      </c>
      <c r="S1042">
        <v>0.12315430274431322</v>
      </c>
      <c r="T1042">
        <v>0.84376839521397617</v>
      </c>
      <c r="U1042">
        <v>0</v>
      </c>
      <c r="V1042">
        <v>0.20970866009725692</v>
      </c>
      <c r="W1042">
        <v>9.5326106103885658E-2</v>
      </c>
      <c r="X1042">
        <v>2.7763982193276346E-2</v>
      </c>
      <c r="Y1042">
        <v>4.4591406243048911E-3</v>
      </c>
    </row>
    <row r="1043" spans="1:25" x14ac:dyDescent="0.25">
      <c r="A1043" s="1098"/>
      <c r="B1043" s="1457">
        <v>793</v>
      </c>
      <c r="C1043" s="1102">
        <v>1.0167683685776858</v>
      </c>
      <c r="D1043" s="1102">
        <v>1.0002372981424534</v>
      </c>
      <c r="E1043" s="1102">
        <v>0.96715670616491145</v>
      </c>
      <c r="F1043" s="1102">
        <v>1.0004350528785513</v>
      </c>
      <c r="G1043" s="1102">
        <v>1.0062245364594131</v>
      </c>
      <c r="H1043" s="1102">
        <v>1.0192526057113027</v>
      </c>
      <c r="I1043" s="1102">
        <v>0.98978960241107927</v>
      </c>
      <c r="K1043">
        <v>1.5509640332811112</v>
      </c>
      <c r="L1043">
        <v>0</v>
      </c>
      <c r="M1043">
        <v>1.6759960150198026E-3</v>
      </c>
      <c r="N1043">
        <v>0.13964072574017231</v>
      </c>
      <c r="O1043">
        <v>0.12063961789023012</v>
      </c>
      <c r="P1043">
        <v>1.5296541042279144E-2</v>
      </c>
      <c r="Q1043">
        <v>8.540408352928719E-4</v>
      </c>
      <c r="R1043">
        <v>1.6722625609869462E-3</v>
      </c>
      <c r="S1043">
        <v>0.1178575607897431</v>
      </c>
      <c r="T1043">
        <v>0.82779505979314072</v>
      </c>
      <c r="U1043">
        <v>0</v>
      </c>
      <c r="V1043">
        <v>0.20446400055145819</v>
      </c>
      <c r="W1043">
        <v>9.3566670897949025E-2</v>
      </c>
      <c r="X1043">
        <v>2.6302201765077748E-2</v>
      </c>
      <c r="Y1043">
        <v>4.5513474298013923E-3</v>
      </c>
    </row>
    <row r="1044" spans="1:25" x14ac:dyDescent="0.25">
      <c r="A1044" s="1098"/>
      <c r="B1044" s="1457">
        <v>794</v>
      </c>
      <c r="C1044" s="1102">
        <v>1.0179837052135716</v>
      </c>
      <c r="D1044" s="1102">
        <v>1.0070709832612204</v>
      </c>
      <c r="E1044" s="1102">
        <v>0.98172354781697357</v>
      </c>
      <c r="F1044" s="1102">
        <v>1.0170805148337831</v>
      </c>
      <c r="G1044" s="1102">
        <v>1.0220845911544982</v>
      </c>
      <c r="H1044" s="1102">
        <v>0.99955259267670427</v>
      </c>
      <c r="I1044" s="1102">
        <v>0.97608080648506346</v>
      </c>
      <c r="K1044">
        <v>1.5600346972034005</v>
      </c>
      <c r="L1044">
        <v>0</v>
      </c>
      <c r="M1044">
        <v>1.5889043204014963E-3</v>
      </c>
      <c r="N1044">
        <v>0.13834611877442457</v>
      </c>
      <c r="O1044">
        <v>0.12139198711417062</v>
      </c>
      <c r="P1044">
        <v>1.5608445677150173E-2</v>
      </c>
      <c r="Q1044">
        <v>8.6382631057060292E-4</v>
      </c>
      <c r="R1044">
        <v>1.5852957145913033E-3</v>
      </c>
      <c r="S1044">
        <v>0.1142487782876388</v>
      </c>
      <c r="T1044">
        <v>0.84057783977121436</v>
      </c>
      <c r="U1044">
        <v>0</v>
      </c>
      <c r="V1044">
        <v>0.20575770041115343</v>
      </c>
      <c r="W1044">
        <v>9.1883850277218557E-2</v>
      </c>
      <c r="X1044">
        <v>2.7045106843143873E-2</v>
      </c>
      <c r="Y1044">
        <v>4.3146523425256619E-3</v>
      </c>
    </row>
    <row r="1045" spans="1:25" x14ac:dyDescent="0.25">
      <c r="A1045" s="1098"/>
      <c r="B1045" s="1457">
        <v>795</v>
      </c>
      <c r="C1045" s="1102">
        <v>0.99080350142505502</v>
      </c>
      <c r="D1045" s="1102">
        <v>0.96049507071339546</v>
      </c>
      <c r="E1045" s="1102">
        <v>1.024353229232035</v>
      </c>
      <c r="F1045" s="1102">
        <v>1.0264151168815383</v>
      </c>
      <c r="G1045" s="1102">
        <v>1.0317349973975216</v>
      </c>
      <c r="H1045" s="1102">
        <v>1.0169113220681889</v>
      </c>
      <c r="I1045" s="1102">
        <v>1.0399063821481977</v>
      </c>
      <c r="K1045">
        <v>1.6173149294043399</v>
      </c>
      <c r="L1045">
        <v>0</v>
      </c>
      <c r="M1045">
        <v>1.5596737949269007E-3</v>
      </c>
      <c r="N1045">
        <v>0.15447144225864298</v>
      </c>
      <c r="O1045">
        <v>0.12545007281339587</v>
      </c>
      <c r="P1045">
        <v>1.6465043887484026E-2</v>
      </c>
      <c r="Q1045">
        <v>9.4530187384718706E-4</v>
      </c>
      <c r="R1045">
        <v>1.5562152147433552E-3</v>
      </c>
      <c r="S1045">
        <v>0.13010965576635933</v>
      </c>
      <c r="T1045">
        <v>0.84540833280044214</v>
      </c>
      <c r="U1045">
        <v>0</v>
      </c>
      <c r="V1045">
        <v>0.2104898954166857</v>
      </c>
      <c r="W1045">
        <v>0.1000328179118985</v>
      </c>
      <c r="X1045">
        <v>2.9710320447442519E-2</v>
      </c>
      <c r="Y1045">
        <v>4.2355048083237458E-3</v>
      </c>
    </row>
    <row r="1046" spans="1:25" x14ac:dyDescent="0.25">
      <c r="A1046" s="1098"/>
      <c r="B1046" s="1457">
        <v>796</v>
      </c>
      <c r="C1046" s="1102">
        <v>0.98950506455939402</v>
      </c>
      <c r="D1046" s="1102">
        <v>0.99095142794959346</v>
      </c>
      <c r="E1046" s="1102">
        <v>1.0098760638050792</v>
      </c>
      <c r="F1046" s="1102">
        <v>1.0349447925535413</v>
      </c>
      <c r="G1046" s="1102">
        <v>1.0302381536338614</v>
      </c>
      <c r="H1046" s="1102">
        <v>1.0033782467723416</v>
      </c>
      <c r="I1046" s="1102">
        <v>1.0065001325787826</v>
      </c>
      <c r="K1046">
        <v>1.6058406254916437</v>
      </c>
      <c r="L1046">
        <v>0</v>
      </c>
      <c r="M1046">
        <v>1.5610011017022449E-3</v>
      </c>
      <c r="N1046">
        <v>0.1479886545829748</v>
      </c>
      <c r="O1046">
        <v>0.12474274201234595</v>
      </c>
      <c r="P1046">
        <v>1.6291564406146517E-2</v>
      </c>
      <c r="Q1046">
        <v>9.2099524437340657E-4</v>
      </c>
      <c r="R1046">
        <v>1.5574764142952801E-3</v>
      </c>
      <c r="S1046">
        <v>0.12268251131417283</v>
      </c>
      <c r="T1046">
        <v>0.85341462091218578</v>
      </c>
      <c r="U1046">
        <v>0</v>
      </c>
      <c r="V1046">
        <v>0.20998256959510025</v>
      </c>
      <c r="W1046">
        <v>9.6651709731582602E-2</v>
      </c>
      <c r="X1046">
        <v>2.8929845002417322E-2</v>
      </c>
      <c r="Y1046">
        <v>4.2389373777497654E-3</v>
      </c>
    </row>
    <row r="1047" spans="1:25" x14ac:dyDescent="0.25">
      <c r="A1047" s="1098"/>
      <c r="B1047" s="1457">
        <v>797</v>
      </c>
      <c r="C1047" s="1102">
        <v>0.97405592076765046</v>
      </c>
      <c r="D1047" s="1102">
        <v>1.0462041547122036</v>
      </c>
      <c r="E1047" s="1102">
        <v>0.97625108035273345</v>
      </c>
      <c r="F1047" s="1102">
        <v>0.96018315368551788</v>
      </c>
      <c r="G1047" s="1102">
        <v>0.98869343558619738</v>
      </c>
      <c r="H1047" s="1102">
        <v>1.023839510737639</v>
      </c>
      <c r="I1047" s="1102">
        <v>1.0020610761631883</v>
      </c>
      <c r="K1047">
        <v>1.5218803247802235</v>
      </c>
      <c r="L1047">
        <v>0</v>
      </c>
      <c r="M1047">
        <v>1.6709769727835378E-3</v>
      </c>
      <c r="N1047">
        <v>0.14310612136245504</v>
      </c>
      <c r="O1047">
        <v>0.11800395091724672</v>
      </c>
      <c r="P1047">
        <v>1.4985921191454069E-2</v>
      </c>
      <c r="Q1047">
        <v>8.8403378774454255E-4</v>
      </c>
      <c r="R1047">
        <v>1.6672204375366866E-3</v>
      </c>
      <c r="S1047">
        <v>0.12114038259848821</v>
      </c>
      <c r="T1047">
        <v>0.79390480280633657</v>
      </c>
      <c r="U1047">
        <v>0</v>
      </c>
      <c r="V1047">
        <v>0.20388040613638464</v>
      </c>
      <c r="W1047">
        <v>9.536009060268269E-2</v>
      </c>
      <c r="X1047">
        <v>2.6080747480772902E-2</v>
      </c>
      <c r="Y1047">
        <v>4.5376244319053358E-3</v>
      </c>
    </row>
    <row r="1048" spans="1:25" x14ac:dyDescent="0.25">
      <c r="A1048" s="1098"/>
      <c r="B1048" s="1457">
        <v>798</v>
      </c>
      <c r="C1048" s="1102">
        <v>1.0442406325721671</v>
      </c>
      <c r="D1048" s="1102">
        <v>1.0004431313424165</v>
      </c>
      <c r="E1048" s="1102">
        <v>0.99241508117514543</v>
      </c>
      <c r="F1048" s="1102">
        <v>0.97733993759525772</v>
      </c>
      <c r="G1048" s="1102">
        <v>0.97241504316571215</v>
      </c>
      <c r="H1048" s="1102">
        <v>0.9881549153418141</v>
      </c>
      <c r="I1048" s="1102">
        <v>1.0098837777049068</v>
      </c>
      <c r="K1048">
        <v>1.5098787674853718</v>
      </c>
      <c r="L1048">
        <v>0</v>
      </c>
      <c r="M1048">
        <v>1.5016758160707518E-3</v>
      </c>
      <c r="N1048">
        <v>0.13504411032682198</v>
      </c>
      <c r="O1048">
        <v>0.11760916639857434</v>
      </c>
      <c r="P1048">
        <v>1.520355690525675E-2</v>
      </c>
      <c r="Q1048">
        <v>8.5381003115304465E-4</v>
      </c>
      <c r="R1048">
        <v>1.4982258511635068E-3</v>
      </c>
      <c r="S1048">
        <v>0.11474602966074521</v>
      </c>
      <c r="T1048">
        <v>0.80703962447350019</v>
      </c>
      <c r="U1048">
        <v>0</v>
      </c>
      <c r="V1048">
        <v>0.19959314462966618</v>
      </c>
      <c r="W1048">
        <v>8.9116840662384622E-2</v>
      </c>
      <c r="X1048">
        <v>2.6598257485325696E-2</v>
      </c>
      <c r="Y1048">
        <v>4.0776768768479663E-3</v>
      </c>
    </row>
    <row r="1049" spans="1:25" x14ac:dyDescent="0.25">
      <c r="A1049" s="1098"/>
      <c r="B1049" s="1457">
        <v>799</v>
      </c>
      <c r="C1049" s="1102">
        <v>0.96209860003384584</v>
      </c>
      <c r="D1049" s="1102">
        <v>0.98440504765903258</v>
      </c>
      <c r="E1049" s="1102">
        <v>0.98692996138217226</v>
      </c>
      <c r="F1049" s="1102">
        <v>0.98314153181674624</v>
      </c>
      <c r="G1049" s="1102">
        <v>0.9939792886635781</v>
      </c>
      <c r="H1049" s="1102">
        <v>1.0234689205035556</v>
      </c>
      <c r="I1049" s="1102">
        <v>1.0075120269153799</v>
      </c>
      <c r="K1049">
        <v>1.5717418294872125</v>
      </c>
      <c r="L1049">
        <v>0</v>
      </c>
      <c r="M1049">
        <v>1.7133386472383053E-3</v>
      </c>
      <c r="N1049">
        <v>0.15155553409570446</v>
      </c>
      <c r="O1049">
        <v>0.12289991593192211</v>
      </c>
      <c r="P1049">
        <v>1.5504995521845547E-2</v>
      </c>
      <c r="Q1049">
        <v>9.2739811541365711E-4</v>
      </c>
      <c r="R1049">
        <v>1.7095267914356935E-3</v>
      </c>
      <c r="S1049">
        <v>0.12791804561925366</v>
      </c>
      <c r="T1049">
        <v>0.81218808663266817</v>
      </c>
      <c r="U1049">
        <v>0</v>
      </c>
      <c r="V1049">
        <v>0.20822590901574761</v>
      </c>
      <c r="W1049">
        <v>0.1003421405152172</v>
      </c>
      <c r="X1049">
        <v>2.753084751430997E-2</v>
      </c>
      <c r="Y1049">
        <v>4.6527683809326169E-3</v>
      </c>
    </row>
    <row r="1050" spans="1:25" x14ac:dyDescent="0.25">
      <c r="A1050" s="1098"/>
      <c r="B1050" s="1457">
        <v>800</v>
      </c>
      <c r="C1050" s="1102">
        <v>1.0167317502024278</v>
      </c>
      <c r="D1050" s="1102">
        <v>0.97990773216518334</v>
      </c>
      <c r="E1050" s="1102">
        <v>0.99011865308482006</v>
      </c>
      <c r="F1050" s="1102">
        <v>0.99809890794840661</v>
      </c>
      <c r="G1050" s="1102">
        <v>1.0109749867201372</v>
      </c>
      <c r="H1050" s="1102">
        <v>0.96021220972664945</v>
      </c>
      <c r="I1050" s="1102">
        <v>1.0164843130721433</v>
      </c>
      <c r="K1050">
        <v>1.5424170080670465</v>
      </c>
      <c r="L1050">
        <v>0</v>
      </c>
      <c r="M1050">
        <v>1.5231369086323445E-3</v>
      </c>
      <c r="N1050">
        <v>0.13601833107426384</v>
      </c>
      <c r="O1050">
        <v>0.1213125404646587</v>
      </c>
      <c r="P1050">
        <v>1.5529134959753934E-2</v>
      </c>
      <c r="Q1050">
        <v>8.8210337483351109E-4</v>
      </c>
      <c r="R1050">
        <v>1.5195470470046324E-3</v>
      </c>
      <c r="S1050">
        <v>0.11782633595078781</v>
      </c>
      <c r="T1050">
        <v>0.82433332378535429</v>
      </c>
      <c r="U1050">
        <v>0</v>
      </c>
      <c r="V1050">
        <v>0.20521260845921269</v>
      </c>
      <c r="W1050">
        <v>8.9883181458680725E-2</v>
      </c>
      <c r="X1050">
        <v>2.7287332257732114E-2</v>
      </c>
      <c r="Y1050">
        <v>4.1357061433971885E-3</v>
      </c>
    </row>
    <row r="1051" spans="1:25" x14ac:dyDescent="0.25">
      <c r="A1051" s="1098"/>
      <c r="B1051" s="1457">
        <v>801</v>
      </c>
      <c r="C1051" s="1102">
        <v>0.99116826865086594</v>
      </c>
      <c r="D1051" s="1102">
        <v>0.99963036354517887</v>
      </c>
      <c r="E1051" s="1102">
        <v>0.99443884827603435</v>
      </c>
      <c r="F1051" s="1102">
        <v>1.0040968604861991</v>
      </c>
      <c r="G1051" s="1102">
        <v>0.99143734842515041</v>
      </c>
      <c r="H1051" s="1102">
        <v>0.97215207745614174</v>
      </c>
      <c r="I1051" s="1102">
        <v>0.98810689128699014</v>
      </c>
      <c r="K1051">
        <v>1.5550495549490781</v>
      </c>
      <c r="L1051">
        <v>0</v>
      </c>
      <c r="M1051">
        <v>1.5479535895939198E-3</v>
      </c>
      <c r="N1051">
        <v>0.14005414133836405</v>
      </c>
      <c r="O1051">
        <v>0.12214996607998872</v>
      </c>
      <c r="P1051">
        <v>1.5644375927530641E-2</v>
      </c>
      <c r="Q1051">
        <v>9.017166659276894E-4</v>
      </c>
      <c r="R1051">
        <v>1.5443329291298144E-3</v>
      </c>
      <c r="S1051">
        <v>0.11694351517932926</v>
      </c>
      <c r="T1051">
        <v>0.82899960987483345</v>
      </c>
      <c r="U1051">
        <v>0</v>
      </c>
      <c r="V1051">
        <v>0.20619662579729167</v>
      </c>
      <c r="W1051">
        <v>9.2311326686535175E-2</v>
      </c>
      <c r="X1051">
        <v>2.7648732915864085E-2</v>
      </c>
      <c r="Y1051">
        <v>4.2031651438780892E-3</v>
      </c>
    </row>
    <row r="1052" spans="1:25" x14ac:dyDescent="0.25">
      <c r="A1052" s="1098"/>
      <c r="B1052" s="1457">
        <v>802</v>
      </c>
      <c r="C1052" s="1102">
        <v>0.98325003066482741</v>
      </c>
      <c r="D1052" s="1102">
        <v>0.97746710797970771</v>
      </c>
      <c r="E1052" s="1102">
        <v>1.0080367537073771</v>
      </c>
      <c r="F1052" s="1102">
        <v>0.9612171790396149</v>
      </c>
      <c r="G1052" s="1102">
        <v>1.0174920606534827</v>
      </c>
      <c r="H1052" s="1102">
        <v>1.0132267496201202</v>
      </c>
      <c r="I1052" s="1102">
        <v>1.011637762543772</v>
      </c>
      <c r="K1052">
        <v>1.5422492455100076</v>
      </c>
      <c r="L1052">
        <v>0</v>
      </c>
      <c r="M1052">
        <v>1.5947426684156376E-3</v>
      </c>
      <c r="N1052">
        <v>0.15035216545940938</v>
      </c>
      <c r="O1052">
        <v>0.12044331465397974</v>
      </c>
      <c r="P1052">
        <v>1.5426709359028032E-2</v>
      </c>
      <c r="Q1052">
        <v>9.3018056762992588E-4</v>
      </c>
      <c r="R1052">
        <v>1.5911624131145466E-3</v>
      </c>
      <c r="S1052">
        <v>0.12539640634573868</v>
      </c>
      <c r="T1052">
        <v>0.79273509154214594</v>
      </c>
      <c r="U1052">
        <v>0</v>
      </c>
      <c r="V1052">
        <v>0.2064965028634872</v>
      </c>
      <c r="W1052">
        <v>9.8301971662089802E-2</v>
      </c>
      <c r="X1052">
        <v>2.7839863749850393E-2</v>
      </c>
      <c r="Y1052">
        <v>4.3306195619492822E-3</v>
      </c>
    </row>
    <row r="1053" spans="1:25" x14ac:dyDescent="0.25">
      <c r="A1053" s="1098"/>
      <c r="B1053" s="1457">
        <v>803</v>
      </c>
      <c r="C1053" s="1102">
        <v>0.96766989027718708</v>
      </c>
      <c r="D1053" s="1102">
        <v>0.97868886659942766</v>
      </c>
      <c r="E1053" s="1102">
        <v>1.0162635912738851</v>
      </c>
      <c r="F1053" s="1102">
        <v>1.0281306954990073</v>
      </c>
      <c r="G1053" s="1102">
        <v>1.0049320534710116</v>
      </c>
      <c r="H1053" s="1102">
        <v>1.0359713591095652</v>
      </c>
      <c r="I1053" s="1102">
        <v>1.0164669035554381</v>
      </c>
      <c r="K1053">
        <v>1.6264537161059764</v>
      </c>
      <c r="L1053">
        <v>0</v>
      </c>
      <c r="M1053">
        <v>1.6343222838019723E-3</v>
      </c>
      <c r="N1053">
        <v>0.15796714674743559</v>
      </c>
      <c r="O1053">
        <v>0.12599321181021109</v>
      </c>
      <c r="P1053">
        <v>1.6400710469184187E-2</v>
      </c>
      <c r="Q1053">
        <v>9.527248999868426E-4</v>
      </c>
      <c r="R1053">
        <v>1.6307478385573014E-3</v>
      </c>
      <c r="S1053">
        <v>0.130215910560771</v>
      </c>
      <c r="T1053">
        <v>0.84736496656075022</v>
      </c>
      <c r="U1053">
        <v>0</v>
      </c>
      <c r="V1053">
        <v>0.21082084406267848</v>
      </c>
      <c r="W1053">
        <v>0.10278175751687413</v>
      </c>
      <c r="X1053">
        <v>2.9521659882653983E-2</v>
      </c>
      <c r="Y1053">
        <v>4.4383580406724696E-3</v>
      </c>
    </row>
    <row r="1054" spans="1:25" x14ac:dyDescent="0.25">
      <c r="A1054" s="1098"/>
      <c r="B1054" s="1457">
        <v>804</v>
      </c>
      <c r="C1054" s="1102">
        <v>1.0153569100244906</v>
      </c>
      <c r="D1054" s="1102">
        <v>0.99571268102691712</v>
      </c>
      <c r="E1054" s="1102">
        <v>1.0045072765792682</v>
      </c>
      <c r="F1054" s="1102">
        <v>0.99607191425442598</v>
      </c>
      <c r="G1054" s="1102">
        <v>1.0305777801665783</v>
      </c>
      <c r="H1054" s="1102">
        <v>0.9976480872031368</v>
      </c>
      <c r="I1054" s="1102">
        <v>0.96777504703619488</v>
      </c>
      <c r="K1054">
        <v>1.5455735553013088</v>
      </c>
      <c r="L1054">
        <v>0</v>
      </c>
      <c r="M1054">
        <v>1.5237950918430953E-3</v>
      </c>
      <c r="N1054">
        <v>0.14213586219239993</v>
      </c>
      <c r="O1054">
        <v>0.12049379019148157</v>
      </c>
      <c r="P1054">
        <v>1.5616447790099037E-2</v>
      </c>
      <c r="Q1054">
        <v>8.9087300000463381E-4</v>
      </c>
      <c r="R1054">
        <v>1.520328289125229E-3</v>
      </c>
      <c r="S1054">
        <v>0.11410710819079729</v>
      </c>
      <c r="T1054">
        <v>0.82171185865095331</v>
      </c>
      <c r="U1054">
        <v>0</v>
      </c>
      <c r="V1054">
        <v>0.20564810276485024</v>
      </c>
      <c r="W1054">
        <v>9.3124240622327367E-2</v>
      </c>
      <c r="X1054">
        <v>2.7710906274199334E-2</v>
      </c>
      <c r="Y1054">
        <v>4.1378324269130563E-3</v>
      </c>
    </row>
    <row r="1055" spans="1:25" x14ac:dyDescent="0.25">
      <c r="A1055" s="1098"/>
      <c r="B1055" s="1457">
        <v>805</v>
      </c>
      <c r="C1055" s="1102">
        <v>0.98902886502549392</v>
      </c>
      <c r="D1055" s="1102">
        <v>1.0064082966059364</v>
      </c>
      <c r="E1055" s="1102">
        <v>1.0358026882732752</v>
      </c>
      <c r="F1055" s="1102">
        <v>0.98077665357667942</v>
      </c>
      <c r="G1055" s="1102">
        <v>0.97408490844213336</v>
      </c>
      <c r="H1055" s="1102">
        <v>1.0167068859974362</v>
      </c>
      <c r="I1055" s="1102">
        <v>1.0195739344886892</v>
      </c>
      <c r="K1055">
        <v>1.5546940943962066</v>
      </c>
      <c r="L1055">
        <v>0</v>
      </c>
      <c r="M1055">
        <v>1.4801073504819792E-3</v>
      </c>
      <c r="N1055">
        <v>0.15173509829148268</v>
      </c>
      <c r="O1055">
        <v>0.12020088766563478</v>
      </c>
      <c r="P1055">
        <v>1.5893252343913391E-2</v>
      </c>
      <c r="Q1055">
        <v>9.4039713712064377E-4</v>
      </c>
      <c r="R1055">
        <v>1.4767868525520562E-3</v>
      </c>
      <c r="S1055">
        <v>0.12398841516711434</v>
      </c>
      <c r="T1055">
        <v>0.80708776398824666</v>
      </c>
      <c r="U1055">
        <v>0</v>
      </c>
      <c r="V1055">
        <v>0.20425315931500179</v>
      </c>
      <c r="W1055">
        <v>9.760996063420517E-2</v>
      </c>
      <c r="X1055">
        <v>2.8969153361425099E-2</v>
      </c>
      <c r="Y1055">
        <v>4.0193269899915889E-3</v>
      </c>
    </row>
    <row r="1056" spans="1:25" x14ac:dyDescent="0.25">
      <c r="A1056" s="1098"/>
      <c r="B1056" s="1457">
        <v>806</v>
      </c>
      <c r="C1056" s="1102">
        <v>1.0011032678920813</v>
      </c>
      <c r="D1056" s="1102">
        <v>0.97164316916821281</v>
      </c>
      <c r="E1056" s="1102">
        <v>0.97875423928164529</v>
      </c>
      <c r="F1056" s="1102">
        <v>1.003518184996891</v>
      </c>
      <c r="G1056" s="1102">
        <v>1.0186053208078159</v>
      </c>
      <c r="H1056" s="1102">
        <v>0.9882412590726396</v>
      </c>
      <c r="I1056" s="1102">
        <v>1.0027838437443761</v>
      </c>
      <c r="K1056">
        <v>1.5639181941894702</v>
      </c>
      <c r="L1056">
        <v>0</v>
      </c>
      <c r="M1056">
        <v>1.6365840710677272E-3</v>
      </c>
      <c r="N1056">
        <v>0.14122068293547038</v>
      </c>
      <c r="O1056">
        <v>0.12289787090367549</v>
      </c>
      <c r="P1056">
        <v>1.5535786792609982E-2</v>
      </c>
      <c r="Q1056">
        <v>8.88297587128461E-4</v>
      </c>
      <c r="R1056">
        <v>1.6328387476437479E-3</v>
      </c>
      <c r="S1056">
        <v>0.12083553204402311</v>
      </c>
      <c r="T1056">
        <v>0.82956770306694527</v>
      </c>
      <c r="U1056">
        <v>0</v>
      </c>
      <c r="V1056">
        <v>0.20737760520044002</v>
      </c>
      <c r="W1056">
        <v>9.3961302618099804E-2</v>
      </c>
      <c r="X1056">
        <v>2.7193109558561714E-2</v>
      </c>
      <c r="Y1056">
        <v>4.4440488059377834E-3</v>
      </c>
    </row>
    <row r="1057" spans="1:25" x14ac:dyDescent="0.25">
      <c r="A1057" s="1098"/>
      <c r="B1057" s="1457">
        <v>807</v>
      </c>
      <c r="C1057" s="1102">
        <v>1.0152371780717726</v>
      </c>
      <c r="D1057" s="1102">
        <v>0.97296595382433826</v>
      </c>
      <c r="E1057" s="1102">
        <v>1.0130113825292983</v>
      </c>
      <c r="F1057" s="1102">
        <v>0.98833335709565739</v>
      </c>
      <c r="G1057" s="1102">
        <v>0.96455411952045234</v>
      </c>
      <c r="H1057" s="1102">
        <v>0.99495174333290592</v>
      </c>
      <c r="I1057" s="1102">
        <v>0.97858331660919284</v>
      </c>
      <c r="K1057">
        <v>1.5432348611612015</v>
      </c>
      <c r="L1057">
        <v>0</v>
      </c>
      <c r="M1057">
        <v>1.511998142880605E-3</v>
      </c>
      <c r="N1057">
        <v>0.14470379467760169</v>
      </c>
      <c r="O1057">
        <v>0.12094075997363549</v>
      </c>
      <c r="P1057">
        <v>1.561949505338078E-2</v>
      </c>
      <c r="Q1057">
        <v>9.071789926440399E-4</v>
      </c>
      <c r="R1057">
        <v>1.5085600029963332E-3</v>
      </c>
      <c r="S1057">
        <v>0.11675748475895646</v>
      </c>
      <c r="T1057">
        <v>0.81477545485774394</v>
      </c>
      <c r="U1057">
        <v>0</v>
      </c>
      <c r="V1057">
        <v>0.20298405043925943</v>
      </c>
      <c r="W1057">
        <v>9.4331994749398546E-2</v>
      </c>
      <c r="X1057">
        <v>2.8112282766980308E-2</v>
      </c>
      <c r="Y1057">
        <v>4.1058030314846819E-3</v>
      </c>
    </row>
    <row r="1058" spans="1:25" x14ac:dyDescent="0.25">
      <c r="A1058" s="1098"/>
      <c r="B1058" s="1457">
        <v>808</v>
      </c>
      <c r="C1058" s="1102">
        <v>0.99506562604352466</v>
      </c>
      <c r="D1058" s="1102">
        <v>0.99018339369217068</v>
      </c>
      <c r="E1058" s="1102">
        <v>1.0236446545599125</v>
      </c>
      <c r="F1058" s="1102">
        <v>1.0173098916682792</v>
      </c>
      <c r="G1058" s="1102">
        <v>1.0042882875369807</v>
      </c>
      <c r="H1058" s="1102">
        <v>1.0325785500589544</v>
      </c>
      <c r="I1058" s="1102">
        <v>0.99331508295566096</v>
      </c>
      <c r="K1058">
        <v>1.5946031702732795</v>
      </c>
      <c r="L1058">
        <v>0</v>
      </c>
      <c r="M1058">
        <v>1.5516412991055748E-3</v>
      </c>
      <c r="N1058">
        <v>0.15335117756804567</v>
      </c>
      <c r="O1058">
        <v>0.12321021400521333</v>
      </c>
      <c r="P1058">
        <v>1.6208784124011933E-2</v>
      </c>
      <c r="Q1058">
        <v>9.2918697260162557E-4</v>
      </c>
      <c r="R1058">
        <v>1.5482341893360407E-3</v>
      </c>
      <c r="S1058">
        <v>0.12273595014847702</v>
      </c>
      <c r="T1058">
        <v>0.8379558271365164</v>
      </c>
      <c r="U1058">
        <v>0</v>
      </c>
      <c r="V1058">
        <v>0.20746776526237437</v>
      </c>
      <c r="W1058">
        <v>9.9348402976510888E-2</v>
      </c>
      <c r="X1058">
        <v>2.9185486101185997E-2</v>
      </c>
      <c r="Y1058">
        <v>4.2137830881093553E-3</v>
      </c>
    </row>
    <row r="1059" spans="1:25" x14ac:dyDescent="0.25">
      <c r="A1059" s="1098"/>
      <c r="B1059" s="1457">
        <v>809</v>
      </c>
      <c r="C1059" s="1102">
        <v>1.0197637436720353</v>
      </c>
      <c r="D1059" s="1102">
        <v>1.0197065359979829</v>
      </c>
      <c r="E1059" s="1102">
        <v>0.99809595662080375</v>
      </c>
      <c r="F1059" s="1102">
        <v>1.0022013990356122</v>
      </c>
      <c r="G1059" s="1102">
        <v>0.98121313983268621</v>
      </c>
      <c r="H1059" s="1102">
        <v>1.0079526330716977</v>
      </c>
      <c r="I1059" s="1102">
        <v>1.0457376498136388</v>
      </c>
      <c r="K1059">
        <v>1.5521174309312329</v>
      </c>
      <c r="L1059">
        <v>0</v>
      </c>
      <c r="M1059">
        <v>1.5337201655662889E-3</v>
      </c>
      <c r="N1059">
        <v>0.14031971954885514</v>
      </c>
      <c r="O1059">
        <v>0.11967903351992359</v>
      </c>
      <c r="P1059">
        <v>1.5682217401081548E-2</v>
      </c>
      <c r="Q1059">
        <v>8.7279773675741801E-4</v>
      </c>
      <c r="R1059">
        <v>1.5302552816544182E-3</v>
      </c>
      <c r="S1059">
        <v>0.12191068599048592</v>
      </c>
      <c r="T1059">
        <v>0.82719229046635157</v>
      </c>
      <c r="U1059">
        <v>0</v>
      </c>
      <c r="V1059">
        <v>0.20266195763859671</v>
      </c>
      <c r="W1059">
        <v>9.2284971445261738E-2</v>
      </c>
      <c r="X1059">
        <v>2.7352371639684216E-2</v>
      </c>
      <c r="Y1059">
        <v>4.1648504281453017E-3</v>
      </c>
    </row>
    <row r="1060" spans="1:25" x14ac:dyDescent="0.25">
      <c r="A1060" s="1098"/>
      <c r="B1060" s="1457">
        <v>810</v>
      </c>
      <c r="C1060" s="1102">
        <v>0.99308195282757539</v>
      </c>
      <c r="D1060" s="1102">
        <v>1.0169957514198147</v>
      </c>
      <c r="E1060" s="1102">
        <v>1.036108310938977</v>
      </c>
      <c r="F1060" s="1102">
        <v>0.95825778777083881</v>
      </c>
      <c r="G1060" s="1102">
        <v>1.0168178065366114</v>
      </c>
      <c r="H1060" s="1102">
        <v>0.96984401181767654</v>
      </c>
      <c r="I1060" s="1102">
        <v>1.0243326577109511</v>
      </c>
      <c r="K1060">
        <v>1.5140239017374473</v>
      </c>
      <c r="L1060">
        <v>0</v>
      </c>
      <c r="M1060">
        <v>1.3948771680440655E-3</v>
      </c>
      <c r="N1060">
        <v>0.14311273330243063</v>
      </c>
      <c r="O1060">
        <v>0.1179477323152477</v>
      </c>
      <c r="P1060">
        <v>1.5573880852556314E-2</v>
      </c>
      <c r="Q1060">
        <v>9.329367919584013E-4</v>
      </c>
      <c r="R1060">
        <v>1.3915861346095312E-3</v>
      </c>
      <c r="S1060">
        <v>0.11938376303570804</v>
      </c>
      <c r="T1060">
        <v>0.78853784358587975</v>
      </c>
      <c r="U1060">
        <v>0</v>
      </c>
      <c r="V1060">
        <v>0.20434618099635998</v>
      </c>
      <c r="W1060">
        <v>9.2047007933482528E-2</v>
      </c>
      <c r="X1060">
        <v>2.8357675235098058E-2</v>
      </c>
      <c r="Y1060">
        <v>3.7874387221611574E-3</v>
      </c>
    </row>
    <row r="1061" spans="1:25" x14ac:dyDescent="0.25">
      <c r="A1061" s="1098"/>
      <c r="B1061" s="1457">
        <v>811</v>
      </c>
      <c r="C1061" s="1102">
        <v>0.98565850492415552</v>
      </c>
      <c r="D1061" s="1102">
        <v>0.99947249240014158</v>
      </c>
      <c r="E1061" s="1102">
        <v>1.0177992656753103</v>
      </c>
      <c r="F1061" s="1102">
        <v>1.0106996039266039</v>
      </c>
      <c r="G1061" s="1102">
        <v>0.99543908838947359</v>
      </c>
      <c r="H1061" s="1102">
        <v>0.98940015049545949</v>
      </c>
      <c r="I1061" s="1102">
        <v>1.0153732178852612</v>
      </c>
      <c r="K1061">
        <v>1.577006843390272</v>
      </c>
      <c r="L1061">
        <v>0</v>
      </c>
      <c r="M1061">
        <v>1.5094901351432981E-3</v>
      </c>
      <c r="N1061">
        <v>0.14656272808194379</v>
      </c>
      <c r="O1061">
        <v>0.12284010195279339</v>
      </c>
      <c r="P1061">
        <v>1.6060672040305434E-2</v>
      </c>
      <c r="Q1061">
        <v>9.2897289113275691E-4</v>
      </c>
      <c r="R1061">
        <v>1.5060213940978639E-3</v>
      </c>
      <c r="S1061">
        <v>0.12231540020891188</v>
      </c>
      <c r="T1061">
        <v>0.8328969992217965</v>
      </c>
      <c r="U1061">
        <v>0</v>
      </c>
      <c r="V1061">
        <v>0.20724135601245353</v>
      </c>
      <c r="W1061">
        <v>9.5275602006045082E-2</v>
      </c>
      <c r="X1061">
        <v>2.8789585941019945E-2</v>
      </c>
      <c r="Y1061">
        <v>4.0988937749152476E-3</v>
      </c>
    </row>
    <row r="1062" spans="1:25" x14ac:dyDescent="0.25">
      <c r="A1062" s="1098"/>
      <c r="B1062" s="1457">
        <v>812</v>
      </c>
      <c r="C1062" s="1102">
        <v>0.96581261884551084</v>
      </c>
      <c r="D1062" s="1102">
        <v>0.98066094250144342</v>
      </c>
      <c r="E1062" s="1102">
        <v>0.96365528333261941</v>
      </c>
      <c r="F1062" s="1102">
        <v>1.0028737394014178</v>
      </c>
      <c r="G1062" s="1102">
        <v>1.0411998218281013</v>
      </c>
      <c r="H1062" s="1102">
        <v>0.97056951488607524</v>
      </c>
      <c r="I1062" s="1102">
        <v>0.9682351620141012</v>
      </c>
      <c r="K1062">
        <v>1.5668523789794215</v>
      </c>
      <c r="L1062">
        <v>0</v>
      </c>
      <c r="M1062">
        <v>1.7051277770840638E-3</v>
      </c>
      <c r="N1062">
        <v>0.1405533239374204</v>
      </c>
      <c r="O1062">
        <v>0.1243544137799617</v>
      </c>
      <c r="P1062">
        <v>1.538375355393534E-2</v>
      </c>
      <c r="Q1062">
        <v>9.0289110171150105E-4</v>
      </c>
      <c r="R1062">
        <v>1.7011374306137098E-3</v>
      </c>
      <c r="S1062">
        <v>0.1186064503288123</v>
      </c>
      <c r="T1062">
        <v>0.83004863964942022</v>
      </c>
      <c r="U1062">
        <v>0</v>
      </c>
      <c r="V1062">
        <v>0.21113803392438313</v>
      </c>
      <c r="W1062">
        <v>9.4379810949750148E-2</v>
      </c>
      <c r="X1062">
        <v>2.6859116794168466E-2</v>
      </c>
      <c r="Y1062">
        <v>4.6299353063272283E-3</v>
      </c>
    </row>
    <row r="1063" spans="1:25" x14ac:dyDescent="0.25">
      <c r="A1063" s="1098"/>
      <c r="B1063" s="1457">
        <v>813</v>
      </c>
      <c r="C1063" s="1102">
        <v>0.97698360682273899</v>
      </c>
      <c r="D1063" s="1102">
        <v>1.0047204308480135</v>
      </c>
      <c r="E1063" s="1102">
        <v>0.98118432567046987</v>
      </c>
      <c r="F1063" s="1102">
        <v>1.037747756665192</v>
      </c>
      <c r="G1063" s="1102">
        <v>1.0282014192877069</v>
      </c>
      <c r="H1063" s="1102">
        <v>0.98634591871778676</v>
      </c>
      <c r="I1063" s="1102">
        <v>0.99530622765411847</v>
      </c>
      <c r="K1063">
        <v>1.599521258003096</v>
      </c>
      <c r="L1063">
        <v>0</v>
      </c>
      <c r="M1063">
        <v>1.6353583639927471E-3</v>
      </c>
      <c r="N1063">
        <v>0.14215410739359741</v>
      </c>
      <c r="O1063">
        <v>0.12506669365836254</v>
      </c>
      <c r="P1063">
        <v>1.5980442396905038E-2</v>
      </c>
      <c r="Q1063">
        <v>9.0041080912639884E-4</v>
      </c>
      <c r="R1063">
        <v>1.63159060354972E-3</v>
      </c>
      <c r="S1063">
        <v>0.12037646461075441</v>
      </c>
      <c r="T1063">
        <v>0.85769579335262169</v>
      </c>
      <c r="U1063">
        <v>0</v>
      </c>
      <c r="V1063">
        <v>0.21065463519887628</v>
      </c>
      <c r="W1063">
        <v>9.4443671000660673E-2</v>
      </c>
      <c r="X1063">
        <v>2.781215557346866E-2</v>
      </c>
      <c r="Y1063">
        <v>4.4406517691644295E-3</v>
      </c>
    </row>
    <row r="1064" spans="1:25" x14ac:dyDescent="0.25">
      <c r="A1064" s="1098"/>
      <c r="B1064" s="1457">
        <v>814</v>
      </c>
      <c r="C1064" s="1102">
        <v>0.99371943248778905</v>
      </c>
      <c r="D1064" s="1102">
        <v>0.98725770007815461</v>
      </c>
      <c r="E1064" s="1102">
        <v>1.003050916332888</v>
      </c>
      <c r="F1064" s="1102">
        <v>1.0051792552231076</v>
      </c>
      <c r="G1064" s="1102">
        <v>1.022666040232705</v>
      </c>
      <c r="H1064" s="1102">
        <v>0.98725521636179281</v>
      </c>
      <c r="I1064" s="1102">
        <v>0.99782515322270648</v>
      </c>
      <c r="K1064">
        <v>1.5673101314827897</v>
      </c>
      <c r="L1064">
        <v>0</v>
      </c>
      <c r="M1064">
        <v>1.5515240407383616E-3</v>
      </c>
      <c r="N1064">
        <v>0.14408386763727443</v>
      </c>
      <c r="O1064">
        <v>0.12261860132253434</v>
      </c>
      <c r="P1064">
        <v>1.5812864316689591E-2</v>
      </c>
      <c r="Q1064">
        <v>9.1200600271325034E-4</v>
      </c>
      <c r="R1064">
        <v>1.5479588873328592E-3</v>
      </c>
      <c r="S1064">
        <v>0.11991818986728613</v>
      </c>
      <c r="T1064">
        <v>0.82932144044800893</v>
      </c>
      <c r="U1064">
        <v>0</v>
      </c>
      <c r="V1064">
        <v>0.20783292421715505</v>
      </c>
      <c r="W1064">
        <v>9.4482033376037208E-2</v>
      </c>
      <c r="X1064">
        <v>2.8118735641684878E-2</v>
      </c>
      <c r="Y1064">
        <v>4.2130338068099753E-3</v>
      </c>
    </row>
    <row r="1065" spans="1:25" x14ac:dyDescent="0.25">
      <c r="A1065" s="1098"/>
      <c r="B1065" s="1457">
        <v>815</v>
      </c>
      <c r="C1065" s="1102">
        <v>1.0004011357624552</v>
      </c>
      <c r="D1065" s="1102">
        <v>0.99539034209072086</v>
      </c>
      <c r="E1065" s="1102">
        <v>1.0380291824927328</v>
      </c>
      <c r="F1065" s="1102">
        <v>0.99565803904501915</v>
      </c>
      <c r="G1065" s="1102">
        <v>0.9919851669439429</v>
      </c>
      <c r="H1065" s="1102">
        <v>1.0097341863807561</v>
      </c>
      <c r="I1065" s="1102">
        <v>1.0407582256603345</v>
      </c>
      <c r="K1065">
        <v>1.5686057154881226</v>
      </c>
      <c r="L1065">
        <v>0</v>
      </c>
      <c r="M1065">
        <v>1.4584719699650094E-3</v>
      </c>
      <c r="N1065">
        <v>0.15052249715118915</v>
      </c>
      <c r="O1065">
        <v>0.12114440211488298</v>
      </c>
      <c r="P1065">
        <v>1.6123674291423255E-2</v>
      </c>
      <c r="Q1065">
        <v>9.3592601686604525E-4</v>
      </c>
      <c r="R1065">
        <v>1.4551900095582967E-3</v>
      </c>
      <c r="S1065">
        <v>0.1255457845254663</v>
      </c>
      <c r="T1065">
        <v>0.81919006016174467</v>
      </c>
      <c r="U1065">
        <v>0</v>
      </c>
      <c r="V1065">
        <v>0.20520405149353146</v>
      </c>
      <c r="W1065">
        <v>9.6705515417237001E-2</v>
      </c>
      <c r="X1065">
        <v>2.9276538773427147E-2</v>
      </c>
      <c r="Y1065">
        <v>3.9605475027599561E-3</v>
      </c>
    </row>
    <row r="1066" spans="1:25" x14ac:dyDescent="0.25">
      <c r="A1066" s="1098"/>
      <c r="B1066" s="1457">
        <v>816</v>
      </c>
      <c r="C1066" s="1102">
        <v>0.96798400753555891</v>
      </c>
      <c r="D1066" s="1102">
        <v>0.96726374763835654</v>
      </c>
      <c r="E1066" s="1102">
        <v>0.95409284957240981</v>
      </c>
      <c r="F1066" s="1102">
        <v>0.98875263774070099</v>
      </c>
      <c r="G1066" s="1102">
        <v>0.98854158570145456</v>
      </c>
      <c r="H1066" s="1102">
        <v>1.0213244532082106</v>
      </c>
      <c r="I1066" s="1102">
        <v>1.0300231906217845</v>
      </c>
      <c r="K1066">
        <v>1.5764371513300359</v>
      </c>
      <c r="L1066">
        <v>0</v>
      </c>
      <c r="M1066">
        <v>1.8383173322079026E-3</v>
      </c>
      <c r="N1066">
        <v>0.14722164707603713</v>
      </c>
      <c r="O1066">
        <v>0.12386228520500307</v>
      </c>
      <c r="P1066">
        <v>1.5251950455975076E-2</v>
      </c>
      <c r="Q1066">
        <v>8.9670165071820487E-4</v>
      </c>
      <c r="R1066">
        <v>1.8342342995473404E-3</v>
      </c>
      <c r="S1066">
        <v>0.13117265491261712</v>
      </c>
      <c r="T1066">
        <v>0.8189977164850929</v>
      </c>
      <c r="U1066">
        <v>0</v>
      </c>
      <c r="V1066">
        <v>0.20822693851236168</v>
      </c>
      <c r="W1066">
        <v>9.9439680461940724E-2</v>
      </c>
      <c r="X1066">
        <v>2.6379478494755752E-2</v>
      </c>
      <c r="Y1066">
        <v>4.9921811081935184E-3</v>
      </c>
    </row>
    <row r="1067" spans="1:25" x14ac:dyDescent="0.25">
      <c r="A1067" s="1098"/>
      <c r="B1067" s="1457">
        <v>817</v>
      </c>
      <c r="C1067" s="1102">
        <v>1.012913535633819</v>
      </c>
      <c r="D1067" s="1102">
        <v>0.99084611164387926</v>
      </c>
      <c r="E1067" s="1102">
        <v>0.99648770057313807</v>
      </c>
      <c r="F1067" s="1102">
        <v>1.0135100850809284</v>
      </c>
      <c r="G1067" s="1102">
        <v>1.0357050482639345</v>
      </c>
      <c r="H1067" s="1102">
        <v>1.0174022145064461</v>
      </c>
      <c r="I1067" s="1102">
        <v>1.0220451370402108</v>
      </c>
      <c r="K1067">
        <v>1.5776062276863378</v>
      </c>
      <c r="L1067">
        <v>0</v>
      </c>
      <c r="M1067">
        <v>1.5900821720975554E-3</v>
      </c>
      <c r="N1067">
        <v>0.14477571732513392</v>
      </c>
      <c r="O1067">
        <v>0.12207756417548178</v>
      </c>
      <c r="P1067">
        <v>1.5864727694508991E-2</v>
      </c>
      <c r="Q1067">
        <v>8.8736683297430639E-4</v>
      </c>
      <c r="R1067">
        <v>1.5865417773996754E-3</v>
      </c>
      <c r="S1067">
        <v>0.12281874776574564</v>
      </c>
      <c r="T1067">
        <v>0.83663394514896061</v>
      </c>
      <c r="U1067">
        <v>0</v>
      </c>
      <c r="V1067">
        <v>0.20711907093700582</v>
      </c>
      <c r="W1067">
        <v>9.530682738347511E-2</v>
      </c>
      <c r="X1067">
        <v>2.780775710302142E-2</v>
      </c>
      <c r="Y1067">
        <v>4.318043714725558E-3</v>
      </c>
    </row>
    <row r="1068" spans="1:25" x14ac:dyDescent="0.25">
      <c r="A1068" s="1098"/>
      <c r="B1068" s="1457">
        <v>818</v>
      </c>
      <c r="C1068" s="1102">
        <v>1.022779430115593</v>
      </c>
      <c r="D1068" s="1102">
        <v>0.99588302899601366</v>
      </c>
      <c r="E1068" s="1102">
        <v>1.0068904979972011</v>
      </c>
      <c r="F1068" s="1102">
        <v>1.0115104587449488</v>
      </c>
      <c r="G1068" s="1102">
        <v>0.97061748116146662</v>
      </c>
      <c r="H1068" s="1102">
        <v>1.0207875214820512</v>
      </c>
      <c r="I1068" s="1102">
        <v>0.95806268015946305</v>
      </c>
      <c r="K1068">
        <v>1.5612166821004425</v>
      </c>
      <c r="L1068">
        <v>0</v>
      </c>
      <c r="M1068">
        <v>1.5426416592609915E-3</v>
      </c>
      <c r="N1068">
        <v>0.14494122234747511</v>
      </c>
      <c r="O1068">
        <v>0.1211872642066619</v>
      </c>
      <c r="P1068">
        <v>1.5780392060305765E-2</v>
      </c>
      <c r="Q1068">
        <v>8.8652846796749064E-4</v>
      </c>
      <c r="R1068">
        <v>1.5392172369774804E-3</v>
      </c>
      <c r="S1068">
        <v>0.11398768950939417</v>
      </c>
      <c r="T1068">
        <v>0.83428922876943068</v>
      </c>
      <c r="U1068">
        <v>0</v>
      </c>
      <c r="V1068">
        <v>0.20313860228937386</v>
      </c>
      <c r="W1068">
        <v>9.4828437854117931E-2</v>
      </c>
      <c r="X1068">
        <v>2.7991499101770748E-2</v>
      </c>
      <c r="Y1068">
        <v>4.1892419162268988E-3</v>
      </c>
    </row>
    <row r="1069" spans="1:25" x14ac:dyDescent="0.25">
      <c r="A1069" s="1098"/>
      <c r="B1069" s="1457">
        <v>819</v>
      </c>
      <c r="C1069" s="1102">
        <v>1.0046429375202239</v>
      </c>
      <c r="D1069" s="1102">
        <v>0.98064904306111433</v>
      </c>
      <c r="E1069" s="1102">
        <v>0.98261805622251142</v>
      </c>
      <c r="F1069" s="1102">
        <v>1.0074702907897912</v>
      </c>
      <c r="G1069" s="1102">
        <v>0.96086166797787909</v>
      </c>
      <c r="H1069" s="1102">
        <v>1.0036010123370249</v>
      </c>
      <c r="I1069" s="1102">
        <v>1.0020933804704735</v>
      </c>
      <c r="K1069">
        <v>1.566253158989245</v>
      </c>
      <c r="L1069">
        <v>0</v>
      </c>
      <c r="M1069">
        <v>1.6353480136408697E-3</v>
      </c>
      <c r="N1069">
        <v>0.1427780269931696</v>
      </c>
      <c r="O1069">
        <v>0.12257083768698095</v>
      </c>
      <c r="P1069">
        <v>1.5583402845083518E-2</v>
      </c>
      <c r="Q1069">
        <v>8.8548404345789372E-4</v>
      </c>
      <c r="R1069">
        <v>1.6316592268595905E-3</v>
      </c>
      <c r="S1069">
        <v>0.12094682014155003</v>
      </c>
      <c r="T1069">
        <v>0.83257535019112994</v>
      </c>
      <c r="U1069">
        <v>0</v>
      </c>
      <c r="V1069">
        <v>0.20440563932326722</v>
      </c>
      <c r="W1069">
        <v>9.477622617176322E-2</v>
      </c>
      <c r="X1069">
        <v>2.7294221840431152E-2</v>
      </c>
      <c r="Y1069">
        <v>4.440838539192229E-3</v>
      </c>
    </row>
    <row r="1070" spans="1:25" x14ac:dyDescent="0.25">
      <c r="A1070" s="1098"/>
      <c r="B1070" s="1457">
        <v>820</v>
      </c>
      <c r="C1070" s="1102">
        <v>1.0180430830227365</v>
      </c>
      <c r="D1070" s="1102">
        <v>1.0125568352333463</v>
      </c>
      <c r="E1070" s="1102">
        <v>0.97454782711582988</v>
      </c>
      <c r="F1070" s="1102">
        <v>1.003988527456557</v>
      </c>
      <c r="G1070" s="1102">
        <v>1.0204207028736887</v>
      </c>
      <c r="H1070" s="1102">
        <v>1.0054021150226082</v>
      </c>
      <c r="I1070" s="1102">
        <v>0.99559685210564097</v>
      </c>
      <c r="K1070">
        <v>1.5484584047471399</v>
      </c>
      <c r="L1070">
        <v>0</v>
      </c>
      <c r="M1070">
        <v>1.6154396496736092E-3</v>
      </c>
      <c r="N1070">
        <v>0.13763645923484893</v>
      </c>
      <c r="O1070">
        <v>0.12026241595674515</v>
      </c>
      <c r="P1070">
        <v>1.5403006109822251E-2</v>
      </c>
      <c r="Q1070">
        <v>8.5543756767585697E-4</v>
      </c>
      <c r="R1070">
        <v>1.6117852801940053E-3</v>
      </c>
      <c r="S1070">
        <v>0.11651186339743493</v>
      </c>
      <c r="T1070">
        <v>0.83023848785120491</v>
      </c>
      <c r="U1070">
        <v>0</v>
      </c>
      <c r="V1070">
        <v>0.20482948227569187</v>
      </c>
      <c r="W1070">
        <v>9.1810050099517787E-2</v>
      </c>
      <c r="X1070">
        <v>2.6528108415862568E-2</v>
      </c>
      <c r="Y1070">
        <v>4.3867482078132616E-3</v>
      </c>
    </row>
    <row r="1071" spans="1:25" x14ac:dyDescent="0.25">
      <c r="A1071" s="1098"/>
      <c r="B1071" s="1457">
        <v>821</v>
      </c>
      <c r="C1071" s="1102">
        <v>0.99658757678225052</v>
      </c>
      <c r="D1071" s="1102">
        <v>1.0198140915193072</v>
      </c>
      <c r="E1071" s="1102">
        <v>0.9840946875118125</v>
      </c>
      <c r="F1071" s="1102">
        <v>0.99478211402660688</v>
      </c>
      <c r="G1071" s="1102">
        <v>1.0079976340462147</v>
      </c>
      <c r="H1071" s="1102">
        <v>1.0132230937453113</v>
      </c>
      <c r="I1071" s="1102">
        <v>1.0051876899354235</v>
      </c>
      <c r="K1071">
        <v>1.5518578862165198</v>
      </c>
      <c r="L1071">
        <v>0</v>
      </c>
      <c r="M1071">
        <v>1.6203680528207726E-3</v>
      </c>
      <c r="N1071">
        <v>0.1421039515207928</v>
      </c>
      <c r="O1071">
        <v>0.12036467793009671</v>
      </c>
      <c r="P1071">
        <v>1.5460225517963893E-2</v>
      </c>
      <c r="Q1071">
        <v>8.8012605322249462E-4</v>
      </c>
      <c r="R1071">
        <v>1.6167184122610238E-3</v>
      </c>
      <c r="S1071">
        <v>0.12011579533744975</v>
      </c>
      <c r="T1071">
        <v>0.82199205802140984</v>
      </c>
      <c r="U1071">
        <v>0</v>
      </c>
      <c r="V1071">
        <v>0.20537945836070357</v>
      </c>
      <c r="W1071">
        <v>9.4244928881385415E-2</v>
      </c>
      <c r="X1071">
        <v>2.6920139666961333E-2</v>
      </c>
      <c r="Y1071">
        <v>4.4001745670931387E-3</v>
      </c>
    </row>
    <row r="1072" spans="1:25" x14ac:dyDescent="0.25">
      <c r="A1072" s="1098"/>
      <c r="B1072" s="1457">
        <v>822</v>
      </c>
      <c r="C1072" s="1102">
        <v>0.98535241680866792</v>
      </c>
      <c r="D1072" s="1102">
        <v>0.9869577155733984</v>
      </c>
      <c r="E1072" s="1102">
        <v>1.0048201773672696</v>
      </c>
      <c r="F1072" s="1102">
        <v>0.99587125959994094</v>
      </c>
      <c r="G1072" s="1102">
        <v>1.0305644118977764</v>
      </c>
      <c r="H1072" s="1102">
        <v>1.0045923651278186</v>
      </c>
      <c r="I1072" s="1102">
        <v>0.98497440013190485</v>
      </c>
      <c r="K1072">
        <v>1.5670171650376181</v>
      </c>
      <c r="L1072">
        <v>0</v>
      </c>
      <c r="M1072">
        <v>1.5844636204939522E-3</v>
      </c>
      <c r="N1072">
        <v>0.14793668067684618</v>
      </c>
      <c r="O1072">
        <v>0.12240892578163125</v>
      </c>
      <c r="P1072">
        <v>1.5745772357672747E-2</v>
      </c>
      <c r="Q1072">
        <v>9.2154740222654677E-4</v>
      </c>
      <c r="R1072">
        <v>1.5808809374814781E-3</v>
      </c>
      <c r="S1072">
        <v>0.1206794798146444</v>
      </c>
      <c r="T1072">
        <v>0.82152580448828305</v>
      </c>
      <c r="U1072">
        <v>0</v>
      </c>
      <c r="V1072">
        <v>0.20843887579805162</v>
      </c>
      <c r="W1072">
        <v>9.6906849930001204E-2</v>
      </c>
      <c r="X1072">
        <v>2.8154174696710256E-2</v>
      </c>
      <c r="Y1072">
        <v>4.3026367745636011E-3</v>
      </c>
    </row>
    <row r="1073" spans="1:25" x14ac:dyDescent="0.25">
      <c r="A1073" s="1098"/>
      <c r="B1073" s="1457">
        <v>823</v>
      </c>
      <c r="C1073" s="1102">
        <v>0.95659365542130681</v>
      </c>
      <c r="D1073" s="1102">
        <v>0.99569871954237954</v>
      </c>
      <c r="E1073" s="1102">
        <v>1.0292446100260679</v>
      </c>
      <c r="F1073" s="1102">
        <v>0.9973569514164804</v>
      </c>
      <c r="G1073" s="1102">
        <v>1.0033565139506235</v>
      </c>
      <c r="H1073" s="1102">
        <v>0.99038849500631976</v>
      </c>
      <c r="I1073" s="1102">
        <v>0.99920559847443569</v>
      </c>
      <c r="K1073">
        <v>1.580286221372617</v>
      </c>
      <c r="L1073">
        <v>0</v>
      </c>
      <c r="M1073">
        <v>1.5185170982687406E-3</v>
      </c>
      <c r="N1073">
        <v>0.15261695860857474</v>
      </c>
      <c r="O1073">
        <v>0.12359080390923641</v>
      </c>
      <c r="P1073">
        <v>1.6090860766285301E-2</v>
      </c>
      <c r="Q1073">
        <v>9.699487974612742E-4</v>
      </c>
      <c r="R1073">
        <v>1.5150218317253063E-3</v>
      </c>
      <c r="S1073">
        <v>0.12414093518416669</v>
      </c>
      <c r="T1073">
        <v>0.82115670996853274</v>
      </c>
      <c r="U1073">
        <v>0</v>
      </c>
      <c r="V1073">
        <v>0.20962903043275563</v>
      </c>
      <c r="W1073">
        <v>9.8550966709331334E-2</v>
      </c>
      <c r="X1073">
        <v>2.9420112263670677E-2</v>
      </c>
      <c r="Y1073">
        <v>4.1233899991436791E-3</v>
      </c>
    </row>
    <row r="1074" spans="1:25" x14ac:dyDescent="0.25">
      <c r="A1074" s="1098"/>
      <c r="B1074" s="1457">
        <v>824</v>
      </c>
      <c r="C1074" s="1102">
        <v>0.98250546071335565</v>
      </c>
      <c r="D1074" s="1102">
        <v>1.0149098214778911</v>
      </c>
      <c r="E1074" s="1102">
        <v>0.97347870539514869</v>
      </c>
      <c r="F1074" s="1102">
        <v>1.0038424805887551</v>
      </c>
      <c r="G1074" s="1102">
        <v>0.96834723708393566</v>
      </c>
      <c r="H1074" s="1102">
        <v>0.9561218381334613</v>
      </c>
      <c r="I1074" s="1102">
        <v>1.0142819875999414</v>
      </c>
      <c r="K1074">
        <v>1.5486128952467118</v>
      </c>
      <c r="L1074">
        <v>0</v>
      </c>
      <c r="M1074">
        <v>1.5891712399529543E-3</v>
      </c>
      <c r="N1074">
        <v>0.13494418151108101</v>
      </c>
      <c r="O1074">
        <v>0.12197528336257231</v>
      </c>
      <c r="P1074">
        <v>1.542553260994442E-2</v>
      </c>
      <c r="Q1074">
        <v>8.8456173339781271E-4</v>
      </c>
      <c r="R1074">
        <v>1.5853798399926287E-3</v>
      </c>
      <c r="S1074">
        <v>0.1186169070276942</v>
      </c>
      <c r="T1074">
        <v>0.83018946392963522</v>
      </c>
      <c r="U1074">
        <v>0</v>
      </c>
      <c r="V1074">
        <v>0.20539725917399165</v>
      </c>
      <c r="W1074">
        <v>9.007257820925299E-2</v>
      </c>
      <c r="X1074">
        <v>2.6796037784963894E-2</v>
      </c>
      <c r="Y1074">
        <v>4.3148813041361386E-3</v>
      </c>
    </row>
    <row r="1075" spans="1:25" x14ac:dyDescent="0.25">
      <c r="A1075" s="1098"/>
      <c r="B1075" s="1457">
        <v>825</v>
      </c>
      <c r="C1075" s="1102">
        <v>0.96709724174800016</v>
      </c>
      <c r="D1075" s="1102">
        <v>0.97880910281077504</v>
      </c>
      <c r="E1075" s="1102">
        <v>1.0424285853539959</v>
      </c>
      <c r="F1075" s="1102">
        <v>0.99030663790843609</v>
      </c>
      <c r="G1075" s="1102">
        <v>0.9680979217776603</v>
      </c>
      <c r="H1075" s="1102">
        <v>0.98162004436288275</v>
      </c>
      <c r="I1075" s="1102">
        <v>1.0123724811462356</v>
      </c>
      <c r="K1075">
        <v>1.5719301760319426</v>
      </c>
      <c r="L1075">
        <v>0</v>
      </c>
      <c r="M1075">
        <v>1.4627493366513962E-3</v>
      </c>
      <c r="N1075">
        <v>0.15296793050251067</v>
      </c>
      <c r="O1075">
        <v>0.12323782164861932</v>
      </c>
      <c r="P1075">
        <v>1.6130249887536825E-2</v>
      </c>
      <c r="Q1075">
        <v>9.7904556599518236E-4</v>
      </c>
      <c r="R1075">
        <v>1.4593627033010557E-3</v>
      </c>
      <c r="S1075">
        <v>0.12499728563214078</v>
      </c>
      <c r="T1075">
        <v>0.81450518545214379</v>
      </c>
      <c r="U1075">
        <v>0</v>
      </c>
      <c r="V1075">
        <v>0.20726273010819177</v>
      </c>
      <c r="W1075">
        <v>9.802796759355506E-2</v>
      </c>
      <c r="X1075">
        <v>2.9853442074999736E-2</v>
      </c>
      <c r="Y1075">
        <v>3.9719041995996233E-3</v>
      </c>
    </row>
    <row r="1076" spans="1:25" x14ac:dyDescent="0.25">
      <c r="A1076" s="1098"/>
      <c r="B1076" s="1457">
        <v>826</v>
      </c>
      <c r="C1076" s="1102">
        <v>0.9704783990139324</v>
      </c>
      <c r="D1076" s="1102">
        <v>1.0145599196538895</v>
      </c>
      <c r="E1076" s="1102">
        <v>0.98244067452189143</v>
      </c>
      <c r="F1076" s="1102">
        <v>0.98915586417970769</v>
      </c>
      <c r="G1076" s="1102">
        <v>0.96819581317240189</v>
      </c>
      <c r="H1076" s="1102">
        <v>1.0001188758445714</v>
      </c>
      <c r="I1076" s="1102">
        <v>0.98076958725075536</v>
      </c>
      <c r="K1076">
        <v>1.5514273247210359</v>
      </c>
      <c r="L1076">
        <v>0</v>
      </c>
      <c r="M1076">
        <v>1.6489669250522594E-3</v>
      </c>
      <c r="N1076">
        <v>0.14388554675974027</v>
      </c>
      <c r="O1076">
        <v>0.12156300699302387</v>
      </c>
      <c r="P1076">
        <v>1.5375781879992004E-2</v>
      </c>
      <c r="Q1076">
        <v>9.0410806838632615E-4</v>
      </c>
      <c r="R1076">
        <v>1.6451984717660258E-3</v>
      </c>
      <c r="S1076">
        <v>0.11948978682483469</v>
      </c>
      <c r="T1076">
        <v>0.81745195511259194</v>
      </c>
      <c r="U1076">
        <v>0</v>
      </c>
      <c r="V1076">
        <v>0.20570778926320848</v>
      </c>
      <c r="W1076">
        <v>9.5521609147380088E-2</v>
      </c>
      <c r="X1076">
        <v>2.7053821224546019E-2</v>
      </c>
      <c r="Y1076">
        <v>4.4776879006166613E-3</v>
      </c>
    </row>
    <row r="1077" spans="1:25" x14ac:dyDescent="0.25">
      <c r="A1077" s="1098"/>
      <c r="B1077" s="1457">
        <v>827</v>
      </c>
      <c r="C1077" s="1102">
        <v>0.95703491110914063</v>
      </c>
      <c r="D1077" s="1102">
        <v>1.0339844921604313</v>
      </c>
      <c r="E1077" s="1102">
        <v>0.99594079381146394</v>
      </c>
      <c r="F1077" s="1102">
        <v>1.0214653750431453</v>
      </c>
      <c r="G1077" s="1102">
        <v>0.99442807163385294</v>
      </c>
      <c r="H1077" s="1102">
        <v>0.98896475562268793</v>
      </c>
      <c r="I1077" s="1102">
        <v>0.9981600072114859</v>
      </c>
      <c r="K1077">
        <v>1.5867741536780255</v>
      </c>
      <c r="L1077">
        <v>0</v>
      </c>
      <c r="M1077">
        <v>1.5930636264961779E-3</v>
      </c>
      <c r="N1077">
        <v>0.1447948047407919</v>
      </c>
      <c r="O1077">
        <v>0.12367967250334075</v>
      </c>
      <c r="P1077">
        <v>1.595431551655677E-2</v>
      </c>
      <c r="Q1077">
        <v>9.2277942416580088E-4</v>
      </c>
      <c r="R1077">
        <v>1.5893756720687798E-3</v>
      </c>
      <c r="S1077">
        <v>0.12117180708200873</v>
      </c>
      <c r="T1077">
        <v>0.8432378375995776</v>
      </c>
      <c r="U1077">
        <v>0</v>
      </c>
      <c r="V1077">
        <v>0.2092315741957643</v>
      </c>
      <c r="W1077">
        <v>9.5350474306633473E-2</v>
      </c>
      <c r="X1077">
        <v>2.8108819621788756E-2</v>
      </c>
      <c r="Y1077">
        <v>4.3257566418217321E-3</v>
      </c>
    </row>
    <row r="1078" spans="1:25" x14ac:dyDescent="0.25">
      <c r="A1078" s="1098"/>
      <c r="B1078" s="1457">
        <v>828</v>
      </c>
      <c r="C1078" s="1102">
        <v>0.99461670079223263</v>
      </c>
      <c r="D1078" s="1102">
        <v>1.0125532038078209</v>
      </c>
      <c r="E1078" s="1102">
        <v>0.98885904340464337</v>
      </c>
      <c r="F1078" s="1102">
        <v>1.0044385766726014</v>
      </c>
      <c r="G1078" s="1102">
        <v>0.96706878895290049</v>
      </c>
      <c r="H1078" s="1102">
        <v>1.0076511327480346</v>
      </c>
      <c r="I1078" s="1102">
        <v>1.0144678609536701</v>
      </c>
      <c r="K1078">
        <v>1.5627436169277757</v>
      </c>
      <c r="L1078">
        <v>0</v>
      </c>
      <c r="M1078">
        <v>1.6062355858857517E-3</v>
      </c>
      <c r="N1078">
        <v>0.14290768033604434</v>
      </c>
      <c r="O1078">
        <v>0.12144528230320689</v>
      </c>
      <c r="P1078">
        <v>1.5626653818524926E-2</v>
      </c>
      <c r="Q1078">
        <v>8.8880541164028002E-4</v>
      </c>
      <c r="R1078">
        <v>1.6026042355587187E-3</v>
      </c>
      <c r="S1078">
        <v>0.12159363867405579</v>
      </c>
      <c r="T1078">
        <v>0.8296532284034086</v>
      </c>
      <c r="U1078">
        <v>0</v>
      </c>
      <c r="V1078">
        <v>0.20442569365666846</v>
      </c>
      <c r="W1078">
        <v>9.4507093695512245E-2</v>
      </c>
      <c r="X1078">
        <v>2.7337411548196175E-2</v>
      </c>
      <c r="Y1078">
        <v>4.3617604308465634E-3</v>
      </c>
    </row>
    <row r="1079" spans="1:25" x14ac:dyDescent="0.25">
      <c r="A1079" s="1098"/>
      <c r="B1079" s="1457">
        <v>829</v>
      </c>
      <c r="C1079" s="1102">
        <v>0.99931262407301236</v>
      </c>
      <c r="D1079" s="1102">
        <v>0.98309233052826472</v>
      </c>
      <c r="E1079" s="1102">
        <v>0.99440125913060085</v>
      </c>
      <c r="F1079" s="1102">
        <v>1.003065660558133</v>
      </c>
      <c r="G1079" s="1102">
        <v>1.0212006581969384</v>
      </c>
      <c r="H1079" s="1102">
        <v>0.98466560895303179</v>
      </c>
      <c r="I1079" s="1102">
        <v>1.0150766397012221</v>
      </c>
      <c r="K1079">
        <v>1.5636178216805741</v>
      </c>
      <c r="L1079">
        <v>0</v>
      </c>
      <c r="M1079">
        <v>1.5708016987064331E-3</v>
      </c>
      <c r="N1079">
        <v>0.14211053916853364</v>
      </c>
      <c r="O1079">
        <v>0.12239272607789894</v>
      </c>
      <c r="P1079">
        <v>1.5707990498452739E-2</v>
      </c>
      <c r="Q1079">
        <v>9.0032060430877655E-4</v>
      </c>
      <c r="R1079">
        <v>1.5671862208861736E-3</v>
      </c>
      <c r="S1079">
        <v>0.12140822734458312</v>
      </c>
      <c r="T1079">
        <v>0.82815072932056477</v>
      </c>
      <c r="U1079">
        <v>0</v>
      </c>
      <c r="V1079">
        <v>0.20729373114066732</v>
      </c>
      <c r="W1079">
        <v>9.3668824476868376E-2</v>
      </c>
      <c r="X1079">
        <v>2.7722984256064304E-2</v>
      </c>
      <c r="Y1079">
        <v>4.2653642704532941E-3</v>
      </c>
    </row>
    <row r="1080" spans="1:25" x14ac:dyDescent="0.25">
      <c r="A1080" s="1098"/>
      <c r="B1080" s="1457">
        <v>830</v>
      </c>
      <c r="C1080" s="1102">
        <v>0.95980796168214266</v>
      </c>
      <c r="D1080" s="1102">
        <v>1.0123558519833049</v>
      </c>
      <c r="E1080" s="1102">
        <v>1.0348982058433085</v>
      </c>
      <c r="F1080" s="1102">
        <v>0.98114191932924288</v>
      </c>
      <c r="G1080" s="1102">
        <v>0.99060531588007272</v>
      </c>
      <c r="H1080" s="1102">
        <v>0.98665492679281797</v>
      </c>
      <c r="I1080" s="1102">
        <v>1.0473510688838761</v>
      </c>
      <c r="K1080">
        <v>1.5623237767145575</v>
      </c>
      <c r="L1080">
        <v>0</v>
      </c>
      <c r="M1080">
        <v>1.4746959483797678E-3</v>
      </c>
      <c r="N1080">
        <v>0.1507574140213187</v>
      </c>
      <c r="O1080">
        <v>0.12150607290286512</v>
      </c>
      <c r="P1080">
        <v>1.598852014252471E-2</v>
      </c>
      <c r="Q1080">
        <v>9.6585651553042615E-4</v>
      </c>
      <c r="R1080">
        <v>1.4712759695432961E-3</v>
      </c>
      <c r="S1080">
        <v>0.12801875795165454</v>
      </c>
      <c r="T1080">
        <v>0.80744591237862473</v>
      </c>
      <c r="U1080">
        <v>0</v>
      </c>
      <c r="V1080">
        <v>0.20741241677368569</v>
      </c>
      <c r="W1080">
        <v>9.7031742264422668E-2</v>
      </c>
      <c r="X1080">
        <v>2.9196175559661783E-2</v>
      </c>
      <c r="Y1080">
        <v>4.0043281831038391E-3</v>
      </c>
    </row>
    <row r="1081" spans="1:25" x14ac:dyDescent="0.25">
      <c r="A1081" s="1098"/>
      <c r="B1081" s="1457">
        <v>831</v>
      </c>
      <c r="C1081" s="1102">
        <v>1.0084829189371756</v>
      </c>
      <c r="D1081" s="1102">
        <v>0.9850863752154555</v>
      </c>
      <c r="E1081" s="1102">
        <v>0.99518865324616212</v>
      </c>
      <c r="F1081" s="1102">
        <v>0.97655539152823811</v>
      </c>
      <c r="G1081" s="1102">
        <v>1.0422813425110682</v>
      </c>
      <c r="H1081" s="1102">
        <v>0.97065160146426155</v>
      </c>
      <c r="I1081" s="1102">
        <v>0.97496195335158886</v>
      </c>
      <c r="K1081">
        <v>1.5237761623009713</v>
      </c>
      <c r="L1081">
        <v>0</v>
      </c>
      <c r="M1081">
        <v>1.5279609527548456E-3</v>
      </c>
      <c r="N1081">
        <v>0.13855891619330787</v>
      </c>
      <c r="O1081">
        <v>0.11995812105057098</v>
      </c>
      <c r="P1081">
        <v>1.5304427146331527E-2</v>
      </c>
      <c r="Q1081">
        <v>8.9214109831755543E-4</v>
      </c>
      <c r="R1081">
        <v>1.5243870908266898E-3</v>
      </c>
      <c r="S1081">
        <v>0.11422316365681968</v>
      </c>
      <c r="T1081">
        <v>0.80621244031744987</v>
      </c>
      <c r="U1081">
        <v>0</v>
      </c>
      <c r="V1081">
        <v>0.20603068376843339</v>
      </c>
      <c r="W1081">
        <v>9.1284949627253156E-2</v>
      </c>
      <c r="X1081">
        <v>2.7166014157254666E-2</v>
      </c>
      <c r="Y1081">
        <v>4.1488791471608116E-3</v>
      </c>
    </row>
    <row r="1082" spans="1:25" x14ac:dyDescent="0.25">
      <c r="A1082" s="1098"/>
      <c r="B1082" s="1457">
        <v>832</v>
      </c>
      <c r="C1082" s="1102">
        <v>0.96444801741220854</v>
      </c>
      <c r="D1082" s="1102">
        <v>1.0026023334693432</v>
      </c>
      <c r="E1082" s="1102">
        <v>1.0036464626356385</v>
      </c>
      <c r="F1082" s="1102">
        <v>1.0003843019480201</v>
      </c>
      <c r="G1082" s="1102">
        <v>0.98975998382098029</v>
      </c>
      <c r="H1082" s="1102">
        <v>1.0046406970715507</v>
      </c>
      <c r="I1082" s="1102">
        <v>1.0156265162503288</v>
      </c>
      <c r="K1082">
        <v>1.5793827473957822</v>
      </c>
      <c r="L1082">
        <v>0</v>
      </c>
      <c r="M1082">
        <v>1.6064724786404012E-3</v>
      </c>
      <c r="N1082">
        <v>0.14945952486519845</v>
      </c>
      <c r="O1082">
        <v>0.12314281241069071</v>
      </c>
      <c r="P1082">
        <v>1.5851402285883907E-2</v>
      </c>
      <c r="Q1082">
        <v>9.344822706982437E-4</v>
      </c>
      <c r="R1082">
        <v>1.6028262229038611E-3</v>
      </c>
      <c r="S1082">
        <v>0.12584385345359031</v>
      </c>
      <c r="T1082">
        <v>0.82532610726401734</v>
      </c>
      <c r="U1082">
        <v>0</v>
      </c>
      <c r="V1082">
        <v>0.2082013524260049</v>
      </c>
      <c r="W1082">
        <v>9.7972491750615925E-2</v>
      </c>
      <c r="X1082">
        <v>2.8292002317595894E-2</v>
      </c>
      <c r="Y1082">
        <v>4.362364607221933E-3</v>
      </c>
    </row>
    <row r="1083" spans="1:25" x14ac:dyDescent="0.25">
      <c r="A1083" s="1098"/>
      <c r="B1083" s="1457">
        <v>833</v>
      </c>
      <c r="C1083" s="1102">
        <v>1.0089214615233462</v>
      </c>
      <c r="D1083" s="1102">
        <v>1.0065393160253133</v>
      </c>
      <c r="E1083" s="1102">
        <v>1.0114668340801622</v>
      </c>
      <c r="F1083" s="1102">
        <v>0.99805857781052942</v>
      </c>
      <c r="G1083" s="1102">
        <v>1.0014708148626874</v>
      </c>
      <c r="H1083" s="1102">
        <v>1.0190929599251379</v>
      </c>
      <c r="I1083" s="1102">
        <v>1.0188357063788314</v>
      </c>
      <c r="K1083">
        <v>1.5602585317859727</v>
      </c>
      <c r="L1083">
        <v>0</v>
      </c>
      <c r="M1083">
        <v>1.5340900798779763E-3</v>
      </c>
      <c r="N1083">
        <v>0.14614131478322417</v>
      </c>
      <c r="O1083">
        <v>0.12046882739759755</v>
      </c>
      <c r="P1083">
        <v>1.5806038976206995E-2</v>
      </c>
      <c r="Q1083">
        <v>8.991226400022898E-4</v>
      </c>
      <c r="R1083">
        <v>1.530666074016614E-3</v>
      </c>
      <c r="S1083">
        <v>0.12181618557540767</v>
      </c>
      <c r="T1083">
        <v>0.82289401668546114</v>
      </c>
      <c r="U1083">
        <v>0</v>
      </c>
      <c r="V1083">
        <v>0.20466403176569906</v>
      </c>
      <c r="W1083">
        <v>9.5355766047063792E-2</v>
      </c>
      <c r="X1083">
        <v>2.8050683451635267E-2</v>
      </c>
      <c r="Y1083">
        <v>4.1659684695375355E-3</v>
      </c>
    </row>
    <row r="1084" spans="1:25" x14ac:dyDescent="0.25">
      <c r="A1084" s="1098"/>
      <c r="B1084" s="1457">
        <v>834</v>
      </c>
      <c r="C1084" s="1102">
        <v>1.0036829812092738</v>
      </c>
      <c r="D1084" s="1102">
        <v>1.0083951995712055</v>
      </c>
      <c r="E1084" s="1102">
        <v>0.9745852238045577</v>
      </c>
      <c r="F1084" s="1102">
        <v>0.99653701712358078</v>
      </c>
      <c r="G1084" s="1102">
        <v>1.0150193920875406</v>
      </c>
      <c r="H1084" s="1102">
        <v>0.97746090264988705</v>
      </c>
      <c r="I1084" s="1102">
        <v>0.98029998831937581</v>
      </c>
      <c r="K1084">
        <v>1.5380957132231854</v>
      </c>
      <c r="L1084">
        <v>0</v>
      </c>
      <c r="M1084">
        <v>1.5941110938711581E-3</v>
      </c>
      <c r="N1084">
        <v>0.13582554468220379</v>
      </c>
      <c r="O1084">
        <v>0.12065096401436186</v>
      </c>
      <c r="P1084">
        <v>1.5301568063512924E-2</v>
      </c>
      <c r="Q1084">
        <v>8.691414090586275E-4</v>
      </c>
      <c r="R1084">
        <v>1.5903986153090537E-3</v>
      </c>
      <c r="S1084">
        <v>0.11437553036041857</v>
      </c>
      <c r="T1084">
        <v>0.82407404356064973</v>
      </c>
      <c r="U1084">
        <v>0</v>
      </c>
      <c r="V1084">
        <v>0.20551292744426558</v>
      </c>
      <c r="W1084">
        <v>9.0600029455893141E-2</v>
      </c>
      <c r="X1084">
        <v>2.6561135955275147E-2</v>
      </c>
      <c r="Y1084">
        <v>4.3285407561086085E-3</v>
      </c>
    </row>
    <row r="1085" spans="1:25" x14ac:dyDescent="0.25">
      <c r="A1085" s="1098"/>
      <c r="B1085" s="1457">
        <v>835</v>
      </c>
      <c r="C1085" s="1102">
        <v>0.99340824258989002</v>
      </c>
      <c r="D1085" s="1102">
        <v>1.026669623341617</v>
      </c>
      <c r="E1085" s="1102">
        <v>1.0207197944438602</v>
      </c>
      <c r="F1085" s="1102">
        <v>0.99781328941062009</v>
      </c>
      <c r="G1085" s="1102">
        <v>0.98947242175896832</v>
      </c>
      <c r="H1085" s="1102">
        <v>1.0015253405230373</v>
      </c>
      <c r="I1085" s="1102">
        <v>1.0037198977131099</v>
      </c>
      <c r="K1085">
        <v>1.5550715923578007</v>
      </c>
      <c r="L1085">
        <v>0</v>
      </c>
      <c r="M1085">
        <v>1.4835615880133899E-3</v>
      </c>
      <c r="N1085">
        <v>0.14532246022110212</v>
      </c>
      <c r="O1085">
        <v>0.12034561617903432</v>
      </c>
      <c r="P1085">
        <v>1.5866172059292014E-2</v>
      </c>
      <c r="Q1085">
        <v>9.146174251256704E-4</v>
      </c>
      <c r="R1085">
        <v>1.4801772955036836E-3</v>
      </c>
      <c r="S1085">
        <v>0.11899282813462618</v>
      </c>
      <c r="T1085">
        <v>0.82208708839390454</v>
      </c>
      <c r="U1085">
        <v>0</v>
      </c>
      <c r="V1085">
        <v>0.20483868813674563</v>
      </c>
      <c r="W1085">
        <v>9.4307972250934818E-2</v>
      </c>
      <c r="X1085">
        <v>2.8370979191498617E-2</v>
      </c>
      <c r="Y1085">
        <v>4.0285546580467006E-3</v>
      </c>
    </row>
    <row r="1086" spans="1:25" x14ac:dyDescent="0.25">
      <c r="A1086" s="1098"/>
      <c r="B1086" s="1457">
        <v>836</v>
      </c>
      <c r="C1086" s="1102">
        <v>0.96796150986026797</v>
      </c>
      <c r="D1086" s="1102">
        <v>1.0122284741590455</v>
      </c>
      <c r="E1086" s="1102">
        <v>1.0371674756665712</v>
      </c>
      <c r="F1086" s="1102">
        <v>1.0043535605348721</v>
      </c>
      <c r="G1086" s="1102">
        <v>1.0017958707797925</v>
      </c>
      <c r="H1086" s="1102">
        <v>0.96412062456975489</v>
      </c>
      <c r="I1086" s="1102">
        <v>0.96503702496899479</v>
      </c>
      <c r="K1086">
        <v>1.5644132581171</v>
      </c>
      <c r="L1086">
        <v>0</v>
      </c>
      <c r="M1086">
        <v>1.4257190808008293E-3</v>
      </c>
      <c r="N1086">
        <v>0.14674345839973743</v>
      </c>
      <c r="O1086">
        <v>0.12271373819699138</v>
      </c>
      <c r="P1086">
        <v>1.6117285294055657E-2</v>
      </c>
      <c r="Q1086">
        <v>9.5998225194766397E-4</v>
      </c>
      <c r="R1086">
        <v>1.4223437520944563E-3</v>
      </c>
      <c r="S1086">
        <v>0.11539987610115571</v>
      </c>
      <c r="T1086">
        <v>0.8264004896100926</v>
      </c>
      <c r="U1086">
        <v>0</v>
      </c>
      <c r="V1086">
        <v>0.20840725895883275</v>
      </c>
      <c r="W1086">
        <v>9.4324502498947124E-2</v>
      </c>
      <c r="X1086">
        <v>2.9478891316336825E-2</v>
      </c>
      <c r="Y1086">
        <v>3.8711508177092452E-3</v>
      </c>
    </row>
    <row r="1087" spans="1:25" x14ac:dyDescent="0.25">
      <c r="A1087" s="1098"/>
      <c r="B1087" s="1457">
        <v>837</v>
      </c>
      <c r="C1087" s="1102">
        <v>0.98516949653781638</v>
      </c>
      <c r="D1087" s="1102">
        <v>0.99175116654612727</v>
      </c>
      <c r="E1087" s="1102">
        <v>1.015773611699444</v>
      </c>
      <c r="F1087" s="1102">
        <v>1.0212962403282584</v>
      </c>
      <c r="G1087" s="1102">
        <v>1.0339069892772375</v>
      </c>
      <c r="H1087" s="1102">
        <v>1.0131361087262736</v>
      </c>
      <c r="I1087" s="1102">
        <v>1.042145687570069</v>
      </c>
      <c r="K1087">
        <v>1.602948464170207</v>
      </c>
      <c r="L1087">
        <v>0</v>
      </c>
      <c r="M1087">
        <v>1.5610268177309497E-3</v>
      </c>
      <c r="N1087">
        <v>0.15065185436055087</v>
      </c>
      <c r="O1087">
        <v>0.12396267969201155</v>
      </c>
      <c r="P1087">
        <v>1.6276297098642856E-2</v>
      </c>
      <c r="Q1087">
        <v>9.3038307622149452E-4</v>
      </c>
      <c r="R1087">
        <v>1.5575308760405508E-3</v>
      </c>
      <c r="S1087">
        <v>0.12824658903397351</v>
      </c>
      <c r="T1087">
        <v>0.8417649193059924</v>
      </c>
      <c r="U1087">
        <v>0</v>
      </c>
      <c r="V1087">
        <v>0.20980169718035083</v>
      </c>
      <c r="W1087">
        <v>9.8050234039438355E-2</v>
      </c>
      <c r="X1087">
        <v>2.9028220720046238E-2</v>
      </c>
      <c r="Y1087">
        <v>4.2390856046670821E-3</v>
      </c>
    </row>
    <row r="1088" spans="1:25" x14ac:dyDescent="0.25">
      <c r="A1088" s="1098"/>
      <c r="B1088" s="1457">
        <v>838</v>
      </c>
      <c r="C1088" s="1102">
        <v>0.97810986117431786</v>
      </c>
      <c r="D1088" s="1102">
        <v>1.0131411764748113</v>
      </c>
      <c r="E1088" s="1102">
        <v>0.97885077231605877</v>
      </c>
      <c r="F1088" s="1102">
        <v>1.0142171989141167</v>
      </c>
      <c r="G1088" s="1102">
        <v>1.0005853314534328</v>
      </c>
      <c r="H1088" s="1102">
        <v>0.99064082811174581</v>
      </c>
      <c r="I1088" s="1102">
        <v>1.0127062089573888</v>
      </c>
      <c r="K1088">
        <v>1.5749168415387316</v>
      </c>
      <c r="L1088">
        <v>0</v>
      </c>
      <c r="M1088">
        <v>1.6380460389344739E-3</v>
      </c>
      <c r="N1088">
        <v>0.14138636895296969</v>
      </c>
      <c r="O1088">
        <v>0.12299800681605326</v>
      </c>
      <c r="P1088">
        <v>1.5676550643753485E-2</v>
      </c>
      <c r="Q1088">
        <v>8.9418714083250024E-4</v>
      </c>
      <c r="R1088">
        <v>1.6342770173050237E-3</v>
      </c>
      <c r="S1088">
        <v>0.12194446344428456</v>
      </c>
      <c r="T1088">
        <v>0.83840561297888183</v>
      </c>
      <c r="U1088">
        <v>0</v>
      </c>
      <c r="V1088">
        <v>0.20783640168347922</v>
      </c>
      <c r="W1088">
        <v>9.4066053577603878E-2</v>
      </c>
      <c r="X1088">
        <v>2.7265002020671291E-2</v>
      </c>
      <c r="Y1088">
        <v>4.4479633018303091E-3</v>
      </c>
    </row>
    <row r="1089" spans="1:25" x14ac:dyDescent="0.25">
      <c r="A1089" s="1098"/>
      <c r="B1089" s="1457">
        <v>839</v>
      </c>
      <c r="C1089" s="1102">
        <v>1.0089981406111663</v>
      </c>
      <c r="D1089" s="1102">
        <v>1.0445256176373052</v>
      </c>
      <c r="E1089" s="1102">
        <v>1.0074785759780112</v>
      </c>
      <c r="F1089" s="1102">
        <v>0.9951372055331249</v>
      </c>
      <c r="G1089" s="1102">
        <v>1.0069059179949347</v>
      </c>
      <c r="H1089" s="1102">
        <v>1.024925870420585</v>
      </c>
      <c r="I1089" s="1102">
        <v>1.0370058736527517</v>
      </c>
      <c r="K1089">
        <v>1.5501149474222931</v>
      </c>
      <c r="L1089">
        <v>0</v>
      </c>
      <c r="M1089">
        <v>1.5229012838910197E-3</v>
      </c>
      <c r="N1089">
        <v>0.14333883369908032</v>
      </c>
      <c r="O1089">
        <v>0.11866000752754149</v>
      </c>
      <c r="P1089">
        <v>1.5714595402074323E-2</v>
      </c>
      <c r="Q1089">
        <v>8.8219336636160607E-4</v>
      </c>
      <c r="R1089">
        <v>1.5194998325389014E-3</v>
      </c>
      <c r="S1089">
        <v>0.12170693199884644</v>
      </c>
      <c r="T1089">
        <v>0.8207461471092995</v>
      </c>
      <c r="U1089">
        <v>0</v>
      </c>
      <c r="V1089">
        <v>0.20365086573452393</v>
      </c>
      <c r="W1089">
        <v>9.3747480759309942E-2</v>
      </c>
      <c r="X1089">
        <v>2.7535715635422911E-2</v>
      </c>
      <c r="Y1089">
        <v>4.1355776411857127E-3</v>
      </c>
    </row>
    <row r="1090" spans="1:25" x14ac:dyDescent="0.25">
      <c r="A1090" s="1098"/>
      <c r="B1090" s="1457">
        <v>840</v>
      </c>
      <c r="C1090" s="1102">
        <v>0.992724085205689</v>
      </c>
      <c r="D1090" s="1102">
        <v>0.99214885442558354</v>
      </c>
      <c r="E1090" s="1102">
        <v>0.97675252961178693</v>
      </c>
      <c r="F1090" s="1102">
        <v>0.96446154294138042</v>
      </c>
      <c r="G1090" s="1102">
        <v>1.0240848846289421</v>
      </c>
      <c r="H1090" s="1102">
        <v>1.0169700729480835</v>
      </c>
      <c r="I1090" s="1102">
        <v>0.98608237637016161</v>
      </c>
      <c r="K1090">
        <v>1.5298703249429002</v>
      </c>
      <c r="L1090">
        <v>0</v>
      </c>
      <c r="M1090">
        <v>1.679097208893163E-3</v>
      </c>
      <c r="N1090">
        <v>0.1440211374482018</v>
      </c>
      <c r="O1090">
        <v>0.11963535314124214</v>
      </c>
      <c r="P1090">
        <v>1.505126608534622E-2</v>
      </c>
      <c r="Q1090">
        <v>8.8647947231220304E-4</v>
      </c>
      <c r="R1090">
        <v>1.6753361634687933E-3</v>
      </c>
      <c r="S1090">
        <v>0.12031027458439422</v>
      </c>
      <c r="T1090">
        <v>0.79740999510026045</v>
      </c>
      <c r="U1090">
        <v>0</v>
      </c>
      <c r="V1090">
        <v>0.20565553375831394</v>
      </c>
      <c r="W1090">
        <v>9.5940685371575421E-2</v>
      </c>
      <c r="X1090">
        <v>2.6403648264131652E-2</v>
      </c>
      <c r="Y1090">
        <v>4.5597127625441975E-3</v>
      </c>
    </row>
    <row r="1091" spans="1:25" x14ac:dyDescent="0.25">
      <c r="A1091" s="1098"/>
      <c r="B1091" s="1457">
        <v>841</v>
      </c>
      <c r="C1091" s="1102">
        <v>0.9750750794461065</v>
      </c>
      <c r="D1091" s="1102">
        <v>0.98882784697801607</v>
      </c>
      <c r="E1091" s="1102">
        <v>1.0114534503699566</v>
      </c>
      <c r="F1091" s="1102">
        <v>0.96042766046741679</v>
      </c>
      <c r="G1091" s="1102">
        <v>0.98262723609115588</v>
      </c>
      <c r="H1091" s="1102">
        <v>1.0261073367066995</v>
      </c>
      <c r="I1091" s="1102">
        <v>1.0191430857464627</v>
      </c>
      <c r="K1091">
        <v>1.5464203845674023</v>
      </c>
      <c r="L1091">
        <v>0</v>
      </c>
      <c r="M1091">
        <v>1.6054395956152055E-3</v>
      </c>
      <c r="N1091">
        <v>0.15293350868865493</v>
      </c>
      <c r="O1091">
        <v>0.12030319977503896</v>
      </c>
      <c r="P1091">
        <v>1.54662160014948E-2</v>
      </c>
      <c r="Q1091">
        <v>9.3694968361013862E-4</v>
      </c>
      <c r="R1091">
        <v>1.6018713897491251E-3</v>
      </c>
      <c r="S1091">
        <v>0.12753130992275588</v>
      </c>
      <c r="T1091">
        <v>0.79186836823263651</v>
      </c>
      <c r="U1091">
        <v>0</v>
      </c>
      <c r="V1091">
        <v>0.20525933573206817</v>
      </c>
      <c r="W1091">
        <v>9.9788392184649716E-2</v>
      </c>
      <c r="X1091">
        <v>2.7976906686224014E-2</v>
      </c>
      <c r="Y1091">
        <v>4.3597658661354071E-3</v>
      </c>
    </row>
    <row r="1092" spans="1:25" x14ac:dyDescent="0.25">
      <c r="A1092" s="1098"/>
      <c r="B1092" s="1457">
        <v>842</v>
      </c>
      <c r="C1092" s="1102">
        <v>0.98391800351772829</v>
      </c>
      <c r="D1092" s="1102">
        <v>1.0143832803016946</v>
      </c>
      <c r="E1092" s="1102">
        <v>0.98138703471386202</v>
      </c>
      <c r="F1092" s="1102">
        <v>1.0082998158173635</v>
      </c>
      <c r="G1092" s="1102">
        <v>1.0012752602528399</v>
      </c>
      <c r="H1092" s="1102">
        <v>0.98033063399177423</v>
      </c>
      <c r="I1092" s="1102">
        <v>1.0002464769796211</v>
      </c>
      <c r="K1092">
        <v>1.5612857263978732</v>
      </c>
      <c r="L1092">
        <v>0</v>
      </c>
      <c r="M1092">
        <v>1.6018664999316306E-3</v>
      </c>
      <c r="N1092">
        <v>0.13932520538540896</v>
      </c>
      <c r="O1092">
        <v>0.1222148202045692</v>
      </c>
      <c r="P1092">
        <v>1.5585822028529111E-2</v>
      </c>
      <c r="Q1092">
        <v>8.9083756523284719E-4</v>
      </c>
      <c r="R1092">
        <v>1.5981411520327468E-3</v>
      </c>
      <c r="S1092">
        <v>0.11882594179587345</v>
      </c>
      <c r="T1092">
        <v>0.83334353147385964</v>
      </c>
      <c r="U1092">
        <v>0</v>
      </c>
      <c r="V1092">
        <v>0.20702090239004337</v>
      </c>
      <c r="W1092">
        <v>9.2552900842643948E-2</v>
      </c>
      <c r="X1092">
        <v>2.7179876670867794E-2</v>
      </c>
      <c r="Y1092">
        <v>4.3496133887439567E-3</v>
      </c>
    </row>
    <row r="1093" spans="1:25" x14ac:dyDescent="0.25">
      <c r="A1093" s="1098"/>
      <c r="B1093" s="1457">
        <v>843</v>
      </c>
      <c r="C1093" s="1102">
        <v>0.97096616959952775</v>
      </c>
      <c r="D1093" s="1102">
        <v>1.0107425301848614</v>
      </c>
      <c r="E1093" s="1102">
        <v>1.0118669674272764</v>
      </c>
      <c r="F1093" s="1102">
        <v>1.0492355539180152</v>
      </c>
      <c r="G1093" s="1102">
        <v>1.001587618226508</v>
      </c>
      <c r="H1093" s="1102">
        <v>1.0081305624358532</v>
      </c>
      <c r="I1093" s="1102">
        <v>1.0068122654470115</v>
      </c>
      <c r="K1093">
        <v>1.6242606507138759</v>
      </c>
      <c r="L1093">
        <v>0</v>
      </c>
      <c r="M1093">
        <v>1.5734445536238495E-3</v>
      </c>
      <c r="N1093">
        <v>0.15006792751453868</v>
      </c>
      <c r="O1093">
        <v>0.12583211740054068</v>
      </c>
      <c r="P1093">
        <v>1.6499846081445342E-2</v>
      </c>
      <c r="Q1093">
        <v>9.3309816044374481E-4</v>
      </c>
      <c r="R1093">
        <v>1.56989558033553E-3</v>
      </c>
      <c r="S1093">
        <v>0.1239600851490856</v>
      </c>
      <c r="T1093">
        <v>0.86506160598354609</v>
      </c>
      <c r="U1093">
        <v>0</v>
      </c>
      <c r="V1093">
        <v>0.21045632583707999</v>
      </c>
      <c r="W1093">
        <v>9.7894771525229365E-2</v>
      </c>
      <c r="X1093">
        <v>2.9285683781519523E-2</v>
      </c>
      <c r="Y1093">
        <v>4.2727382537343407E-3</v>
      </c>
    </row>
    <row r="1094" spans="1:25" x14ac:dyDescent="0.25">
      <c r="A1094" s="1098"/>
      <c r="B1094" s="1457">
        <v>844</v>
      </c>
      <c r="C1094" s="1102">
        <v>1.0180309608573892</v>
      </c>
      <c r="D1094" s="1102">
        <v>1.046606662678579</v>
      </c>
      <c r="E1094" s="1102">
        <v>0.99181514092778766</v>
      </c>
      <c r="F1094" s="1102">
        <v>1.0109678646793734</v>
      </c>
      <c r="G1094" s="1102">
        <v>1.0046920040470062</v>
      </c>
      <c r="H1094" s="1102">
        <v>1.010545842230788</v>
      </c>
      <c r="I1094" s="1102">
        <v>0.97946608585227657</v>
      </c>
      <c r="K1094">
        <v>1.5473622937917113</v>
      </c>
      <c r="L1094">
        <v>0</v>
      </c>
      <c r="M1094">
        <v>1.5382784610426089E-3</v>
      </c>
      <c r="N1094">
        <v>0.13808996823312608</v>
      </c>
      <c r="O1094">
        <v>0.1192495769682026</v>
      </c>
      <c r="P1094">
        <v>1.5600886919195931E-2</v>
      </c>
      <c r="Q1094">
        <v>8.5959353568033469E-4</v>
      </c>
      <c r="R1094">
        <v>1.5347986341388939E-3</v>
      </c>
      <c r="S1094">
        <v>0.11283100591219744</v>
      </c>
      <c r="T1094">
        <v>0.83484811884684351</v>
      </c>
      <c r="U1094">
        <v>0</v>
      </c>
      <c r="V1094">
        <v>0.2035326459482226</v>
      </c>
      <c r="W1094">
        <v>9.1159532259614512E-2</v>
      </c>
      <c r="X1094">
        <v>2.7017229059639422E-2</v>
      </c>
      <c r="Y1094">
        <v>4.1772159358923018E-3</v>
      </c>
    </row>
    <row r="1095" spans="1:25" x14ac:dyDescent="0.25">
      <c r="A1095" s="1098"/>
      <c r="B1095" s="1457">
        <v>845</v>
      </c>
      <c r="C1095" s="1102">
        <v>0.99927597237682564</v>
      </c>
      <c r="D1095" s="1102">
        <v>1.0159135953021752</v>
      </c>
      <c r="E1095" s="1102">
        <v>1.0251685679203635</v>
      </c>
      <c r="F1095" s="1102">
        <v>0.98629070929404405</v>
      </c>
      <c r="G1095" s="1102">
        <v>0.97108677517441355</v>
      </c>
      <c r="H1095" s="1102">
        <v>1.0186543863498736</v>
      </c>
      <c r="I1095" s="1102">
        <v>1.0278681736112991</v>
      </c>
      <c r="K1095">
        <v>1.5521268214640958</v>
      </c>
      <c r="L1095">
        <v>0</v>
      </c>
      <c r="M1095">
        <v>1.4944599290998106E-3</v>
      </c>
      <c r="N1095">
        <v>0.14837365736355471</v>
      </c>
      <c r="O1095">
        <v>0.11968952592028992</v>
      </c>
      <c r="P1095">
        <v>1.5819146317458659E-2</v>
      </c>
      <c r="Q1095">
        <v>9.1725542367570819E-4</v>
      </c>
      <c r="R1095">
        <v>1.4911124490310844E-3</v>
      </c>
      <c r="S1095">
        <v>0.123258898496903</v>
      </c>
      <c r="T1095">
        <v>0.81230736248623792</v>
      </c>
      <c r="U1095">
        <v>0</v>
      </c>
      <c r="V1095">
        <v>0.20323842183228075</v>
      </c>
      <c r="W1095">
        <v>9.6038354791855449E-2</v>
      </c>
      <c r="X1095">
        <v>2.842922977073423E-2</v>
      </c>
      <c r="Y1095">
        <v>4.0583165411758933E-3</v>
      </c>
    </row>
    <row r="1096" spans="1:25" x14ac:dyDescent="0.25">
      <c r="A1096" s="1098"/>
      <c r="B1096" s="1457">
        <v>846</v>
      </c>
      <c r="C1096" s="1102">
        <v>1.0138313833517825</v>
      </c>
      <c r="D1096" s="1102">
        <v>0.98765694555039707</v>
      </c>
      <c r="E1096" s="1102">
        <v>1.0167370407124072</v>
      </c>
      <c r="F1096" s="1102">
        <v>0.96781761446791781</v>
      </c>
      <c r="G1096" s="1102">
        <v>0.97433370765420524</v>
      </c>
      <c r="H1096" s="1102">
        <v>0.96482167745840597</v>
      </c>
      <c r="I1096" s="1102">
        <v>1.0144208038021145</v>
      </c>
      <c r="K1096">
        <v>1.5145013342904763</v>
      </c>
      <c r="L1096">
        <v>0</v>
      </c>
      <c r="M1096">
        <v>1.4421068690693498E-3</v>
      </c>
      <c r="N1096">
        <v>0.13956418040978574</v>
      </c>
      <c r="O1096">
        <v>0.11889958877098611</v>
      </c>
      <c r="P1096">
        <v>1.5424039920091542E-2</v>
      </c>
      <c r="Q1096">
        <v>9.0647482205553768E-4</v>
      </c>
      <c r="R1096">
        <v>1.4387109450575493E-3</v>
      </c>
      <c r="S1096">
        <v>0.11758781444447912</v>
      </c>
      <c r="T1096">
        <v>0.7976261149091628</v>
      </c>
      <c r="U1096">
        <v>0</v>
      </c>
      <c r="V1096">
        <v>0.20203023185056415</v>
      </c>
      <c r="W1096">
        <v>9.0782598002322246E-2</v>
      </c>
      <c r="X1096">
        <v>2.7767990163529679E-2</v>
      </c>
      <c r="Y1096">
        <v>3.9156969215110747E-3</v>
      </c>
    </row>
    <row r="1097" spans="1:25" x14ac:dyDescent="0.25">
      <c r="A1097" s="1098"/>
      <c r="B1097" s="1457">
        <v>847</v>
      </c>
      <c r="C1097" s="1102">
        <v>1.0021309611961802</v>
      </c>
      <c r="D1097" s="1102">
        <v>1.0282221410845256</v>
      </c>
      <c r="E1097" s="1102">
        <v>1.0068614468206785</v>
      </c>
      <c r="F1097" s="1102">
        <v>0.96077675646964156</v>
      </c>
      <c r="G1097" s="1102">
        <v>0.96689891446694354</v>
      </c>
      <c r="H1097" s="1102">
        <v>0.98138734220689872</v>
      </c>
      <c r="I1097" s="1102">
        <v>1.0224611303777034</v>
      </c>
      <c r="K1097">
        <v>1.5060772690150617</v>
      </c>
      <c r="L1097">
        <v>0</v>
      </c>
      <c r="M1097">
        <v>1.4786389409978027E-3</v>
      </c>
      <c r="N1097">
        <v>0.1388997025223862</v>
      </c>
      <c r="O1097">
        <v>0.11728645218871135</v>
      </c>
      <c r="P1097">
        <v>1.5237231766733588E-2</v>
      </c>
      <c r="Q1097">
        <v>8.9327609056004062E-4</v>
      </c>
      <c r="R1097">
        <v>1.4751881427382681E-3</v>
      </c>
      <c r="S1097">
        <v>0.1182487303825988</v>
      </c>
      <c r="T1097">
        <v>0.79244613809744391</v>
      </c>
      <c r="U1097">
        <v>0</v>
      </c>
      <c r="V1097">
        <v>0.20109817224118315</v>
      </c>
      <c r="W1097">
        <v>9.0877307325159404E-2</v>
      </c>
      <c r="X1097">
        <v>2.7078733369650335E-2</v>
      </c>
      <c r="Y1097">
        <v>4.0149758288930068E-3</v>
      </c>
    </row>
    <row r="1098" spans="1:25" x14ac:dyDescent="0.25">
      <c r="A1098" s="1098"/>
      <c r="B1098" s="1457">
        <v>848</v>
      </c>
      <c r="C1098" s="1102">
        <v>0.96859226444822522</v>
      </c>
      <c r="D1098" s="1102">
        <v>0.98982898251826534</v>
      </c>
      <c r="E1098" s="1102">
        <v>1.0251616809455666</v>
      </c>
      <c r="F1098" s="1102">
        <v>0.96702972816438515</v>
      </c>
      <c r="G1098" s="1102">
        <v>0.98048225423547453</v>
      </c>
      <c r="H1098" s="1102">
        <v>1.0251405123287751</v>
      </c>
      <c r="I1098" s="1102">
        <v>0.98367634218515143</v>
      </c>
      <c r="K1098">
        <v>1.5534321410486842</v>
      </c>
      <c r="L1098">
        <v>0</v>
      </c>
      <c r="M1098">
        <v>1.5684368484879065E-3</v>
      </c>
      <c r="N1098">
        <v>0.15571737108763331</v>
      </c>
      <c r="O1098">
        <v>0.12104060874578423</v>
      </c>
      <c r="P1098">
        <v>1.5645787455357038E-2</v>
      </c>
      <c r="Q1098">
        <v>9.5620347935890379E-4</v>
      </c>
      <c r="R1098">
        <v>1.5649471547105225E-3</v>
      </c>
      <c r="S1098">
        <v>0.12379523242739983</v>
      </c>
      <c r="T1098">
        <v>0.79644448518857702</v>
      </c>
      <c r="U1098">
        <v>0</v>
      </c>
      <c r="V1098">
        <v>0.20608316256573078</v>
      </c>
      <c r="W1098">
        <v>0.10079215145233433</v>
      </c>
      <c r="X1098">
        <v>2.8701358069852093E-2</v>
      </c>
      <c r="Y1098">
        <v>4.2592702704311383E-3</v>
      </c>
    </row>
    <row r="1099" spans="1:25" x14ac:dyDescent="0.25">
      <c r="A1099" s="1098"/>
      <c r="B1099" s="1457">
        <v>849</v>
      </c>
      <c r="C1099" s="1102">
        <v>1.0180946500237738</v>
      </c>
      <c r="D1099" s="1102">
        <v>0.96898599256620543</v>
      </c>
      <c r="E1099" s="1102">
        <v>1.0213197115861177</v>
      </c>
      <c r="F1099" s="1102">
        <v>1.0112272843283738</v>
      </c>
      <c r="G1099" s="1102">
        <v>1.0153134500602783</v>
      </c>
      <c r="H1099" s="1102">
        <v>0.9962096951302255</v>
      </c>
      <c r="I1099" s="1102">
        <v>1.0201654441315753</v>
      </c>
      <c r="K1099">
        <v>1.5750288394371705</v>
      </c>
      <c r="L1099">
        <v>0</v>
      </c>
      <c r="M1099">
        <v>1.4902317328293537E-3</v>
      </c>
      <c r="N1099">
        <v>0.14624262696161519</v>
      </c>
      <c r="O1099">
        <v>0.12257407921484201</v>
      </c>
      <c r="P1099">
        <v>1.6087971620590034E-2</v>
      </c>
      <c r="Q1099">
        <v>9.1388487717021267E-4</v>
      </c>
      <c r="R1099">
        <v>1.4868564466486371E-3</v>
      </c>
      <c r="S1099">
        <v>0.12195442828725774</v>
      </c>
      <c r="T1099">
        <v>0.83309909157648709</v>
      </c>
      <c r="U1099">
        <v>0</v>
      </c>
      <c r="V1099">
        <v>0.20637372489246264</v>
      </c>
      <c r="W1099">
        <v>9.4871842958289515E-2</v>
      </c>
      <c r="X1099">
        <v>2.8867831228956555E-2</v>
      </c>
      <c r="Y1099">
        <v>4.0467331056816807E-3</v>
      </c>
    </row>
    <row r="1100" spans="1:25" x14ac:dyDescent="0.25">
      <c r="A1100" s="1098"/>
      <c r="B1100" s="1457">
        <v>850</v>
      </c>
      <c r="C1100" s="1102">
        <v>1.021369693506746</v>
      </c>
      <c r="D1100" s="1102">
        <v>0.9707727295193882</v>
      </c>
      <c r="E1100" s="1102">
        <v>0.96207980117626335</v>
      </c>
      <c r="F1100" s="1102">
        <v>1.0124892839896511</v>
      </c>
      <c r="G1100" s="1102">
        <v>1.0187857312406199</v>
      </c>
      <c r="H1100" s="1102">
        <v>0.98632658774572601</v>
      </c>
      <c r="I1100" s="1102">
        <v>1.0169104840559606</v>
      </c>
      <c r="K1100">
        <v>1.5622453845990749</v>
      </c>
      <c r="L1100">
        <v>0</v>
      </c>
      <c r="M1100">
        <v>1.661550622874635E-3</v>
      </c>
      <c r="N1100">
        <v>0.13631631338855082</v>
      </c>
      <c r="O1100">
        <v>0.12258041447434086</v>
      </c>
      <c r="P1100">
        <v>1.5426487489663635E-2</v>
      </c>
      <c r="Q1100">
        <v>8.5581945305228163E-4</v>
      </c>
      <c r="R1100">
        <v>1.6577496746614036E-3</v>
      </c>
      <c r="S1100">
        <v>0.12015818774709497</v>
      </c>
      <c r="T1100">
        <v>0.83811435163226244</v>
      </c>
      <c r="U1100">
        <v>0</v>
      </c>
      <c r="V1100">
        <v>0.20616371444128223</v>
      </c>
      <c r="W1100">
        <v>9.1623024321035335E-2</v>
      </c>
      <c r="X1100">
        <v>2.6499024462612101E-2</v>
      </c>
      <c r="Y1100">
        <v>4.5118481373949571E-3</v>
      </c>
    </row>
    <row r="1101" spans="1:25" x14ac:dyDescent="0.25">
      <c r="A1101" s="1098"/>
      <c r="B1101" s="1457">
        <v>851</v>
      </c>
      <c r="C1101" s="1102">
        <v>0.99868122606891629</v>
      </c>
      <c r="D1101" s="1102">
        <v>0.9822030907979149</v>
      </c>
      <c r="E1101" s="1102">
        <v>0.99820214854296818</v>
      </c>
      <c r="F1101" s="1102">
        <v>1.0280199093534337</v>
      </c>
      <c r="G1101" s="1102">
        <v>0.97963934613475545</v>
      </c>
      <c r="H1101" s="1102">
        <v>1.0260687239421091</v>
      </c>
      <c r="I1101" s="1102">
        <v>1.0218857027534409</v>
      </c>
      <c r="K1101">
        <v>1.60231227756509</v>
      </c>
      <c r="L1101">
        <v>0</v>
      </c>
      <c r="M1101">
        <v>1.6288739950650151E-3</v>
      </c>
      <c r="N1101">
        <v>0.14908132844015975</v>
      </c>
      <c r="O1101">
        <v>0.12420960062948061</v>
      </c>
      <c r="P1101">
        <v>1.6084600050390335E-2</v>
      </c>
      <c r="Q1101">
        <v>9.0478151361104845E-4</v>
      </c>
      <c r="R1101">
        <v>1.6252833266954527E-3</v>
      </c>
      <c r="S1101">
        <v>0.12592252695975364</v>
      </c>
      <c r="T1101">
        <v>0.84849503831313688</v>
      </c>
      <c r="U1101">
        <v>0</v>
      </c>
      <c r="V1101">
        <v>0.20680591957715852</v>
      </c>
      <c r="W1101">
        <v>9.8041077978177821E-2</v>
      </c>
      <c r="X1101">
        <v>2.8347509330829124E-2</v>
      </c>
      <c r="Y1101">
        <v>4.4234854407603713E-3</v>
      </c>
    </row>
    <row r="1102" spans="1:25" x14ac:dyDescent="0.25">
      <c r="A1102" s="1098"/>
      <c r="B1102" s="1457">
        <v>852</v>
      </c>
      <c r="C1102" s="1102">
        <v>0.96323821087281303</v>
      </c>
      <c r="D1102" s="1102">
        <v>1.0133186411071857</v>
      </c>
      <c r="E1102" s="1102">
        <v>1.0147991368535301</v>
      </c>
      <c r="F1102" s="1102">
        <v>0.9713636078062623</v>
      </c>
      <c r="G1102" s="1102">
        <v>1.0189776467985381</v>
      </c>
      <c r="H1102" s="1102">
        <v>1.0252798062164648</v>
      </c>
      <c r="I1102" s="1102">
        <v>1.0062778276951225</v>
      </c>
      <c r="K1102">
        <v>1.5565147560802088</v>
      </c>
      <c r="L1102">
        <v>0</v>
      </c>
      <c r="M1102">
        <v>1.5905571598825855E-3</v>
      </c>
      <c r="N1102">
        <v>0.15305198244076693</v>
      </c>
      <c r="O1102">
        <v>0.1206400328027061</v>
      </c>
      <c r="P1102">
        <v>1.5633776853264364E-2</v>
      </c>
      <c r="Q1102">
        <v>9.4246774882721606E-4</v>
      </c>
      <c r="R1102">
        <v>1.5870050692597878E-3</v>
      </c>
      <c r="S1102">
        <v>0.12556940428060226</v>
      </c>
      <c r="T1102">
        <v>0.80067184901995625</v>
      </c>
      <c r="U1102">
        <v>0</v>
      </c>
      <c r="V1102">
        <v>0.20780216800138807</v>
      </c>
      <c r="W1102">
        <v>9.9669351319421839E-2</v>
      </c>
      <c r="X1102">
        <v>2.8217971061453472E-2</v>
      </c>
      <c r="Y1102">
        <v>4.3193046424446621E-3</v>
      </c>
    </row>
    <row r="1103" spans="1:25" x14ac:dyDescent="0.25">
      <c r="A1103" s="1098"/>
      <c r="B1103" s="1457">
        <v>853</v>
      </c>
      <c r="C1103" s="1102">
        <v>0.99177782885138865</v>
      </c>
      <c r="D1103" s="1102">
        <v>0.97566936719712083</v>
      </c>
      <c r="E1103" s="1102">
        <v>0.9698075009196554</v>
      </c>
      <c r="F1103" s="1102">
        <v>0.9778914847978234</v>
      </c>
      <c r="G1103" s="1102">
        <v>1.0164148743127124</v>
      </c>
      <c r="H1103" s="1102">
        <v>1.0084797948060751</v>
      </c>
      <c r="I1103" s="1102">
        <v>1.0214953829416491</v>
      </c>
      <c r="K1103">
        <v>1.5490388398813015</v>
      </c>
      <c r="L1103">
        <v>0</v>
      </c>
      <c r="M1103">
        <v>1.7085187921911515E-3</v>
      </c>
      <c r="N1103">
        <v>0.14349446913787745</v>
      </c>
      <c r="O1103">
        <v>0.12139204375293279</v>
      </c>
      <c r="P1103">
        <v>1.5205377885955116E-2</v>
      </c>
      <c r="Q1103">
        <v>8.8678903234999315E-4</v>
      </c>
      <c r="R1103">
        <v>1.7046740916996279E-3</v>
      </c>
      <c r="S1103">
        <v>0.12536901399614828</v>
      </c>
      <c r="T1103">
        <v>0.80896796442377761</v>
      </c>
      <c r="U1103">
        <v>0</v>
      </c>
      <c r="V1103">
        <v>0.20658452102793973</v>
      </c>
      <c r="W1103">
        <v>9.5993698029287422E-2</v>
      </c>
      <c r="X1103">
        <v>2.6509246363582272E-2</v>
      </c>
      <c r="Y1103">
        <v>4.6395609319430852E-3</v>
      </c>
    </row>
    <row r="1104" spans="1:25" x14ac:dyDescent="0.25">
      <c r="A1104" s="1098"/>
      <c r="B1104" s="1457">
        <v>854</v>
      </c>
      <c r="C1104" s="1102">
        <v>1.0004258494952543</v>
      </c>
      <c r="D1104" s="1102">
        <v>0.98481013565197206</v>
      </c>
      <c r="E1104" s="1102">
        <v>0.99041729341188289</v>
      </c>
      <c r="F1104" s="1102">
        <v>1.004280071454299</v>
      </c>
      <c r="G1104" s="1102">
        <v>0.98757184389220132</v>
      </c>
      <c r="H1104" s="1102">
        <v>0.97849069006997114</v>
      </c>
      <c r="I1104" s="1102">
        <v>0.98537522929676014</v>
      </c>
      <c r="K1104">
        <v>1.5560432829324398</v>
      </c>
      <c r="L1104">
        <v>0</v>
      </c>
      <c r="M1104">
        <v>1.570858091158834E-3</v>
      </c>
      <c r="N1104">
        <v>0.14041230621025619</v>
      </c>
      <c r="O1104">
        <v>0.12235278672585222</v>
      </c>
      <c r="P1104">
        <v>1.5598301967986969E-2</v>
      </c>
      <c r="Q1104">
        <v>8.9497150073808538E-4</v>
      </c>
      <c r="R1104">
        <v>1.5672192454977017E-3</v>
      </c>
      <c r="S1104">
        <v>0.11712153541104064</v>
      </c>
      <c r="T1104">
        <v>0.82941847492029164</v>
      </c>
      <c r="U1104">
        <v>0</v>
      </c>
      <c r="V1104">
        <v>0.20568495187980027</v>
      </c>
      <c r="W1104">
        <v>9.277019860369376E-2</v>
      </c>
      <c r="X1104">
        <v>2.7527940405883217E-2</v>
      </c>
      <c r="Y1104">
        <v>4.2654541525593143E-3</v>
      </c>
    </row>
    <row r="1105" spans="1:25" x14ac:dyDescent="0.25">
      <c r="A1105" s="1098"/>
      <c r="B1105" s="1457">
        <v>855</v>
      </c>
      <c r="C1105" s="1102">
        <v>0.98608521303275798</v>
      </c>
      <c r="D1105" s="1102">
        <v>1.0007941501815234</v>
      </c>
      <c r="E1105" s="1102">
        <v>1.0380477986996037</v>
      </c>
      <c r="F1105" s="1102">
        <v>1.0181295403366324</v>
      </c>
      <c r="G1105" s="1102">
        <v>1.039640463587695</v>
      </c>
      <c r="H1105" s="1102">
        <v>0.98162642533423949</v>
      </c>
      <c r="I1105" s="1102">
        <v>1.0287721540073769</v>
      </c>
      <c r="K1105">
        <v>1.5879062881794757</v>
      </c>
      <c r="L1105">
        <v>0</v>
      </c>
      <c r="M1105">
        <v>1.4349303097591372E-3</v>
      </c>
      <c r="N1105">
        <v>0.14809152156898203</v>
      </c>
      <c r="O1105">
        <v>0.12322278505983372</v>
      </c>
      <c r="P1105">
        <v>1.6411856621341286E-2</v>
      </c>
      <c r="Q1105">
        <v>9.474775551171769E-4</v>
      </c>
      <c r="R1105">
        <v>1.4316080340885321E-3</v>
      </c>
      <c r="S1105">
        <v>0.1232241057122692</v>
      </c>
      <c r="T1105">
        <v>0.83767753999344152</v>
      </c>
      <c r="U1105">
        <v>0</v>
      </c>
      <c r="V1105">
        <v>0.2095803374669937</v>
      </c>
      <c r="W1105">
        <v>9.5142675726977974E-2</v>
      </c>
      <c r="X1105">
        <v>2.9714945610863221E-2</v>
      </c>
      <c r="Y1105">
        <v>3.8963651393273818E-3</v>
      </c>
    </row>
    <row r="1106" spans="1:25" x14ac:dyDescent="0.25">
      <c r="A1106" s="1098"/>
      <c r="B1106" s="1457">
        <v>856</v>
      </c>
      <c r="C1106" s="1102">
        <v>1.0065787837378111</v>
      </c>
      <c r="D1106" s="1102">
        <v>1.0049066907226887</v>
      </c>
      <c r="E1106" s="1102">
        <v>0.98017249542564477</v>
      </c>
      <c r="F1106" s="1102">
        <v>0.97788991334167485</v>
      </c>
      <c r="G1106" s="1102">
        <v>1.0167568669535809</v>
      </c>
      <c r="H1106" s="1102">
        <v>1.0184103626739027</v>
      </c>
      <c r="I1106" s="1102">
        <v>0.9642244325913053</v>
      </c>
      <c r="K1106">
        <v>1.5308700104593402</v>
      </c>
      <c r="L1106">
        <v>0</v>
      </c>
      <c r="M1106">
        <v>1.6382886483336308E-3</v>
      </c>
      <c r="N1106">
        <v>0.14198310052163082</v>
      </c>
      <c r="O1106">
        <v>0.11932596418157308</v>
      </c>
      <c r="P1106">
        <v>1.5155241075853655E-2</v>
      </c>
      <c r="Q1106">
        <v>8.7294658526652739E-4</v>
      </c>
      <c r="R1106">
        <v>1.6346242781985591E-3</v>
      </c>
      <c r="S1106">
        <v>0.11542345999540593</v>
      </c>
      <c r="T1106">
        <v>0.80828937836900627</v>
      </c>
      <c r="U1106">
        <v>0</v>
      </c>
      <c r="V1106">
        <v>0.20449100593609634</v>
      </c>
      <c r="W1106">
        <v>9.4387677406845269E-2</v>
      </c>
      <c r="X1106">
        <v>2.6495992326289269E-2</v>
      </c>
      <c r="Y1106">
        <v>4.4489084315079913E-3</v>
      </c>
    </row>
    <row r="1107" spans="1:25" x14ac:dyDescent="0.25">
      <c r="A1107" s="1098"/>
      <c r="B1107" s="1457">
        <v>857</v>
      </c>
      <c r="C1107" s="1102">
        <v>1.0144783896420095</v>
      </c>
      <c r="D1107" s="1102">
        <v>0.99903890973179965</v>
      </c>
      <c r="E1107" s="1102">
        <v>1.0267833323718696</v>
      </c>
      <c r="F1107" s="1102">
        <v>1.0042656550042275</v>
      </c>
      <c r="G1107" s="1102">
        <v>1.0081558479188426</v>
      </c>
      <c r="H1107" s="1102">
        <v>0.987384514061459</v>
      </c>
      <c r="I1107" s="1102">
        <v>1.0123233625996466</v>
      </c>
      <c r="K1107">
        <v>1.5574261742023112</v>
      </c>
      <c r="L1107">
        <v>0</v>
      </c>
      <c r="M1107">
        <v>1.4391879555549951E-3</v>
      </c>
      <c r="N1107">
        <v>0.14357510075641994</v>
      </c>
      <c r="O1107">
        <v>0.12090351055858592</v>
      </c>
      <c r="P1107">
        <v>1.6001459075513858E-2</v>
      </c>
      <c r="Q1107">
        <v>9.1108693147560202E-4</v>
      </c>
      <c r="R1107">
        <v>1.4358796169829759E-3</v>
      </c>
      <c r="S1107">
        <v>0.11849870151279152</v>
      </c>
      <c r="T1107">
        <v>0.82700580674581459</v>
      </c>
      <c r="U1107">
        <v>0</v>
      </c>
      <c r="V1107">
        <v>0.20507590909431023</v>
      </c>
      <c r="W1107">
        <v>9.2845032701059718E-2</v>
      </c>
      <c r="X1107">
        <v>2.8704884185070188E-2</v>
      </c>
      <c r="Y1107">
        <v>3.9079909798391335E-3</v>
      </c>
    </row>
    <row r="1108" spans="1:25" x14ac:dyDescent="0.25">
      <c r="A1108" s="1098"/>
      <c r="B1108" s="1457">
        <v>858</v>
      </c>
      <c r="C1108" s="1102">
        <v>1.0283033611595194</v>
      </c>
      <c r="D1108" s="1102">
        <v>1.0091223535595968</v>
      </c>
      <c r="E1108" s="1102">
        <v>0.97975154448499902</v>
      </c>
      <c r="F1108" s="1102">
        <v>0.98154234163541398</v>
      </c>
      <c r="G1108" s="1102">
        <v>0.99180753981143577</v>
      </c>
      <c r="H1108" s="1102">
        <v>0.96912084123207465</v>
      </c>
      <c r="I1108" s="1102">
        <v>0.99463399197878199</v>
      </c>
      <c r="K1108">
        <v>1.5103107188142295</v>
      </c>
      <c r="L1108">
        <v>0</v>
      </c>
      <c r="M1108">
        <v>1.5265826053927544E-3</v>
      </c>
      <c r="N1108">
        <v>0.13211893172105238</v>
      </c>
      <c r="O1108">
        <v>0.11833197210752512</v>
      </c>
      <c r="P1108">
        <v>1.5115885983507625E-2</v>
      </c>
      <c r="Q1108">
        <v>8.5269824037955951E-4</v>
      </c>
      <c r="R1108">
        <v>1.5229985341014274E-3</v>
      </c>
      <c r="S1108">
        <v>0.11263877390483085</v>
      </c>
      <c r="T1108">
        <v>0.81133588999080519</v>
      </c>
      <c r="U1108">
        <v>0</v>
      </c>
      <c r="V1108">
        <v>0.20166521326646442</v>
      </c>
      <c r="W1108">
        <v>8.7852492904674354E-2</v>
      </c>
      <c r="X1108">
        <v>2.6257344812789414E-2</v>
      </c>
      <c r="Y1108">
        <v>4.1450999534922489E-3</v>
      </c>
    </row>
    <row r="1109" spans="1:25" x14ac:dyDescent="0.25">
      <c r="A1109" s="1098"/>
      <c r="B1109" s="1457">
        <v>859</v>
      </c>
      <c r="C1109" s="1102">
        <v>1.0260892090744445</v>
      </c>
      <c r="D1109" s="1102">
        <v>1.0326438913333773</v>
      </c>
      <c r="E1109" s="1102">
        <v>0.98106733025747372</v>
      </c>
      <c r="F1109" s="1102">
        <v>1.0162298583560929</v>
      </c>
      <c r="G1109" s="1102">
        <v>1.0264253901484506</v>
      </c>
      <c r="H1109" s="1102">
        <v>1.0052161965511781</v>
      </c>
      <c r="I1109" s="1102">
        <v>1.0152893152961446</v>
      </c>
      <c r="K1109">
        <v>1.5547577653301885</v>
      </c>
      <c r="L1109">
        <v>0</v>
      </c>
      <c r="M1109">
        <v>1.5656539997316089E-3</v>
      </c>
      <c r="N1109">
        <v>0.1360519172552683</v>
      </c>
      <c r="O1109">
        <v>0.11982713791986976</v>
      </c>
      <c r="P1109">
        <v>1.5606816549613586E-2</v>
      </c>
      <c r="Q1109">
        <v>8.4786655267442995E-4</v>
      </c>
      <c r="R1109">
        <v>1.5621048168037103E-3</v>
      </c>
      <c r="S1109">
        <v>0.11661484619318836</v>
      </c>
      <c r="T1109">
        <v>0.83991922807315289</v>
      </c>
      <c r="U1109">
        <v>0</v>
      </c>
      <c r="V1109">
        <v>0.20450632071148478</v>
      </c>
      <c r="W1109">
        <v>9.0395906945123686E-2</v>
      </c>
      <c r="X1109">
        <v>2.6739739949115181E-2</v>
      </c>
      <c r="Y1109">
        <v>4.2515343636252353E-3</v>
      </c>
    </row>
    <row r="1110" spans="1:25" x14ac:dyDescent="0.25">
      <c r="A1110" s="1098"/>
      <c r="B1110" s="1457">
        <v>860</v>
      </c>
      <c r="C1110" s="1102">
        <v>0.98747144982072566</v>
      </c>
      <c r="D1110" s="1102">
        <v>0.9701171997862138</v>
      </c>
      <c r="E1110" s="1102">
        <v>1.0157125450898272</v>
      </c>
      <c r="F1110" s="1102">
        <v>1.0200544878640196</v>
      </c>
      <c r="G1110" s="1102">
        <v>1.0351771749773595</v>
      </c>
      <c r="H1110" s="1102">
        <v>1.0241240561621074</v>
      </c>
      <c r="I1110" s="1102">
        <v>1.0153493600743937</v>
      </c>
      <c r="K1110">
        <v>1.6076870830814221</v>
      </c>
      <c r="L1110">
        <v>0</v>
      </c>
      <c r="M1110">
        <v>1.5944018764602599E-3</v>
      </c>
      <c r="N1110">
        <v>0.15384945140624259</v>
      </c>
      <c r="O1110">
        <v>0.12474928889389426</v>
      </c>
      <c r="P1110">
        <v>1.6253979082360405E-2</v>
      </c>
      <c r="Q1110">
        <v>9.3638047366522185E-4</v>
      </c>
      <c r="R1110">
        <v>1.5908827316304707E-3</v>
      </c>
      <c r="S1110">
        <v>0.12722775949523749</v>
      </c>
      <c r="T1110">
        <v>0.84074553207327585</v>
      </c>
      <c r="U1110">
        <v>0</v>
      </c>
      <c r="V1110">
        <v>0.21027527506926375</v>
      </c>
      <c r="W1110">
        <v>0.10013494717801107</v>
      </c>
      <c r="X1110">
        <v>2.9188130193153722E-2</v>
      </c>
      <c r="Y1110">
        <v>4.3298583611466037E-3</v>
      </c>
    </row>
    <row r="1111" spans="1:25" x14ac:dyDescent="0.25">
      <c r="A1111" s="1098"/>
      <c r="B1111" s="1457">
        <v>861</v>
      </c>
      <c r="C1111" s="1102">
        <v>1.0212858287928801</v>
      </c>
      <c r="D1111" s="1102">
        <v>0.98649447189728801</v>
      </c>
      <c r="E1111" s="1102">
        <v>0.97804425088162916</v>
      </c>
      <c r="F1111" s="1102">
        <v>1.0257222762006948</v>
      </c>
      <c r="G1111" s="1102">
        <v>1.0205136446068934</v>
      </c>
      <c r="H1111" s="1102">
        <v>0.99810712935335366</v>
      </c>
      <c r="I1111" s="1102">
        <v>0.99249146971034563</v>
      </c>
      <c r="K1111">
        <v>1.5739793843055057</v>
      </c>
      <c r="L1111">
        <v>0</v>
      </c>
      <c r="M1111">
        <v>1.6137944309670769E-3</v>
      </c>
      <c r="N1111">
        <v>0.1389586502034576</v>
      </c>
      <c r="O1111">
        <v>0.12275017091785777</v>
      </c>
      <c r="P1111">
        <v>1.571297908841942E-2</v>
      </c>
      <c r="Q1111">
        <v>8.6483152118440937E-4</v>
      </c>
      <c r="R1111">
        <v>1.6101399712033764E-3</v>
      </c>
      <c r="S1111">
        <v>0.11718200143914453</v>
      </c>
      <c r="T1111">
        <v>0.84797150539562727</v>
      </c>
      <c r="U1111">
        <v>0</v>
      </c>
      <c r="V1111">
        <v>0.20647561563957817</v>
      </c>
      <c r="W1111">
        <v>9.2495952747982793E-2</v>
      </c>
      <c r="X1111">
        <v>2.7189061592900309E-2</v>
      </c>
      <c r="Y1111">
        <v>4.3822702191167349E-3</v>
      </c>
    </row>
    <row r="1112" spans="1:25" x14ac:dyDescent="0.25">
      <c r="A1112" s="1098"/>
      <c r="B1112" s="1457">
        <v>862</v>
      </c>
      <c r="C1112" s="1102">
        <v>1.0223623954104633</v>
      </c>
      <c r="D1112" s="1102">
        <v>1.0031321406010594</v>
      </c>
      <c r="E1112" s="1102">
        <v>1.0074211453890336</v>
      </c>
      <c r="F1112" s="1102">
        <v>1.0010374216406885</v>
      </c>
      <c r="G1112" s="1102">
        <v>0.96496078835091759</v>
      </c>
      <c r="H1112" s="1102">
        <v>0.99005570040009605</v>
      </c>
      <c r="I1112" s="1102">
        <v>1.0177799302029558</v>
      </c>
      <c r="K1112">
        <v>1.5460313902266363</v>
      </c>
      <c r="L1112">
        <v>0</v>
      </c>
      <c r="M1112">
        <v>1.4877970388485796E-3</v>
      </c>
      <c r="N1112">
        <v>0.14000206005301463</v>
      </c>
      <c r="O1112">
        <v>0.12015787702590905</v>
      </c>
      <c r="P1112">
        <v>1.571111526588162E-2</v>
      </c>
      <c r="Q1112">
        <v>8.8480569545804078E-4</v>
      </c>
      <c r="R1112">
        <v>1.4843849059379744E-3</v>
      </c>
      <c r="S1112">
        <v>0.11812814889383537</v>
      </c>
      <c r="T1112">
        <v>0.82561617161288225</v>
      </c>
      <c r="U1112">
        <v>0</v>
      </c>
      <c r="V1112">
        <v>0.20215979788595839</v>
      </c>
      <c r="W1112">
        <v>9.156824757600722E-2</v>
      </c>
      <c r="X1112">
        <v>2.7766571963988181E-2</v>
      </c>
      <c r="Y1112">
        <v>4.0400063866104351E-3</v>
      </c>
    </row>
    <row r="1113" spans="1:25" x14ac:dyDescent="0.25">
      <c r="A1113" s="1098"/>
      <c r="B1113" s="1457">
        <v>863</v>
      </c>
      <c r="C1113" s="1102">
        <v>0.97677560610926273</v>
      </c>
      <c r="D1113" s="1102">
        <v>0.97647887333980232</v>
      </c>
      <c r="E1113" s="1102">
        <v>0.99304756397267946</v>
      </c>
      <c r="F1113" s="1102">
        <v>1.0034450433939885</v>
      </c>
      <c r="G1113" s="1102">
        <v>1.0265886400715243</v>
      </c>
      <c r="H1113" s="1102">
        <v>1.0008467405046377</v>
      </c>
      <c r="I1113" s="1102">
        <v>0.98502155082249854</v>
      </c>
      <c r="K1113">
        <v>1.5789467252336755</v>
      </c>
      <c r="L1113">
        <v>0</v>
      </c>
      <c r="M1113">
        <v>1.6415238629721202E-3</v>
      </c>
      <c r="N1113">
        <v>0.14790769063717407</v>
      </c>
      <c r="O1113">
        <v>0.12390890907806516</v>
      </c>
      <c r="P1113">
        <v>1.5740934614814218E-2</v>
      </c>
      <c r="Q1113">
        <v>9.2228417658912515E-4</v>
      </c>
      <c r="R1113">
        <v>1.637804546358385E-3</v>
      </c>
      <c r="S1113">
        <v>0.1221895079094996</v>
      </c>
      <c r="T1113">
        <v>0.82855390130232554</v>
      </c>
      <c r="U1113">
        <v>0</v>
      </c>
      <c r="V1113">
        <v>0.20971186286566498</v>
      </c>
      <c r="W1113">
        <v>9.7568739108400776E-2</v>
      </c>
      <c r="X1113">
        <v>2.7989050784690883E-2</v>
      </c>
      <c r="Y1113">
        <v>4.4575640730639193E-3</v>
      </c>
    </row>
    <row r="1114" spans="1:25" x14ac:dyDescent="0.25">
      <c r="A1114" s="1098"/>
      <c r="B1114" s="1457">
        <v>864</v>
      </c>
      <c r="C1114" s="1102">
        <v>1.0036307473466046</v>
      </c>
      <c r="D1114" s="1102">
        <v>1.0208296543129431</v>
      </c>
      <c r="E1114" s="1102">
        <v>1.0109327078662995</v>
      </c>
      <c r="F1114" s="1102">
        <v>0.99628404751330979</v>
      </c>
      <c r="G1114" s="1102">
        <v>0.9883027961292411</v>
      </c>
      <c r="H1114" s="1102">
        <v>1.0053086391525878</v>
      </c>
      <c r="I1114" s="1102">
        <v>0.97957925898976517</v>
      </c>
      <c r="K1114">
        <v>1.5470394814306805</v>
      </c>
      <c r="L1114">
        <v>0</v>
      </c>
      <c r="M1114">
        <v>1.5101017051717643E-3</v>
      </c>
      <c r="N1114">
        <v>0.14361901545165712</v>
      </c>
      <c r="O1114">
        <v>0.11999363107593464</v>
      </c>
      <c r="P1114">
        <v>1.5686265902816573E-2</v>
      </c>
      <c r="Q1114">
        <v>8.9828520160119437E-4</v>
      </c>
      <c r="R1114">
        <v>1.5066752039466608E-3</v>
      </c>
      <c r="S1114">
        <v>0.11565822241974826</v>
      </c>
      <c r="T1114">
        <v>0.8214658621358768</v>
      </c>
      <c r="U1114">
        <v>0</v>
      </c>
      <c r="V1114">
        <v>0.20399606423264169</v>
      </c>
      <c r="W1114">
        <v>9.3739482411335992E-2</v>
      </c>
      <c r="X1114">
        <v>2.7885405870497534E-2</v>
      </c>
      <c r="Y1114">
        <v>4.100673229795313E-3</v>
      </c>
    </row>
    <row r="1115" spans="1:25" x14ac:dyDescent="0.25">
      <c r="A1115" s="1098"/>
      <c r="B1115" s="1457">
        <v>865</v>
      </c>
      <c r="C1115" s="1102">
        <v>1.0058476004489947</v>
      </c>
      <c r="D1115" s="1102">
        <v>1.0110940683824836</v>
      </c>
      <c r="E1115" s="1102">
        <v>1.0073013330445582</v>
      </c>
      <c r="F1115" s="1102">
        <v>1.0231801637831015</v>
      </c>
      <c r="G1115" s="1102">
        <v>1.0309252890158351</v>
      </c>
      <c r="H1115" s="1102">
        <v>1.0090481251535659</v>
      </c>
      <c r="I1115" s="1102">
        <v>1.0333222957733388</v>
      </c>
      <c r="K1115">
        <v>1.5847226606181266</v>
      </c>
      <c r="L1115">
        <v>0</v>
      </c>
      <c r="M1115">
        <v>1.5354200384593145E-3</v>
      </c>
      <c r="N1115">
        <v>0.14443710031667423</v>
      </c>
      <c r="O1115">
        <v>0.12217635399367408</v>
      </c>
      <c r="P1115">
        <v>1.6097481918385181E-2</v>
      </c>
      <c r="Q1115">
        <v>8.9638274379550483E-4</v>
      </c>
      <c r="R1115">
        <v>1.5319619721851218E-3</v>
      </c>
      <c r="S1115">
        <v>0.12290378789375482</v>
      </c>
      <c r="T1115">
        <v>0.84388669522900506</v>
      </c>
      <c r="U1115">
        <v>0</v>
      </c>
      <c r="V1115">
        <v>0.20739615908734904</v>
      </c>
      <c r="W1115">
        <v>9.447567090877837E-2</v>
      </c>
      <c r="X1115">
        <v>2.8286991115823786E-2</v>
      </c>
      <c r="Y1115">
        <v>4.1694954771594956E-3</v>
      </c>
    </row>
    <row r="1116" spans="1:25" x14ac:dyDescent="0.25">
      <c r="A1116" s="1098"/>
      <c r="B1116" s="1457">
        <v>866</v>
      </c>
      <c r="C1116" s="1102">
        <v>1.0261745070939188</v>
      </c>
      <c r="D1116" s="1102">
        <v>0.99633843092470764</v>
      </c>
      <c r="E1116" s="1102">
        <v>1.0248303528703466</v>
      </c>
      <c r="F1116" s="1102">
        <v>0.99432824820746568</v>
      </c>
      <c r="G1116" s="1102">
        <v>0.98809459405961242</v>
      </c>
      <c r="H1116" s="1102">
        <v>0.98041911744043753</v>
      </c>
      <c r="I1116" s="1102">
        <v>1.0206101451471492</v>
      </c>
      <c r="K1116">
        <v>1.5402827753956441</v>
      </c>
      <c r="L1116">
        <v>0</v>
      </c>
      <c r="M1116">
        <v>1.4207981428432368E-3</v>
      </c>
      <c r="N1116">
        <v>0.14090609244286686</v>
      </c>
      <c r="O1116">
        <v>0.11975254457483209</v>
      </c>
      <c r="P1116">
        <v>1.5824533785638577E-2</v>
      </c>
      <c r="Q1116">
        <v>8.998791405330016E-4</v>
      </c>
      <c r="R1116">
        <v>1.4175106256940078E-3</v>
      </c>
      <c r="S1116">
        <v>0.11774938678879862</v>
      </c>
      <c r="T1116">
        <v>0.81894899460985648</v>
      </c>
      <c r="U1116">
        <v>0</v>
      </c>
      <c r="V1116">
        <v>0.20278267212984216</v>
      </c>
      <c r="W1116">
        <v>9.1222775029227751E-2</v>
      </c>
      <c r="X1116">
        <v>2.8341187770308959E-2</v>
      </c>
      <c r="Y1116">
        <v>3.8579966408869128E-3</v>
      </c>
    </row>
    <row r="1117" spans="1:25" x14ac:dyDescent="0.25">
      <c r="A1117" s="1098"/>
      <c r="B1117" s="1457">
        <v>867</v>
      </c>
      <c r="C1117" s="1102">
        <v>1.0123678997515224</v>
      </c>
      <c r="D1117" s="1102">
        <v>0.99146654825943914</v>
      </c>
      <c r="E1117" s="1102">
        <v>1.0110673645841832</v>
      </c>
      <c r="F1117" s="1102">
        <v>0.96855939311208927</v>
      </c>
      <c r="G1117" s="1102">
        <v>1.0152821904495954</v>
      </c>
      <c r="H1117" s="1102">
        <v>0.96503544886155135</v>
      </c>
      <c r="I1117" s="1102">
        <v>0.97193927972041194</v>
      </c>
      <c r="K1117">
        <v>1.510961350924112</v>
      </c>
      <c r="L1117">
        <v>0</v>
      </c>
      <c r="M1117">
        <v>1.4583873338422189E-3</v>
      </c>
      <c r="N1117">
        <v>0.13874500408769389</v>
      </c>
      <c r="O1117">
        <v>0.11887174049364338</v>
      </c>
      <c r="P1117">
        <v>1.5329839931794233E-2</v>
      </c>
      <c r="Q1117">
        <v>9.011149624868224E-4</v>
      </c>
      <c r="R1117">
        <v>1.4549514770379691E-3</v>
      </c>
      <c r="S1117">
        <v>0.11256979378421399</v>
      </c>
      <c r="T1117">
        <v>0.79859749565427474</v>
      </c>
      <c r="U1117">
        <v>0</v>
      </c>
      <c r="V1117">
        <v>0.20390911399953915</v>
      </c>
      <c r="W1117">
        <v>9.0551052493556994E-2</v>
      </c>
      <c r="X1117">
        <v>2.7529733077839083E-2</v>
      </c>
      <c r="Y1117">
        <v>3.9598982958718469E-3</v>
      </c>
    </row>
    <row r="1118" spans="1:25" x14ac:dyDescent="0.25">
      <c r="A1118" s="1098"/>
      <c r="B1118" s="1457">
        <v>868</v>
      </c>
      <c r="C1118" s="1102">
        <v>1.0411046615271204</v>
      </c>
      <c r="D1118" s="1102">
        <v>1.0117168736248416</v>
      </c>
      <c r="E1118" s="1102">
        <v>0.99981907448125773</v>
      </c>
      <c r="F1118" s="1102">
        <v>0.98459533410996025</v>
      </c>
      <c r="G1118" s="1102">
        <v>1.0101213485216123</v>
      </c>
      <c r="H1118" s="1102">
        <v>1.0062484030480345</v>
      </c>
      <c r="I1118" s="1102">
        <v>0.98066511075095453</v>
      </c>
      <c r="K1118">
        <v>1.5203316364312851</v>
      </c>
      <c r="L1118">
        <v>0</v>
      </c>
      <c r="M1118">
        <v>1.5013291275381849E-3</v>
      </c>
      <c r="N1118">
        <v>0.13807318991486883</v>
      </c>
      <c r="O1118">
        <v>0.11776166167999538</v>
      </c>
      <c r="P1118">
        <v>1.5358509853468965E-2</v>
      </c>
      <c r="Q1118">
        <v>8.5913534344219202E-4</v>
      </c>
      <c r="R1118">
        <v>1.497936717714378E-3</v>
      </c>
      <c r="S1118">
        <v>0.11239741746370789</v>
      </c>
      <c r="T1118">
        <v>0.81254862428705232</v>
      </c>
      <c r="U1118">
        <v>0</v>
      </c>
      <c r="V1118">
        <v>0.20159777299420797</v>
      </c>
      <c r="W1118">
        <v>9.0714454579662665E-2</v>
      </c>
      <c r="X1118">
        <v>2.6947372773789297E-2</v>
      </c>
      <c r="Y1118">
        <v>4.0768899509122519E-3</v>
      </c>
    </row>
    <row r="1119" spans="1:25" x14ac:dyDescent="0.25">
      <c r="A1119" s="1098"/>
      <c r="B1119" s="1457">
        <v>869</v>
      </c>
      <c r="C1119" s="1102">
        <v>0.96168686576521045</v>
      </c>
      <c r="D1119" s="1102">
        <v>0.99358974738825001</v>
      </c>
      <c r="E1119" s="1102">
        <v>1.0417112716940593</v>
      </c>
      <c r="F1119" s="1102">
        <v>0.98363206195497721</v>
      </c>
      <c r="G1119" s="1102">
        <v>0.99489634635021995</v>
      </c>
      <c r="H1119" s="1102">
        <v>1.0049713287935405</v>
      </c>
      <c r="I1119" s="1102">
        <v>0.97930475843721476</v>
      </c>
      <c r="K1119">
        <v>1.5685361823036712</v>
      </c>
      <c r="L1119">
        <v>0</v>
      </c>
      <c r="M1119">
        <v>1.4941252829771094E-3</v>
      </c>
      <c r="N1119">
        <v>0.15591908430186077</v>
      </c>
      <c r="O1119">
        <v>0.12239100995588091</v>
      </c>
      <c r="P1119">
        <v>1.6020246970432563E-2</v>
      </c>
      <c r="Q1119">
        <v>9.7795720471911558E-4</v>
      </c>
      <c r="R1119">
        <v>1.4907348801178929E-3</v>
      </c>
      <c r="S1119">
        <v>0.12232302002528236</v>
      </c>
      <c r="T1119">
        <v>0.80906111352892462</v>
      </c>
      <c r="U1119">
        <v>0</v>
      </c>
      <c r="V1119">
        <v>0.20814847275633602</v>
      </c>
      <c r="W1119">
        <v>9.9960406461652843E-2</v>
      </c>
      <c r="X1119">
        <v>2.9680972578380836E-2</v>
      </c>
      <c r="Y1119">
        <v>4.057288923059745E-3</v>
      </c>
    </row>
    <row r="1120" spans="1:25" x14ac:dyDescent="0.25">
      <c r="A1120" s="1098"/>
      <c r="B1120" s="1457">
        <v>870</v>
      </c>
      <c r="C1120" s="1102">
        <v>0.98245805841095846</v>
      </c>
      <c r="D1120" s="1102">
        <v>1.025475641073532</v>
      </c>
      <c r="E1120" s="1102">
        <v>0.96986431667362161</v>
      </c>
      <c r="F1120" s="1102">
        <v>0.98070001378226512</v>
      </c>
      <c r="G1120" s="1102">
        <v>0.98610320144423491</v>
      </c>
      <c r="H1120" s="1102">
        <v>1.0031395385096498</v>
      </c>
      <c r="I1120" s="1102">
        <v>1.0122917150518504</v>
      </c>
      <c r="K1120">
        <v>1.5376619543704846</v>
      </c>
      <c r="L1120">
        <v>0</v>
      </c>
      <c r="M1120">
        <v>1.6671142788530074E-3</v>
      </c>
      <c r="N1120">
        <v>0.14003665706667928</v>
      </c>
      <c r="O1120">
        <v>0.11990037387844307</v>
      </c>
      <c r="P1120">
        <v>1.515714354665215E-2</v>
      </c>
      <c r="Q1120">
        <v>8.7760202552776328E-4</v>
      </c>
      <c r="R1120">
        <v>1.6633100829012387E-3</v>
      </c>
      <c r="S1120">
        <v>0.121290731537586</v>
      </c>
      <c r="T1120">
        <v>0.81128760833331781</v>
      </c>
      <c r="U1120">
        <v>0</v>
      </c>
      <c r="V1120">
        <v>0.20467999377899374</v>
      </c>
      <c r="W1120">
        <v>9.3677280761514978E-2</v>
      </c>
      <c r="X1120">
        <v>2.6231385902083383E-2</v>
      </c>
      <c r="Y1120">
        <v>4.5269817356357045E-3</v>
      </c>
    </row>
    <row r="1121" spans="1:25" x14ac:dyDescent="0.25">
      <c r="A1121" s="1098"/>
      <c r="B1121" s="1457">
        <v>871</v>
      </c>
      <c r="C1121" s="1102">
        <v>0.99172320193738728</v>
      </c>
      <c r="D1121" s="1102">
        <v>1.0051601868161961</v>
      </c>
      <c r="E1121" s="1102">
        <v>1.0171020909529518</v>
      </c>
      <c r="F1121" s="1102">
        <v>0.97808063900562536</v>
      </c>
      <c r="G1121" s="1102">
        <v>0.99813910822955598</v>
      </c>
      <c r="H1121" s="1102">
        <v>1.0184465485779177</v>
      </c>
      <c r="I1121" s="1102">
        <v>0.96717814952746217</v>
      </c>
      <c r="K1121">
        <v>1.5432990988599111</v>
      </c>
      <c r="L1121">
        <v>0</v>
      </c>
      <c r="M1121">
        <v>1.5383987291252206E-3</v>
      </c>
      <c r="N1121">
        <v>0.14906448399569019</v>
      </c>
      <c r="O1121">
        <v>0.11998003840838935</v>
      </c>
      <c r="P1121">
        <v>1.5583777294808275E-2</v>
      </c>
      <c r="Q1121">
        <v>9.2053910610838104E-4</v>
      </c>
      <c r="R1121">
        <v>1.5349540256370602E-3</v>
      </c>
      <c r="S1121">
        <v>0.11748135843563311</v>
      </c>
      <c r="T1121">
        <v>0.80606100334690578</v>
      </c>
      <c r="U1121">
        <v>0</v>
      </c>
      <c r="V1121">
        <v>0.20497006175119914</v>
      </c>
      <c r="W1121">
        <v>9.6941523303272104E-2</v>
      </c>
      <c r="X1121">
        <v>2.812211906106522E-2</v>
      </c>
      <c r="Y1121">
        <v>4.1776388603255166E-3</v>
      </c>
    </row>
    <row r="1122" spans="1:25" x14ac:dyDescent="0.25">
      <c r="A1122" s="1098"/>
      <c r="B1122" s="1457">
        <v>872</v>
      </c>
      <c r="C1122" s="1102">
        <v>0.99756779457020894</v>
      </c>
      <c r="D1122" s="1102">
        <v>0.96474682979377191</v>
      </c>
      <c r="E1122" s="1102">
        <v>1.0181095555350261</v>
      </c>
      <c r="F1122" s="1102">
        <v>1.002364030501673</v>
      </c>
      <c r="G1122" s="1102">
        <v>0.98069938577150129</v>
      </c>
      <c r="H1122" s="1102">
        <v>0.99890578017891696</v>
      </c>
      <c r="I1122" s="1102">
        <v>1.0160809620601592</v>
      </c>
      <c r="K1122">
        <v>1.5759272845592307</v>
      </c>
      <c r="L1122">
        <v>0</v>
      </c>
      <c r="M1122">
        <v>1.5356311451570272E-3</v>
      </c>
      <c r="N1122">
        <v>0.14924587253073759</v>
      </c>
      <c r="O1122">
        <v>0.123205120263762</v>
      </c>
      <c r="P1122">
        <v>1.5982502362153338E-2</v>
      </c>
      <c r="Q1122">
        <v>9.3125470261679131E-4</v>
      </c>
      <c r="R1122">
        <v>1.5321572346221231E-3</v>
      </c>
      <c r="S1122">
        <v>0.12432352585943839</v>
      </c>
      <c r="T1122">
        <v>0.82600747110316053</v>
      </c>
      <c r="U1122">
        <v>0</v>
      </c>
      <c r="V1122">
        <v>0.20619807265342244</v>
      </c>
      <c r="W1122">
        <v>9.7002186486417535E-2</v>
      </c>
      <c r="X1122">
        <v>2.8864725590910217E-2</v>
      </c>
      <c r="Y1122">
        <v>4.1700269171447675E-3</v>
      </c>
    </row>
    <row r="1123" spans="1:25" x14ac:dyDescent="0.25">
      <c r="A1123" s="1098"/>
      <c r="B1123" s="1457">
        <v>873</v>
      </c>
      <c r="C1123" s="1102">
        <v>1.0227084891541733</v>
      </c>
      <c r="D1123" s="1102">
        <v>0.98108895201105395</v>
      </c>
      <c r="E1123" s="1102">
        <v>0.99691996085294343</v>
      </c>
      <c r="F1123" s="1102">
        <v>1.0458237575597589</v>
      </c>
      <c r="G1123" s="1102">
        <v>1.0135110370210518</v>
      </c>
      <c r="H1123" s="1102">
        <v>0.98891418088957606</v>
      </c>
      <c r="I1123" s="1102">
        <v>1.0395143939504941</v>
      </c>
      <c r="K1123">
        <v>1.5999850906294577</v>
      </c>
      <c r="L1123">
        <v>0</v>
      </c>
      <c r="M1123">
        <v>1.5427183167299734E-3</v>
      </c>
      <c r="N1123">
        <v>0.14063935821736667</v>
      </c>
      <c r="O1123">
        <v>0.12425807936435997</v>
      </c>
      <c r="P1123">
        <v>1.6228359149593103E-2</v>
      </c>
      <c r="Q1123">
        <v>8.8275018118756004E-4</v>
      </c>
      <c r="R1123">
        <v>1.5392010757961459E-3</v>
      </c>
      <c r="S1123">
        <v>0.12237864397959952</v>
      </c>
      <c r="T1123">
        <v>0.86327839682044982</v>
      </c>
      <c r="U1123">
        <v>0</v>
      </c>
      <c r="V1123">
        <v>0.20727565828069353</v>
      </c>
      <c r="W1123">
        <v>9.2559989582328334E-2</v>
      </c>
      <c r="X1123">
        <v>2.8298174363994975E-2</v>
      </c>
      <c r="Y1123">
        <v>4.1891979308188391E-3</v>
      </c>
    </row>
    <row r="1124" spans="1:25" x14ac:dyDescent="0.25">
      <c r="A1124" s="1098"/>
      <c r="B1124" s="1457">
        <v>874</v>
      </c>
      <c r="C1124" s="1102">
        <v>1.0140930027301178</v>
      </c>
      <c r="D1124" s="1102">
        <v>0.96643196013781318</v>
      </c>
      <c r="E1124" s="1102">
        <v>1.0257147604281254</v>
      </c>
      <c r="F1124" s="1102">
        <v>1.0199007955372301</v>
      </c>
      <c r="G1124" s="1102">
        <v>0.99911387456418133</v>
      </c>
      <c r="H1124" s="1102">
        <v>0.99031362605459339</v>
      </c>
      <c r="I1124" s="1102">
        <v>1.0078443217424822</v>
      </c>
      <c r="K1124">
        <v>1.5828750604385513</v>
      </c>
      <c r="L1124">
        <v>0</v>
      </c>
      <c r="M1124">
        <v>1.4764616007376635E-3</v>
      </c>
      <c r="N1124">
        <v>0.14682298464154225</v>
      </c>
      <c r="O1124">
        <v>0.12348800948954762</v>
      </c>
      <c r="P1124">
        <v>1.6219577522045517E-2</v>
      </c>
      <c r="Q1124">
        <v>9.2260282880233808E-4</v>
      </c>
      <c r="R1124">
        <v>1.4731003113848883E-3</v>
      </c>
      <c r="S1124">
        <v>0.1207109237910314</v>
      </c>
      <c r="T1124">
        <v>0.8399522567872364</v>
      </c>
      <c r="U1124">
        <v>0</v>
      </c>
      <c r="V1124">
        <v>0.20651112676034655</v>
      </c>
      <c r="W1124">
        <v>9.5004411164381533E-2</v>
      </c>
      <c r="X1124">
        <v>2.9237235302767388E-2</v>
      </c>
      <c r="Y1124">
        <v>4.0092934402025278E-3</v>
      </c>
    </row>
    <row r="1125" spans="1:25" x14ac:dyDescent="0.25">
      <c r="A1125" s="1098"/>
      <c r="B1125" s="1457">
        <v>875</v>
      </c>
      <c r="C1125" s="1102">
        <v>0.98202951343703071</v>
      </c>
      <c r="D1125" s="1102">
        <v>1.0324461745127977</v>
      </c>
      <c r="E1125" s="1102">
        <v>1.0040128951034752</v>
      </c>
      <c r="F1125" s="1102">
        <v>0.97031293853947265</v>
      </c>
      <c r="G1125" s="1102">
        <v>0.98184421885039175</v>
      </c>
      <c r="H1125" s="1102">
        <v>1.0070073604070457</v>
      </c>
      <c r="I1125" s="1102">
        <v>0.98871339782283241</v>
      </c>
      <c r="K1125">
        <v>1.5286891054920004</v>
      </c>
      <c r="L1125">
        <v>0</v>
      </c>
      <c r="M1125">
        <v>1.5527479662617494E-3</v>
      </c>
      <c r="N1125">
        <v>0.14462005296251385</v>
      </c>
      <c r="O1125">
        <v>0.11880196278115848</v>
      </c>
      <c r="P1125">
        <v>1.5353895064833723E-2</v>
      </c>
      <c r="Q1125">
        <v>9.0739112669744205E-4</v>
      </c>
      <c r="R1125">
        <v>1.5492114502669338E-3</v>
      </c>
      <c r="S1125">
        <v>0.11834164662945512</v>
      </c>
      <c r="T1125">
        <v>0.80049353256401901</v>
      </c>
      <c r="U1125">
        <v>0</v>
      </c>
      <c r="V1125">
        <v>0.20384418848707592</v>
      </c>
      <c r="W1125">
        <v>9.477957876304835E-2</v>
      </c>
      <c r="X1125">
        <v>2.7333950758983601E-2</v>
      </c>
      <c r="Y1125">
        <v>4.2164428702092648E-3</v>
      </c>
    </row>
    <row r="1126" spans="1:25" x14ac:dyDescent="0.25">
      <c r="A1126" s="1098"/>
      <c r="B1126" s="1457">
        <v>876</v>
      </c>
      <c r="C1126" s="1102">
        <v>0.96052155096482117</v>
      </c>
      <c r="D1126" s="1102">
        <v>1.0157349515601239</v>
      </c>
      <c r="E1126" s="1102">
        <v>0.99953192850826245</v>
      </c>
      <c r="F1126" s="1102">
        <v>1.0189161638705395</v>
      </c>
      <c r="G1126" s="1102">
        <v>1.0369224526564218</v>
      </c>
      <c r="H1126" s="1102">
        <v>1.0083313816801596</v>
      </c>
      <c r="I1126" s="1102">
        <v>1.0037088444819411</v>
      </c>
      <c r="K1126">
        <v>1.5973592139767052</v>
      </c>
      <c r="L1126">
        <v>0</v>
      </c>
      <c r="M1126">
        <v>1.6227178665320563E-3</v>
      </c>
      <c r="N1126">
        <v>0.1491069552680869</v>
      </c>
      <c r="O1126">
        <v>0.12409830782354586</v>
      </c>
      <c r="P1126">
        <v>1.603541372340752E-2</v>
      </c>
      <c r="Q1126">
        <v>9.2946059792956926E-4</v>
      </c>
      <c r="R1126">
        <v>1.6190444879152399E-3</v>
      </c>
      <c r="S1126">
        <v>0.12429875182949315</v>
      </c>
      <c r="T1126">
        <v>0.84089160111813777</v>
      </c>
      <c r="U1126">
        <v>0</v>
      </c>
      <c r="V1126">
        <v>0.21124725053002616</v>
      </c>
      <c r="W1126">
        <v>9.7980392455818716E-2</v>
      </c>
      <c r="X1126">
        <v>2.8368248630645441E-2</v>
      </c>
      <c r="Y1126">
        <v>4.4065053782332804E-3</v>
      </c>
    </row>
    <row r="1127" spans="1:25" x14ac:dyDescent="0.25">
      <c r="A1127" s="1098"/>
      <c r="B1127" s="1457">
        <v>877</v>
      </c>
      <c r="C1127" s="1102">
        <v>1.0051305052821859</v>
      </c>
      <c r="D1127" s="1102">
        <v>0.98226110018497748</v>
      </c>
      <c r="E1127" s="1102">
        <v>0.98080266014710304</v>
      </c>
      <c r="F1127" s="1102">
        <v>1.0063718543898224</v>
      </c>
      <c r="G1127" s="1102">
        <v>1.0026910001711196</v>
      </c>
      <c r="H1127" s="1102">
        <v>1.0272324080815602</v>
      </c>
      <c r="I1127" s="1102">
        <v>0.96174368286142753</v>
      </c>
      <c r="K1127">
        <v>1.5686913062316732</v>
      </c>
      <c r="L1127">
        <v>0</v>
      </c>
      <c r="M1127">
        <v>1.6776942493744245E-3</v>
      </c>
      <c r="N1127">
        <v>0.14568039222948709</v>
      </c>
      <c r="O1127">
        <v>0.12240149359495359</v>
      </c>
      <c r="P1127">
        <v>1.5531203648722866E-2</v>
      </c>
      <c r="Q1127">
        <v>8.8279370693157219E-4</v>
      </c>
      <c r="R1127">
        <v>1.6739958124112847E-3</v>
      </c>
      <c r="S1127">
        <v>0.11771152755269232</v>
      </c>
      <c r="T1127">
        <v>0.83178928403708008</v>
      </c>
      <c r="U1127">
        <v>0</v>
      </c>
      <c r="V1127">
        <v>0.20614139804307074</v>
      </c>
      <c r="W1127">
        <v>9.6808737654435428E-2</v>
      </c>
      <c r="X1127">
        <v>2.7192109432450057E-2</v>
      </c>
      <c r="Y1127">
        <v>4.5560647688122624E-3</v>
      </c>
    </row>
    <row r="1128" spans="1:25" x14ac:dyDescent="0.25">
      <c r="A1128" s="1098"/>
      <c r="B1128" s="1457">
        <v>878</v>
      </c>
      <c r="C1128" s="1102">
        <v>1.0044801114050055</v>
      </c>
      <c r="D1128" s="1102">
        <v>0.97558206831094063</v>
      </c>
      <c r="E1128" s="1102">
        <v>0.97904775648811093</v>
      </c>
      <c r="F1128" s="1102">
        <v>0.97130043313998227</v>
      </c>
      <c r="G1128" s="1102">
        <v>1.0021045345518393</v>
      </c>
      <c r="H1128" s="1102">
        <v>0.99665605630076648</v>
      </c>
      <c r="I1128" s="1102">
        <v>0.99915483000303429</v>
      </c>
      <c r="K1128">
        <v>1.5303230491571456</v>
      </c>
      <c r="L1128">
        <v>0</v>
      </c>
      <c r="M1128">
        <v>1.6364170318953002E-3</v>
      </c>
      <c r="N1128">
        <v>0.14133351293745908</v>
      </c>
      <c r="O1128">
        <v>0.12025304688774557</v>
      </c>
      <c r="P1128">
        <v>1.5134900290778236E-2</v>
      </c>
      <c r="Q1128">
        <v>8.8415188913615209E-4</v>
      </c>
      <c r="R1128">
        <v>1.6326925958564322E-3</v>
      </c>
      <c r="S1128">
        <v>0.12019306605849457</v>
      </c>
      <c r="T1128">
        <v>0.80291558256241879</v>
      </c>
      <c r="U1128">
        <v>0</v>
      </c>
      <c r="V1128">
        <v>0.20453884002996733</v>
      </c>
      <c r="W1128">
        <v>9.4019694803989917E-2</v>
      </c>
      <c r="X1128">
        <v>2.6610327104243471E-2</v>
      </c>
      <c r="Y1128">
        <v>4.4436510289516326E-3</v>
      </c>
    </row>
    <row r="1129" spans="1:25" x14ac:dyDescent="0.25">
      <c r="A1129" s="1098"/>
      <c r="B1129" s="1457">
        <v>879</v>
      </c>
      <c r="C1129" s="1102">
        <v>0.97711675122211272</v>
      </c>
      <c r="D1129" s="1102">
        <v>1.0276784724140899</v>
      </c>
      <c r="E1129" s="1102">
        <v>0.98020099071208133</v>
      </c>
      <c r="F1129" s="1102">
        <v>0.99570548313837104</v>
      </c>
      <c r="G1129" s="1102">
        <v>1.0077555017862303</v>
      </c>
      <c r="H1129" s="1102">
        <v>1.0323056631717566</v>
      </c>
      <c r="I1129" s="1102">
        <v>0.95614136905644376</v>
      </c>
      <c r="K1129">
        <v>1.5596608709570627</v>
      </c>
      <c r="L1129">
        <v>0</v>
      </c>
      <c r="M1129">
        <v>1.6877597569538477E-3</v>
      </c>
      <c r="N1129">
        <v>0.14628610951303977</v>
      </c>
      <c r="O1129">
        <v>0.1211173896916375</v>
      </c>
      <c r="P1129">
        <v>1.5410943746050442E-2</v>
      </c>
      <c r="Q1129">
        <v>8.912701116057304E-4</v>
      </c>
      <c r="R1129">
        <v>1.6840188022502675E-3</v>
      </c>
      <c r="S1129">
        <v>0.11734229279056949</v>
      </c>
      <c r="T1129">
        <v>0.82301321005931094</v>
      </c>
      <c r="U1129">
        <v>0</v>
      </c>
      <c r="V1129">
        <v>0.20685973333549959</v>
      </c>
      <c r="W1129">
        <v>9.7246563323208718E-2</v>
      </c>
      <c r="X1129">
        <v>2.6913755297766587E-2</v>
      </c>
      <c r="Y1129">
        <v>4.5833440430762635E-3</v>
      </c>
    </row>
    <row r="1130" spans="1:25" x14ac:dyDescent="0.25">
      <c r="A1130" s="1098"/>
      <c r="B1130" s="1457">
        <v>880</v>
      </c>
      <c r="C1130" s="1102">
        <v>1.0357458279393408</v>
      </c>
      <c r="D1130" s="1102">
        <v>0.99160372046169065</v>
      </c>
      <c r="E1130" s="1102">
        <v>1.0263289476400528</v>
      </c>
      <c r="F1130" s="1102">
        <v>1.0059338930996131</v>
      </c>
      <c r="G1130" s="1102">
        <v>1.0060912651084943</v>
      </c>
      <c r="H1130" s="1102">
        <v>1.0277968222409475</v>
      </c>
      <c r="I1130" s="1102">
        <v>1.0251025426161404</v>
      </c>
      <c r="K1130">
        <v>1.5656299230006145</v>
      </c>
      <c r="L1130">
        <v>0</v>
      </c>
      <c r="M1130">
        <v>1.4773625828471925E-3</v>
      </c>
      <c r="N1130">
        <v>0.14719592225529918</v>
      </c>
      <c r="O1130">
        <v>0.1202934369294945</v>
      </c>
      <c r="P1130">
        <v>1.6034831733826214E-2</v>
      </c>
      <c r="Q1130">
        <v>8.9463398333750543E-4</v>
      </c>
      <c r="R1130">
        <v>1.474109401648542E-3</v>
      </c>
      <c r="S1130">
        <v>0.12137966883298967</v>
      </c>
      <c r="T1130">
        <v>0.82840937078737642</v>
      </c>
      <c r="U1130">
        <v>0</v>
      </c>
      <c r="V1130">
        <v>0.20357237868719416</v>
      </c>
      <c r="W1130">
        <v>9.5211669857670697E-2</v>
      </c>
      <c r="X1130">
        <v>2.8629223263371251E-2</v>
      </c>
      <c r="Y1130">
        <v>4.0120398512536772E-3</v>
      </c>
    </row>
    <row r="1131" spans="1:25" x14ac:dyDescent="0.25">
      <c r="A1131" s="1098"/>
      <c r="B1131" s="1457">
        <v>881</v>
      </c>
      <c r="C1131" s="1102">
        <v>0.98113343968378708</v>
      </c>
      <c r="D1131" s="1102">
        <v>0.99812346885768111</v>
      </c>
      <c r="E1131" s="1102">
        <v>0.9585918509628264</v>
      </c>
      <c r="F1131" s="1102">
        <v>0.98141069154320582</v>
      </c>
      <c r="G1131" s="1102">
        <v>0.99055696652053793</v>
      </c>
      <c r="H1131" s="1102">
        <v>0.99063865817450181</v>
      </c>
      <c r="I1131" s="1102">
        <v>1.0332076398629817</v>
      </c>
      <c r="K1131">
        <v>1.5439955598879034</v>
      </c>
      <c r="L1131">
        <v>0</v>
      </c>
      <c r="M1131">
        <v>1.713166170281014E-3</v>
      </c>
      <c r="N1131">
        <v>0.13907151182625729</v>
      </c>
      <c r="O1131">
        <v>0.1212297232249598</v>
      </c>
      <c r="P1131">
        <v>1.5106365908263381E-2</v>
      </c>
      <c r="Q1131">
        <v>8.7782125159612402E-4</v>
      </c>
      <c r="R1131">
        <v>1.7092248431774992E-3</v>
      </c>
      <c r="S1131">
        <v>0.12490561907314532</v>
      </c>
      <c r="T1131">
        <v>0.81261858914279839</v>
      </c>
      <c r="U1131">
        <v>0</v>
      </c>
      <c r="V1131">
        <v>0.2058180624513942</v>
      </c>
      <c r="W1131">
        <v>9.3675071477512473E-2</v>
      </c>
      <c r="X1131">
        <v>2.6044790281768412E-2</v>
      </c>
      <c r="Y1131">
        <v>4.6519465773110285E-3</v>
      </c>
    </row>
    <row r="1132" spans="1:25" x14ac:dyDescent="0.25">
      <c r="A1132" s="1098"/>
      <c r="B1132" s="1457">
        <v>882</v>
      </c>
      <c r="C1132" s="1102">
        <v>1.023006325606499</v>
      </c>
      <c r="D1132" s="1102">
        <v>0.97161124357350337</v>
      </c>
      <c r="E1132" s="1102">
        <v>1.0057908242878622</v>
      </c>
      <c r="F1132" s="1102">
        <v>0.98712198826075137</v>
      </c>
      <c r="G1132" s="1102">
        <v>1.0091410798704179</v>
      </c>
      <c r="H1132" s="1102">
        <v>0.99678874134327655</v>
      </c>
      <c r="I1132" s="1102">
        <v>0.99764017900255675</v>
      </c>
      <c r="K1132">
        <v>1.5426314864035837</v>
      </c>
      <c r="L1132">
        <v>0</v>
      </c>
      <c r="M1132">
        <v>1.5279436609272892E-3</v>
      </c>
      <c r="N1132">
        <v>0.14307738520260099</v>
      </c>
      <c r="O1132">
        <v>0.12055138701973311</v>
      </c>
      <c r="P1132">
        <v>1.5569778600771675E-2</v>
      </c>
      <c r="Q1132">
        <v>8.9410635318879828E-4</v>
      </c>
      <c r="R1132">
        <v>1.5244781368302699E-3</v>
      </c>
      <c r="S1132">
        <v>0.11839386441043157</v>
      </c>
      <c r="T1132">
        <v>0.81424516592471985</v>
      </c>
      <c r="U1132">
        <v>0</v>
      </c>
      <c r="V1132">
        <v>0.20432656371968458</v>
      </c>
      <c r="W1132">
        <v>9.3669910150312619E-2</v>
      </c>
      <c r="X1132">
        <v>2.7757663601868852E-2</v>
      </c>
      <c r="Y1132">
        <v>4.149126944369249E-3</v>
      </c>
    </row>
    <row r="1133" spans="1:25" x14ac:dyDescent="0.25">
      <c r="A1133" s="1098"/>
      <c r="B1133" s="1457">
        <v>883</v>
      </c>
      <c r="C1133" s="1102">
        <v>0.97967481477555207</v>
      </c>
      <c r="D1133" s="1102">
        <v>1.0343508352124331</v>
      </c>
      <c r="E1133" s="1102">
        <v>0.99762474148977942</v>
      </c>
      <c r="F1133" s="1102">
        <v>1.0039821834843738</v>
      </c>
      <c r="G1133" s="1102">
        <v>1.02186127669989</v>
      </c>
      <c r="H1133" s="1102">
        <v>0.99631754610870094</v>
      </c>
      <c r="I1133" s="1102">
        <v>0.9588521247821028</v>
      </c>
      <c r="K1133">
        <v>1.5568335068566361</v>
      </c>
      <c r="L1133">
        <v>0</v>
      </c>
      <c r="M1133">
        <v>1.5626412055764179E-3</v>
      </c>
      <c r="N1133">
        <v>0.14275683706786454</v>
      </c>
      <c r="O1133">
        <v>0.12122875292564279</v>
      </c>
      <c r="P1133">
        <v>1.5659550536875629E-2</v>
      </c>
      <c r="Q1133">
        <v>9.0290435625112154E-4</v>
      </c>
      <c r="R1133">
        <v>1.559051543199567E-3</v>
      </c>
      <c r="S1133">
        <v>0.11427698629600387</v>
      </c>
      <c r="T1133">
        <v>0.82869336938024851</v>
      </c>
      <c r="U1133">
        <v>0</v>
      </c>
      <c r="V1133">
        <v>0.20753876590399412</v>
      </c>
      <c r="W1133">
        <v>9.3914148979321668E-2</v>
      </c>
      <c r="X1133">
        <v>2.7622556713423972E-2</v>
      </c>
      <c r="Y1133">
        <v>4.2432243593861305E-3</v>
      </c>
    </row>
    <row r="1134" spans="1:25" x14ac:dyDescent="0.25">
      <c r="A1134" s="1098"/>
      <c r="B1134" s="1457">
        <v>884</v>
      </c>
      <c r="C1134" s="1102">
        <v>1.0309475760341695</v>
      </c>
      <c r="D1134" s="1102">
        <v>0.99629441897044801</v>
      </c>
      <c r="E1134" s="1102">
        <v>0.99765620052676363</v>
      </c>
      <c r="F1134" s="1102">
        <v>1.0281908681002485</v>
      </c>
      <c r="G1134" s="1102">
        <v>1.0370457539933169</v>
      </c>
      <c r="H1134" s="1102">
        <v>1.000456920677429</v>
      </c>
      <c r="I1134" s="1102">
        <v>1.0292498921236066</v>
      </c>
      <c r="K1134">
        <v>1.5776715597943167</v>
      </c>
      <c r="L1134">
        <v>0</v>
      </c>
      <c r="M1134">
        <v>1.5313023465727913E-3</v>
      </c>
      <c r="N1134">
        <v>0.13991219709975036</v>
      </c>
      <c r="O1134">
        <v>0.12193444605652651</v>
      </c>
      <c r="P1134">
        <v>1.5992340523489999E-2</v>
      </c>
      <c r="Q1134">
        <v>8.7099038727826575E-4</v>
      </c>
      <c r="R1134">
        <v>1.5278399030048925E-3</v>
      </c>
      <c r="S1134">
        <v>0.11996337554708729</v>
      </c>
      <c r="T1134">
        <v>0.84867323604562661</v>
      </c>
      <c r="U1134">
        <v>0</v>
      </c>
      <c r="V1134">
        <v>0.20629768771128071</v>
      </c>
      <c r="W1134">
        <v>9.2041047251189625E-2</v>
      </c>
      <c r="X1134">
        <v>2.7831425051963194E-2</v>
      </c>
      <c r="Y1134">
        <v>4.1582765636906504E-3</v>
      </c>
    </row>
    <row r="1135" spans="1:25" x14ac:dyDescent="0.25">
      <c r="A1135" s="1098"/>
      <c r="B1135" s="1457">
        <v>885</v>
      </c>
      <c r="C1135" s="1102">
        <v>0.97723982008334831</v>
      </c>
      <c r="D1135" s="1102">
        <v>0.97865126995706653</v>
      </c>
      <c r="E1135" s="1102">
        <v>0.99792221168049045</v>
      </c>
      <c r="F1135" s="1102">
        <v>0.98657870653816337</v>
      </c>
      <c r="G1135" s="1102">
        <v>0.97862037740541075</v>
      </c>
      <c r="H1135" s="1102">
        <v>1.0165160324813256</v>
      </c>
      <c r="I1135" s="1102">
        <v>0.98424930848382675</v>
      </c>
      <c r="K1135">
        <v>1.5647674615918667</v>
      </c>
      <c r="L1135">
        <v>0</v>
      </c>
      <c r="M1135">
        <v>1.6454530081665589E-3</v>
      </c>
      <c r="N1135">
        <v>0.15046682158912722</v>
      </c>
      <c r="O1135">
        <v>0.12256491958264724</v>
      </c>
      <c r="P1135">
        <v>1.557337120414698E-2</v>
      </c>
      <c r="Q1135">
        <v>9.2570498493892595E-4</v>
      </c>
      <c r="R1135">
        <v>1.6417761026719291E-3</v>
      </c>
      <c r="S1135">
        <v>0.12304095443673778</v>
      </c>
      <c r="T1135">
        <v>0.81430903249919173</v>
      </c>
      <c r="U1135">
        <v>0</v>
      </c>
      <c r="V1135">
        <v>0.20656102815496638</v>
      </c>
      <c r="W1135">
        <v>9.8968716737518725E-2</v>
      </c>
      <c r="X1135">
        <v>2.7892215967959981E-2</v>
      </c>
      <c r="Y1135">
        <v>4.4683733401261983E-3</v>
      </c>
    </row>
    <row r="1136" spans="1:25" x14ac:dyDescent="0.25">
      <c r="A1136" s="1098"/>
      <c r="B1136" s="1457">
        <v>886</v>
      </c>
      <c r="C1136" s="1102">
        <v>0.95607355044059883</v>
      </c>
      <c r="D1136" s="1102">
        <v>0.97732904176974222</v>
      </c>
      <c r="E1136" s="1102">
        <v>1.0073550241100202</v>
      </c>
      <c r="F1136" s="1102">
        <v>0.99363406177331615</v>
      </c>
      <c r="G1136" s="1102">
        <v>1.0005855791110581</v>
      </c>
      <c r="H1136" s="1102">
        <v>1.0005540900810213</v>
      </c>
      <c r="I1136" s="1102">
        <v>1.0275742285509344</v>
      </c>
      <c r="K1136">
        <v>1.5860720197383689</v>
      </c>
      <c r="L1136">
        <v>0</v>
      </c>
      <c r="M1136">
        <v>1.6228030967775577E-3</v>
      </c>
      <c r="N1136">
        <v>0.15267891182345134</v>
      </c>
      <c r="O1136">
        <v>0.1242492895468595</v>
      </c>
      <c r="P1136">
        <v>1.5895064385936752E-2</v>
      </c>
      <c r="Q1136">
        <v>9.5600189478959739E-4</v>
      </c>
      <c r="R1136">
        <v>1.619115647345731E-3</v>
      </c>
      <c r="S1136">
        <v>0.12995619410077835</v>
      </c>
      <c r="T1136">
        <v>0.81951449394681064</v>
      </c>
      <c r="U1136">
        <v>0</v>
      </c>
      <c r="V1136">
        <v>0.20988884282805617</v>
      </c>
      <c r="W1136">
        <v>9.9863435075871879E-2</v>
      </c>
      <c r="X1136">
        <v>2.8666774534501803E-2</v>
      </c>
      <c r="Y1136">
        <v>4.4066990507453793E-3</v>
      </c>
    </row>
    <row r="1137" spans="1:25" x14ac:dyDescent="0.25">
      <c r="A1137" s="1098"/>
      <c r="B1137" s="1457">
        <v>887</v>
      </c>
      <c r="C1137" s="1102">
        <v>1.0339754250683897</v>
      </c>
      <c r="D1137" s="1102">
        <v>0.99081977772414209</v>
      </c>
      <c r="E1137" s="1102">
        <v>0.99757466365150116</v>
      </c>
      <c r="F1137" s="1102">
        <v>1.0269408414865655</v>
      </c>
      <c r="G1137" s="1102">
        <v>0.9762660863485868</v>
      </c>
      <c r="H1137" s="1102">
        <v>0.97396947680746848</v>
      </c>
      <c r="I1137" s="1102">
        <v>0.99306584857737346</v>
      </c>
      <c r="K1137">
        <v>1.5611591857145999</v>
      </c>
      <c r="L1137">
        <v>0</v>
      </c>
      <c r="M1137">
        <v>1.4915095275484121E-3</v>
      </c>
      <c r="N1137">
        <v>0.13623477018748531</v>
      </c>
      <c r="O1137">
        <v>0.12194346514598309</v>
      </c>
      <c r="P1137">
        <v>1.5853696489292551E-2</v>
      </c>
      <c r="Q1137">
        <v>8.7028235481818894E-4</v>
      </c>
      <c r="R1137">
        <v>1.4880490207468411E-3</v>
      </c>
      <c r="S1137">
        <v>0.1137619469571646</v>
      </c>
      <c r="T1137">
        <v>0.8476469926570297</v>
      </c>
      <c r="U1137">
        <v>0</v>
      </c>
      <c r="V1137">
        <v>0.20341704331115598</v>
      </c>
      <c r="W1137">
        <v>8.962620845445092E-2</v>
      </c>
      <c r="X1137">
        <v>2.7758261764776877E-2</v>
      </c>
      <c r="Y1137">
        <v>4.0499788992450466E-3</v>
      </c>
    </row>
    <row r="1138" spans="1:25" x14ac:dyDescent="0.25">
      <c r="A1138" s="1098"/>
      <c r="B1138" s="1457">
        <v>888</v>
      </c>
      <c r="C1138" s="1102">
        <v>1.0198956776774764</v>
      </c>
      <c r="D1138" s="1102">
        <v>0.99982876119562014</v>
      </c>
      <c r="E1138" s="1102">
        <v>1.0085836090139002</v>
      </c>
      <c r="F1138" s="1102">
        <v>1.0346437546485374</v>
      </c>
      <c r="G1138" s="1102">
        <v>0.98598108024680409</v>
      </c>
      <c r="H1138" s="1102">
        <v>1.0221595654555677</v>
      </c>
      <c r="I1138" s="1102">
        <v>1.0281055241395718</v>
      </c>
      <c r="K1138">
        <v>1.5943718235906283</v>
      </c>
      <c r="L1138">
        <v>0</v>
      </c>
      <c r="M1138">
        <v>1.5424326861490907E-3</v>
      </c>
      <c r="N1138">
        <v>0.14566506702662671</v>
      </c>
      <c r="O1138">
        <v>0.1227440030898678</v>
      </c>
      <c r="P1138">
        <v>1.6206218386571693E-2</v>
      </c>
      <c r="Q1138">
        <v>8.8918318461954588E-4</v>
      </c>
      <c r="R1138">
        <v>1.539016043541442E-3</v>
      </c>
      <c r="S1138">
        <v>0.1226106138580237</v>
      </c>
      <c r="T1138">
        <v>0.85325426262506543</v>
      </c>
      <c r="U1138">
        <v>0</v>
      </c>
      <c r="V1138">
        <v>0.20513449953046442</v>
      </c>
      <c r="W1138">
        <v>9.5206745947689769E-2</v>
      </c>
      <c r="X1138">
        <v>2.8475952250289677E-2</v>
      </c>
      <c r="Y1138">
        <v>4.1886943340174003E-3</v>
      </c>
    </row>
    <row r="1139" spans="1:25" x14ac:dyDescent="0.25">
      <c r="A1139" s="1098"/>
      <c r="B1139" s="1457">
        <v>889</v>
      </c>
      <c r="C1139" s="1102">
        <v>0.98041537045442262</v>
      </c>
      <c r="D1139" s="1102">
        <v>1.0011037430033167</v>
      </c>
      <c r="E1139" s="1102">
        <v>1.0072131548699759</v>
      </c>
      <c r="F1139" s="1102">
        <v>1.0282027312001312</v>
      </c>
      <c r="G1139" s="1102">
        <v>0.98946167188045797</v>
      </c>
      <c r="H1139" s="1102">
        <v>1.0163195745027818</v>
      </c>
      <c r="I1139" s="1102">
        <v>0.99892161177680949</v>
      </c>
      <c r="K1139">
        <v>1.6017414381302424</v>
      </c>
      <c r="L1139">
        <v>0</v>
      </c>
      <c r="M1139">
        <v>1.5935280766247867E-3</v>
      </c>
      <c r="N1139">
        <v>0.14986590820472159</v>
      </c>
      <c r="O1139">
        <v>0.12430454935687772</v>
      </c>
      <c r="P1139">
        <v>1.6167805476127936E-2</v>
      </c>
      <c r="Q1139">
        <v>9.2321106198409056E-4</v>
      </c>
      <c r="R1139">
        <v>1.5899655353765756E-3</v>
      </c>
      <c r="S1139">
        <v>0.1230871419765398</v>
      </c>
      <c r="T1139">
        <v>0.84803511417719513</v>
      </c>
      <c r="U1139">
        <v>0</v>
      </c>
      <c r="V1139">
        <v>0.20827086715245763</v>
      </c>
      <c r="W1139">
        <v>9.8031738438988936E-2</v>
      </c>
      <c r="X1139">
        <v>2.8731302771301637E-2</v>
      </c>
      <c r="Y1139">
        <v>4.3273620552971665E-3</v>
      </c>
    </row>
    <row r="1140" spans="1:25" x14ac:dyDescent="0.25">
      <c r="A1140" s="1098"/>
      <c r="B1140" s="1457">
        <v>890</v>
      </c>
      <c r="C1140" s="1102">
        <v>1.000320386444808</v>
      </c>
      <c r="D1140" s="1102">
        <v>0.99036025137390804</v>
      </c>
      <c r="E1140" s="1102">
        <v>1.0199715249490799</v>
      </c>
      <c r="F1140" s="1102">
        <v>0.98468167798389172</v>
      </c>
      <c r="G1140" s="1102">
        <v>0.99701245405786532</v>
      </c>
      <c r="H1140" s="1102">
        <v>0.98568254355574936</v>
      </c>
      <c r="I1140" s="1102">
        <v>1.04493310703239</v>
      </c>
      <c r="K1140">
        <v>1.5491443250435504</v>
      </c>
      <c r="L1140">
        <v>0</v>
      </c>
      <c r="M1140">
        <v>1.481394752842063E-3</v>
      </c>
      <c r="N1140">
        <v>0.14477952836512459</v>
      </c>
      <c r="O1140">
        <v>0.12064743400224587</v>
      </c>
      <c r="P1140">
        <v>1.5784395897575281E-2</v>
      </c>
      <c r="Q1140">
        <v>9.207671307880764E-4</v>
      </c>
      <c r="R1140">
        <v>1.4779797763112084E-3</v>
      </c>
      <c r="S1140">
        <v>0.12433015148560021</v>
      </c>
      <c r="T1140">
        <v>0.81131625747317093</v>
      </c>
      <c r="U1140">
        <v>0</v>
      </c>
      <c r="V1140">
        <v>0.20498386956390865</v>
      </c>
      <c r="W1140">
        <v>9.3996762502579684E-2</v>
      </c>
      <c r="X1140">
        <v>2.8365999863872074E-2</v>
      </c>
      <c r="Y1140">
        <v>4.0225737352167909E-3</v>
      </c>
    </row>
    <row r="1141" spans="1:25" x14ac:dyDescent="0.25">
      <c r="A1141" s="1098"/>
      <c r="B1141" s="1457">
        <v>891</v>
      </c>
      <c r="C1141" s="1102">
        <v>1.0051575236492831</v>
      </c>
      <c r="D1141" s="1102">
        <v>0.9935817222563682</v>
      </c>
      <c r="E1141" s="1102">
        <v>1.0234029253105257</v>
      </c>
      <c r="F1141" s="1102">
        <v>1.0403352539104496</v>
      </c>
      <c r="G1141" s="1102">
        <v>1.0354131436560023</v>
      </c>
      <c r="H1141" s="1102">
        <v>1.0113939778834948</v>
      </c>
      <c r="I1141" s="1102">
        <v>0.98176298513117899</v>
      </c>
      <c r="K1141">
        <v>1.6044495999953421</v>
      </c>
      <c r="L1141">
        <v>0</v>
      </c>
      <c r="M1141">
        <v>1.506019862021481E-3</v>
      </c>
      <c r="N1141">
        <v>0.14872762351493751</v>
      </c>
      <c r="O1141">
        <v>0.12413404176657364</v>
      </c>
      <c r="P1141">
        <v>1.6431434303239151E-2</v>
      </c>
      <c r="Q1141">
        <v>9.1837072723059882E-4</v>
      </c>
      <c r="R1141">
        <v>1.5026498838535364E-3</v>
      </c>
      <c r="S1141">
        <v>0.1183868952889266</v>
      </c>
      <c r="T1141">
        <v>0.85693817529152549</v>
      </c>
      <c r="U1141">
        <v>0</v>
      </c>
      <c r="V1141">
        <v>0.20909857597730455</v>
      </c>
      <c r="W1141">
        <v>9.6366628172448288E-2</v>
      </c>
      <c r="X1141">
        <v>2.9361507295874362E-2</v>
      </c>
      <c r="Y1141">
        <v>4.0897176354482414E-3</v>
      </c>
    </row>
    <row r="1142" spans="1:25" x14ac:dyDescent="0.25">
      <c r="A1142" s="1098"/>
      <c r="B1142" s="1457">
        <v>892</v>
      </c>
      <c r="C1142" s="1102">
        <v>1.0234331715854008</v>
      </c>
      <c r="D1142" s="1102">
        <v>1.0054574959369038</v>
      </c>
      <c r="E1142" s="1102">
        <v>0.98547611362114307</v>
      </c>
      <c r="F1142" s="1102">
        <v>1.015002016074346</v>
      </c>
      <c r="G1142" s="1102">
        <v>1.0218702886843847</v>
      </c>
      <c r="H1142" s="1102">
        <v>1.0093184336196084</v>
      </c>
      <c r="I1142" s="1102">
        <v>0.99065854223883054</v>
      </c>
      <c r="K1142">
        <v>1.5611863102855783</v>
      </c>
      <c r="L1142">
        <v>0</v>
      </c>
      <c r="M1142">
        <v>1.5853439073374677E-3</v>
      </c>
      <c r="N1142">
        <v>0.1396151158297487</v>
      </c>
      <c r="O1142">
        <v>0.12103335268184394</v>
      </c>
      <c r="P1142">
        <v>1.5646097624058941E-2</v>
      </c>
      <c r="Q1142">
        <v>8.6315913963729734E-4</v>
      </c>
      <c r="R1142">
        <v>1.5817799911099226E-3</v>
      </c>
      <c r="S1142">
        <v>0.11622151478200704</v>
      </c>
      <c r="T1142">
        <v>0.83860658592969217</v>
      </c>
      <c r="U1142">
        <v>0</v>
      </c>
      <c r="V1142">
        <v>0.20525051349810772</v>
      </c>
      <c r="W1142">
        <v>9.2517393093423453E-2</v>
      </c>
      <c r="X1142">
        <v>2.7131057921119646E-2</v>
      </c>
      <c r="Y1142">
        <v>4.3050837021672795E-3</v>
      </c>
    </row>
    <row r="1143" spans="1:25" x14ac:dyDescent="0.25">
      <c r="A1143" s="1098"/>
      <c r="B1143" s="1457">
        <v>893</v>
      </c>
      <c r="C1143" s="1102">
        <v>1.0311514889840661</v>
      </c>
      <c r="D1143" s="1102">
        <v>1.0018773119403033</v>
      </c>
      <c r="E1143" s="1102">
        <v>1.0014280757768816</v>
      </c>
      <c r="F1143" s="1102">
        <v>1.0165496399368741</v>
      </c>
      <c r="G1143" s="1102">
        <v>1.0190539101696359</v>
      </c>
      <c r="H1143" s="1102">
        <v>1.0082010284062146</v>
      </c>
      <c r="I1143" s="1102">
        <v>0.97160872442784374</v>
      </c>
      <c r="K1143">
        <v>1.5596728608613306</v>
      </c>
      <c r="L1143">
        <v>0</v>
      </c>
      <c r="M1143">
        <v>1.5247006607576519E-3</v>
      </c>
      <c r="N1143">
        <v>0.1409075537301506</v>
      </c>
      <c r="O1143">
        <v>0.12086726193854243</v>
      </c>
      <c r="P1143">
        <v>1.5791181000759144E-2</v>
      </c>
      <c r="Q1143">
        <v>8.7227925124301771E-4</v>
      </c>
      <c r="R1143">
        <v>1.5212735480628491E-3</v>
      </c>
      <c r="S1143">
        <v>0.11336918192174579</v>
      </c>
      <c r="T1143">
        <v>0.83881134105518762</v>
      </c>
      <c r="U1143">
        <v>0</v>
      </c>
      <c r="V1143">
        <v>0.20471464633935257</v>
      </c>
      <c r="W1143">
        <v>9.2488193769492993E-2</v>
      </c>
      <c r="X1143">
        <v>2.7714243857415579E-2</v>
      </c>
      <c r="Y1143">
        <v>4.1404051101367337E-3</v>
      </c>
    </row>
    <row r="1144" spans="1:25" x14ac:dyDescent="0.25">
      <c r="A1144" s="1098"/>
      <c r="B1144" s="1457">
        <v>894</v>
      </c>
      <c r="C1144" s="1102">
        <v>0.98403233026219783</v>
      </c>
      <c r="D1144" s="1102">
        <v>1.008867022159035</v>
      </c>
      <c r="E1144" s="1102">
        <v>1.0135664529391744</v>
      </c>
      <c r="F1144" s="1102">
        <v>1.0175897326106118</v>
      </c>
      <c r="G1144" s="1102">
        <v>0.97747453460290834</v>
      </c>
      <c r="H1144" s="1102">
        <v>0.99966381043096619</v>
      </c>
      <c r="I1144" s="1102">
        <v>1.0210732644689411</v>
      </c>
      <c r="K1144">
        <v>1.5845862306186285</v>
      </c>
      <c r="L1144">
        <v>0</v>
      </c>
      <c r="M1144">
        <v>1.5336434786499952E-3</v>
      </c>
      <c r="N1144">
        <v>0.14702098446895945</v>
      </c>
      <c r="O1144">
        <v>0.12300548464014761</v>
      </c>
      <c r="P1144">
        <v>1.6099203932770263E-2</v>
      </c>
      <c r="Q1144">
        <v>9.2300657345100985E-4</v>
      </c>
      <c r="R1144">
        <v>1.5301513831487835E-3</v>
      </c>
      <c r="S1144">
        <v>0.12338364094759965</v>
      </c>
      <c r="T1144">
        <v>0.83885717200811427</v>
      </c>
      <c r="U1144">
        <v>0</v>
      </c>
      <c r="V1144">
        <v>0.20663996294808684</v>
      </c>
      <c r="W1144">
        <v>9.581128009090803E-2</v>
      </c>
      <c r="X1144">
        <v>2.8684419453430487E-2</v>
      </c>
      <c r="Y1144">
        <v>4.1645676506630973E-3</v>
      </c>
    </row>
    <row r="1145" spans="1:25" x14ac:dyDescent="0.25">
      <c r="A1145" s="1098"/>
      <c r="B1145" s="1457">
        <v>895</v>
      </c>
      <c r="C1145" s="1102">
        <v>1.0150870220199291</v>
      </c>
      <c r="D1145" s="1102">
        <v>0.99560641635560621</v>
      </c>
      <c r="E1145" s="1102">
        <v>1.0015505997789107</v>
      </c>
      <c r="F1145" s="1102">
        <v>0.98248582440834431</v>
      </c>
      <c r="G1145" s="1102">
        <v>0.99795926668010049</v>
      </c>
      <c r="H1145" s="1102">
        <v>1.0167058967868954</v>
      </c>
      <c r="I1145" s="1102">
        <v>1.000672581126433</v>
      </c>
      <c r="K1145">
        <v>1.5402885050653377</v>
      </c>
      <c r="L1145">
        <v>0</v>
      </c>
      <c r="M1145">
        <v>1.5613058453942E-3</v>
      </c>
      <c r="N1145">
        <v>0.14434576371422933</v>
      </c>
      <c r="O1145">
        <v>0.11957099685377623</v>
      </c>
      <c r="P1145">
        <v>1.5475066914477311E-2</v>
      </c>
      <c r="Q1145">
        <v>8.8842466710740812E-4</v>
      </c>
      <c r="R1145">
        <v>1.5578166288485948E-3</v>
      </c>
      <c r="S1145">
        <v>0.1194285560069996</v>
      </c>
      <c r="T1145">
        <v>0.81069546167293161</v>
      </c>
      <c r="U1145">
        <v>0</v>
      </c>
      <c r="V1145">
        <v>0.20349524129274205</v>
      </c>
      <c r="W1145">
        <v>9.4738057686196642E-2</v>
      </c>
      <c r="X1145">
        <v>2.7414562143811636E-2</v>
      </c>
      <c r="Y1145">
        <v>4.2398633296121917E-3</v>
      </c>
    </row>
    <row r="1146" spans="1:25" x14ac:dyDescent="0.25">
      <c r="A1146" s="1098"/>
      <c r="B1146" s="1457">
        <v>896</v>
      </c>
      <c r="C1146" s="1102">
        <v>0.99969345862910841</v>
      </c>
      <c r="D1146" s="1102">
        <v>1.0080962462537759</v>
      </c>
      <c r="E1146" s="1102">
        <v>1.019875799538331</v>
      </c>
      <c r="F1146" s="1102">
        <v>1.0270784531303714</v>
      </c>
      <c r="G1146" s="1102">
        <v>1.0304315387092848</v>
      </c>
      <c r="H1146" s="1102">
        <v>1.0422757553047073</v>
      </c>
      <c r="I1146" s="1102">
        <v>0.99563503747530457</v>
      </c>
      <c r="K1146">
        <v>1.6006516512124365</v>
      </c>
      <c r="L1146">
        <v>0</v>
      </c>
      <c r="M1146">
        <v>1.556970868000253E-3</v>
      </c>
      <c r="N1146">
        <v>0.1521409421863423</v>
      </c>
      <c r="O1146">
        <v>0.12286230969942429</v>
      </c>
      <c r="P1146">
        <v>1.6278841866708079E-2</v>
      </c>
      <c r="Q1146">
        <v>9.1473629056635568E-4</v>
      </c>
      <c r="R1146">
        <v>1.553577249859324E-3</v>
      </c>
      <c r="S1146">
        <v>0.12199186730371143</v>
      </c>
      <c r="T1146">
        <v>0.84625498163664437</v>
      </c>
      <c r="U1146">
        <v>0</v>
      </c>
      <c r="V1146">
        <v>0.20820700972941791</v>
      </c>
      <c r="W1146">
        <v>9.8781624360243486E-2</v>
      </c>
      <c r="X1146">
        <v>2.899440662000545E-2</v>
      </c>
      <c r="Y1146">
        <v>4.2283251375143036E-3</v>
      </c>
    </row>
    <row r="1147" spans="1:25" x14ac:dyDescent="0.25">
      <c r="A1147" s="1098"/>
      <c r="B1147" s="1457">
        <v>897</v>
      </c>
      <c r="C1147" s="1102">
        <v>0.99809003443866251</v>
      </c>
      <c r="D1147" s="1102">
        <v>0.9790897918872471</v>
      </c>
      <c r="E1147" s="1102">
        <v>1.0321337417216723</v>
      </c>
      <c r="F1147" s="1102">
        <v>1.012959837612865</v>
      </c>
      <c r="G1147" s="1102">
        <v>0.9865380457773445</v>
      </c>
      <c r="H1147" s="1102">
        <v>0.96611968233995005</v>
      </c>
      <c r="I1147" s="1102">
        <v>1.0242475141151424</v>
      </c>
      <c r="K1147">
        <v>1.57418161079495</v>
      </c>
      <c r="L1147">
        <v>0</v>
      </c>
      <c r="M1147">
        <v>1.4309726312754616E-3</v>
      </c>
      <c r="N1147">
        <v>0.14507043647678053</v>
      </c>
      <c r="O1147">
        <v>0.12323059745182678</v>
      </c>
      <c r="P1147">
        <v>1.6222117405147649E-2</v>
      </c>
      <c r="Q1147">
        <v>9.3866075801611376E-4</v>
      </c>
      <c r="R1147">
        <v>1.4276203118774641E-3</v>
      </c>
      <c r="S1147">
        <v>0.12155515263606019</v>
      </c>
      <c r="T1147">
        <v>0.83381278563817485</v>
      </c>
      <c r="U1147">
        <v>0</v>
      </c>
      <c r="V1147">
        <v>0.20654649161330282</v>
      </c>
      <c r="W1147">
        <v>9.352098296937246E-2</v>
      </c>
      <c r="X1147">
        <v>2.940222629164593E-2</v>
      </c>
      <c r="Y1147">
        <v>3.8855118740211275E-3</v>
      </c>
    </row>
    <row r="1148" spans="1:25" x14ac:dyDescent="0.25">
      <c r="A1148" s="1098"/>
      <c r="B1148" s="1457">
        <v>898</v>
      </c>
      <c r="C1148" s="1102">
        <v>1.000941444192921</v>
      </c>
      <c r="D1148" s="1102">
        <v>1.0179757595416865</v>
      </c>
      <c r="E1148" s="1102">
        <v>1.0122004153261328</v>
      </c>
      <c r="F1148" s="1102">
        <v>1.045145471858262</v>
      </c>
      <c r="G1148" s="1102">
        <v>0.99024779121514594</v>
      </c>
      <c r="H1148" s="1102">
        <v>1.0066306737128115</v>
      </c>
      <c r="I1148" s="1102">
        <v>1.0211084477374901</v>
      </c>
      <c r="K1148">
        <v>1.6035713503897702</v>
      </c>
      <c r="L1148">
        <v>0</v>
      </c>
      <c r="M1148">
        <v>1.5196183107469782E-3</v>
      </c>
      <c r="N1148">
        <v>0.14507989955473952</v>
      </c>
      <c r="O1148">
        <v>0.12362103400339293</v>
      </c>
      <c r="P1148">
        <v>1.637391857356232E-2</v>
      </c>
      <c r="Q1148">
        <v>9.028865594827456E-4</v>
      </c>
      <c r="R1148">
        <v>1.5161878026206353E-3</v>
      </c>
      <c r="S1148">
        <v>0.12146496063826709</v>
      </c>
      <c r="T1148">
        <v>0.86166659185976302</v>
      </c>
      <c r="U1148">
        <v>0</v>
      </c>
      <c r="V1148">
        <v>0.20690273997293976</v>
      </c>
      <c r="W1148">
        <v>9.4622322049762647E-2</v>
      </c>
      <c r="X1148">
        <v>2.8813864298425997E-2</v>
      </c>
      <c r="Y1148">
        <v>4.1265633875585631E-3</v>
      </c>
    </row>
    <row r="1149" spans="1:25" x14ac:dyDescent="0.25">
      <c r="A1149" s="1098"/>
      <c r="B1149" s="1457">
        <v>899</v>
      </c>
      <c r="C1149" s="1102">
        <v>0.97659472277728099</v>
      </c>
      <c r="D1149" s="1102">
        <v>0.99012095101005404</v>
      </c>
      <c r="E1149" s="1102">
        <v>0.9636366926570622</v>
      </c>
      <c r="F1149" s="1102">
        <v>0.9626781418516035</v>
      </c>
      <c r="G1149" s="1102">
        <v>1.0363109035270581</v>
      </c>
      <c r="H1149" s="1102">
        <v>1.000715300448382</v>
      </c>
      <c r="I1149" s="1102">
        <v>0.99352260995404995</v>
      </c>
      <c r="K1149">
        <v>1.5309558220246045</v>
      </c>
      <c r="L1149">
        <v>0</v>
      </c>
      <c r="M1149">
        <v>1.7252130225670584E-3</v>
      </c>
      <c r="N1149">
        <v>0.14220969829787178</v>
      </c>
      <c r="O1149">
        <v>0.12046317949431105</v>
      </c>
      <c r="P1149">
        <v>1.4938657215938985E-2</v>
      </c>
      <c r="Q1149">
        <v>8.8948287473077287E-4</v>
      </c>
      <c r="R1149">
        <v>1.7212817060561767E-3</v>
      </c>
      <c r="S1149">
        <v>0.12191750921811587</v>
      </c>
      <c r="T1149">
        <v>0.79678114656834509</v>
      </c>
      <c r="U1149">
        <v>0</v>
      </c>
      <c r="V1149">
        <v>0.2075433395751641</v>
      </c>
      <c r="W1149">
        <v>9.549313171491311E-2</v>
      </c>
      <c r="X1149">
        <v>2.6038846998201744E-2</v>
      </c>
      <c r="Y1149">
        <v>4.6847613835230085E-3</v>
      </c>
    </row>
    <row r="1150" spans="1:25" x14ac:dyDescent="0.25">
      <c r="A1150" s="1098"/>
      <c r="B1150" s="1457">
        <v>900</v>
      </c>
      <c r="C1150" s="1102">
        <v>0.99633256655013336</v>
      </c>
      <c r="D1150" s="1102">
        <v>0.97625030309515848</v>
      </c>
      <c r="E1150" s="1102">
        <v>1.0305105837660335</v>
      </c>
      <c r="F1150" s="1102">
        <v>1.0218970791821802</v>
      </c>
      <c r="G1150" s="1102">
        <v>1.0071362383639111</v>
      </c>
      <c r="H1150" s="1102">
        <v>0.99630346567250894</v>
      </c>
      <c r="I1150" s="1102">
        <v>0.96540965936781975</v>
      </c>
      <c r="K1150">
        <v>1.5884809748427033</v>
      </c>
      <c r="L1150">
        <v>0</v>
      </c>
      <c r="M1150">
        <v>1.4865528428798242E-3</v>
      </c>
      <c r="N1150">
        <v>0.1499805722344062</v>
      </c>
      <c r="O1150">
        <v>0.1240853341774678</v>
      </c>
      <c r="P1150">
        <v>1.6271358284197509E-2</v>
      </c>
      <c r="Q1150">
        <v>9.3985263099664103E-4</v>
      </c>
      <c r="R1150">
        <v>1.4831793132878772E-3</v>
      </c>
      <c r="S1150">
        <v>0.11736718225200235</v>
      </c>
      <c r="T1150">
        <v>0.84127724956965466</v>
      </c>
      <c r="U1150">
        <v>0</v>
      </c>
      <c r="V1150">
        <v>0.20817596099195762</v>
      </c>
      <c r="W1150">
        <v>9.6777393501747369E-2</v>
      </c>
      <c r="X1150">
        <v>2.9572719569023753E-2</v>
      </c>
      <c r="Y1150">
        <v>4.036725160840378E-3</v>
      </c>
    </row>
    <row r="1151" spans="1:25" x14ac:dyDescent="0.25">
      <c r="A1151" s="1098"/>
      <c r="B1151" s="1457">
        <v>901</v>
      </c>
      <c r="C1151" s="1102">
        <v>0.98291134565610394</v>
      </c>
      <c r="D1151" s="1102">
        <v>1.0092355870065188</v>
      </c>
      <c r="E1151" s="1102">
        <v>0.99266252488595352</v>
      </c>
      <c r="F1151" s="1102">
        <v>1.0271340604939501</v>
      </c>
      <c r="G1151" s="1102">
        <v>1.0273012396570138</v>
      </c>
      <c r="H1151" s="1102">
        <v>1.0128135467202619</v>
      </c>
      <c r="I1151" s="1102">
        <v>1.0177980999676259</v>
      </c>
      <c r="K1151">
        <v>1.5976846770812478</v>
      </c>
      <c r="L1151">
        <v>0</v>
      </c>
      <c r="M1151">
        <v>1.6252315834784201E-3</v>
      </c>
      <c r="N1151">
        <v>0.14627222452123328</v>
      </c>
      <c r="O1151">
        <v>0.12377359970508019</v>
      </c>
      <c r="P1151">
        <v>1.6025122730099942E-2</v>
      </c>
      <c r="Q1151">
        <v>9.0414752138248602E-4</v>
      </c>
      <c r="R1151">
        <v>1.6215810342859775E-3</v>
      </c>
      <c r="S1151">
        <v>0.12418503074230137</v>
      </c>
      <c r="T1151">
        <v>0.84814034189141096</v>
      </c>
      <c r="U1151">
        <v>0</v>
      </c>
      <c r="V1151">
        <v>0.20942763502321474</v>
      </c>
      <c r="W1151">
        <v>9.6512096956143587E-2</v>
      </c>
      <c r="X1151">
        <v>2.8034719518290195E-2</v>
      </c>
      <c r="Y1151">
        <v>4.4134090212821454E-3</v>
      </c>
    </row>
    <row r="1152" spans="1:25" x14ac:dyDescent="0.25">
      <c r="A1152" s="1098"/>
      <c r="B1152" s="1457">
        <v>902</v>
      </c>
      <c r="C1152" s="1102">
        <v>0.99580174773755492</v>
      </c>
      <c r="D1152" s="1102">
        <v>1.0054269311263275</v>
      </c>
      <c r="E1152" s="1102">
        <v>1.0413898260995562</v>
      </c>
      <c r="F1152" s="1102">
        <v>1.0250259497007059</v>
      </c>
      <c r="G1152" s="1102">
        <v>0.99214673877991377</v>
      </c>
      <c r="H1152" s="1102">
        <v>0.97305975735091121</v>
      </c>
      <c r="I1152" s="1102">
        <v>1.0279963862268833</v>
      </c>
      <c r="K1152">
        <v>1.5838630887233183</v>
      </c>
      <c r="L1152">
        <v>0</v>
      </c>
      <c r="M1152">
        <v>1.3967805849900534E-3</v>
      </c>
      <c r="N1152">
        <v>0.1456100883838434</v>
      </c>
      <c r="O1152">
        <v>0.12297690506249008</v>
      </c>
      <c r="P1152">
        <v>1.6457992441691247E-2</v>
      </c>
      <c r="Q1152">
        <v>9.3968370707291332E-4</v>
      </c>
      <c r="R1152">
        <v>1.3935196199961863E-3</v>
      </c>
      <c r="S1152">
        <v>0.12099749301756202</v>
      </c>
      <c r="T1152">
        <v>0.84312989385585224</v>
      </c>
      <c r="U1152">
        <v>0</v>
      </c>
      <c r="V1152">
        <v>0.20682567370495661</v>
      </c>
      <c r="W1152">
        <v>9.3368527285673381E-2</v>
      </c>
      <c r="X1152">
        <v>2.9767391197157805E-2</v>
      </c>
      <c r="Y1152">
        <v>3.7927010320103465E-3</v>
      </c>
    </row>
    <row r="1153" spans="1:25" x14ac:dyDescent="0.25">
      <c r="A1153" s="1098"/>
      <c r="B1153" s="1457">
        <v>903</v>
      </c>
      <c r="C1153" s="1102">
        <v>0.99714978334166982</v>
      </c>
      <c r="D1153" s="1102">
        <v>0.98198830835495787</v>
      </c>
      <c r="E1153" s="1102">
        <v>1.0427911534305951</v>
      </c>
      <c r="F1153" s="1102">
        <v>1.0001403593015501</v>
      </c>
      <c r="G1153" s="1102">
        <v>1.0086481865798651</v>
      </c>
      <c r="H1153" s="1102">
        <v>1.0339579510060861</v>
      </c>
      <c r="I1153" s="1102">
        <v>0.98197093150934234</v>
      </c>
      <c r="K1153">
        <v>1.5811851233958849</v>
      </c>
      <c r="L1153">
        <v>0</v>
      </c>
      <c r="M1153">
        <v>1.4950941991075991E-3</v>
      </c>
      <c r="N1153">
        <v>0.156540514922898</v>
      </c>
      <c r="O1153">
        <v>0.12221168110925348</v>
      </c>
      <c r="P1153">
        <v>1.6196574085693895E-2</v>
      </c>
      <c r="Q1153">
        <v>9.4865639136289075E-4</v>
      </c>
      <c r="R1153">
        <v>1.4918163732668588E-3</v>
      </c>
      <c r="S1153">
        <v>0.12173426259909581</v>
      </c>
      <c r="T1153">
        <v>0.82256976402787085</v>
      </c>
      <c r="U1153">
        <v>0</v>
      </c>
      <c r="V1153">
        <v>0.20688218803439656</v>
      </c>
      <c r="W1153">
        <v>0.10029651934784194</v>
      </c>
      <c r="X1153">
        <v>2.9748008312414791E-2</v>
      </c>
      <c r="Y1153">
        <v>4.0602323908971102E-3</v>
      </c>
    </row>
    <row r="1154" spans="1:25" x14ac:dyDescent="0.25">
      <c r="A1154" s="1098"/>
      <c r="B1154" s="1457">
        <v>904</v>
      </c>
      <c r="C1154" s="1102">
        <v>0.9824470359272266</v>
      </c>
      <c r="D1154" s="1102">
        <v>1.0109883263322006</v>
      </c>
      <c r="E1154" s="1102">
        <v>1.0196305922802851</v>
      </c>
      <c r="F1154" s="1102">
        <v>1.0384124723495618</v>
      </c>
      <c r="G1154" s="1102">
        <v>1.0151391029906471</v>
      </c>
      <c r="H1154" s="1102">
        <v>0.99220234534010643</v>
      </c>
      <c r="I1154" s="1102">
        <v>1.0220777232496165</v>
      </c>
      <c r="K1154">
        <v>1.6058086175182891</v>
      </c>
      <c r="L1154">
        <v>0</v>
      </c>
      <c r="M1154">
        <v>1.5058645876642521E-3</v>
      </c>
      <c r="N1154">
        <v>0.14702171430121255</v>
      </c>
      <c r="O1154">
        <v>0.12442454913823039</v>
      </c>
      <c r="P1154">
        <v>1.6438009868541329E-2</v>
      </c>
      <c r="Q1154">
        <v>9.2949422710096943E-4</v>
      </c>
      <c r="R1154">
        <v>1.5024135906375042E-3</v>
      </c>
      <c r="S1154">
        <v>0.12306372396108918</v>
      </c>
      <c r="T1154">
        <v>0.85561022354577554</v>
      </c>
      <c r="U1154">
        <v>0</v>
      </c>
      <c r="V1154">
        <v>0.20949719170552553</v>
      </c>
      <c r="W1154">
        <v>9.5471525055162224E-2</v>
      </c>
      <c r="X1154">
        <v>2.9266562189470734E-2</v>
      </c>
      <c r="Y1154">
        <v>4.0890745232082405E-3</v>
      </c>
    </row>
    <row r="1155" spans="1:25" x14ac:dyDescent="0.25">
      <c r="A1155" s="1098"/>
      <c r="B1155" s="1457">
        <v>905</v>
      </c>
      <c r="C1155" s="1102">
        <v>0.99126384459364258</v>
      </c>
      <c r="D1155" s="1102">
        <v>0.95899272576266403</v>
      </c>
      <c r="E1155" s="1102">
        <v>0.96996832997515714</v>
      </c>
      <c r="F1155" s="1102">
        <v>1.0017583155520733</v>
      </c>
      <c r="G1155" s="1102">
        <v>0.99418189559398229</v>
      </c>
      <c r="H1155" s="1102">
        <v>0.97132564090309226</v>
      </c>
      <c r="I1155" s="1102">
        <v>0.99795103272527974</v>
      </c>
      <c r="K1155">
        <v>1.5622774094229039</v>
      </c>
      <c r="L1155">
        <v>0</v>
      </c>
      <c r="M1155">
        <v>1.6651157648967167E-3</v>
      </c>
      <c r="N1155">
        <v>0.13990674390569163</v>
      </c>
      <c r="O1155">
        <v>0.12389667317162377</v>
      </c>
      <c r="P1155">
        <v>1.5422004186783592E-2</v>
      </c>
      <c r="Q1155">
        <v>8.9353995972136775E-4</v>
      </c>
      <c r="R1155">
        <v>1.6612437377708875E-3</v>
      </c>
      <c r="S1155">
        <v>0.12093013852400128</v>
      </c>
      <c r="T1155">
        <v>0.82870118456781128</v>
      </c>
      <c r="U1155">
        <v>0</v>
      </c>
      <c r="V1155">
        <v>0.20741139920387894</v>
      </c>
      <c r="W1155">
        <v>9.3584450541884093E-2</v>
      </c>
      <c r="X1155">
        <v>2.7013789563272484E-2</v>
      </c>
      <c r="Y1155">
        <v>4.5213578253613792E-3</v>
      </c>
    </row>
    <row r="1156" spans="1:25" x14ac:dyDescent="0.25">
      <c r="A1156" s="1098"/>
      <c r="B1156" s="1457">
        <v>906</v>
      </c>
      <c r="C1156" s="1102">
        <v>1.0109290215422506</v>
      </c>
      <c r="D1156" s="1102">
        <v>1.0419865212520862</v>
      </c>
      <c r="E1156" s="1102">
        <v>0.99267164527893581</v>
      </c>
      <c r="F1156" s="1102">
        <v>1.0225630160311803</v>
      </c>
      <c r="G1156" s="1102">
        <v>1.0141518846247051</v>
      </c>
      <c r="H1156" s="1102">
        <v>0.96234826776745386</v>
      </c>
      <c r="I1156" s="1102">
        <v>1.0125875533931965</v>
      </c>
      <c r="K1156">
        <v>1.5528288729592328</v>
      </c>
      <c r="L1156">
        <v>0</v>
      </c>
      <c r="M1156">
        <v>1.4768024261729827E-3</v>
      </c>
      <c r="N1156">
        <v>0.13290026062076668</v>
      </c>
      <c r="O1156">
        <v>0.12058680854686973</v>
      </c>
      <c r="P1156">
        <v>1.5780080596084579E-2</v>
      </c>
      <c r="Q1156">
        <v>8.6793916216675222E-4</v>
      </c>
      <c r="R1156">
        <v>1.4732981698635519E-3</v>
      </c>
      <c r="S1156">
        <v>0.11405823330909816</v>
      </c>
      <c r="T1156">
        <v>0.84436525352178582</v>
      </c>
      <c r="U1156">
        <v>0</v>
      </c>
      <c r="V1156">
        <v>0.20526216621119797</v>
      </c>
      <c r="W1156">
        <v>8.7688643204079597E-2</v>
      </c>
      <c r="X1156">
        <v>2.73131600977361E-2</v>
      </c>
      <c r="Y1156">
        <v>4.0098319457574213E-3</v>
      </c>
    </row>
    <row r="1157" spans="1:25" x14ac:dyDescent="0.25">
      <c r="A1157" s="1098"/>
      <c r="B1157" s="1457">
        <v>907</v>
      </c>
      <c r="C1157" s="1102">
        <v>0.9980985424176696</v>
      </c>
      <c r="D1157" s="1102">
        <v>0.99161789706683379</v>
      </c>
      <c r="E1157" s="1102">
        <v>1.0169474185696676</v>
      </c>
      <c r="F1157" s="1102">
        <v>0.98694862601295907</v>
      </c>
      <c r="G1157" s="1102">
        <v>0.9737275111441317</v>
      </c>
      <c r="H1157" s="1102">
        <v>1.0412431368411603</v>
      </c>
      <c r="I1157" s="1102">
        <v>1.0275981622882866</v>
      </c>
      <c r="K1157">
        <v>1.5669421313341252</v>
      </c>
      <c r="L1157">
        <v>0</v>
      </c>
      <c r="M1157">
        <v>1.5771658868259811E-3</v>
      </c>
      <c r="N1157">
        <v>0.15275820117131669</v>
      </c>
      <c r="O1157">
        <v>0.12087354054506576</v>
      </c>
      <c r="P1157">
        <v>1.5803797186524138E-2</v>
      </c>
      <c r="Q1157">
        <v>9.1948922823353581E-4</v>
      </c>
      <c r="R1157">
        <v>1.5737234580103651E-3</v>
      </c>
      <c r="S1157">
        <v>0.12699436105953066</v>
      </c>
      <c r="T1157">
        <v>0.81337932915390643</v>
      </c>
      <c r="U1157">
        <v>0</v>
      </c>
      <c r="V1157">
        <v>0.2041965344474693</v>
      </c>
      <c r="W1157">
        <v>9.9352679970602445E-2</v>
      </c>
      <c r="X1157">
        <v>2.8384484525383967E-2</v>
      </c>
      <c r="Y1157">
        <v>4.2831564749057039E-3</v>
      </c>
    </row>
    <row r="1158" spans="1:25" x14ac:dyDescent="0.25">
      <c r="A1158" s="1098"/>
      <c r="B1158" s="1457">
        <v>908</v>
      </c>
      <c r="C1158" s="1102">
        <v>1.0164499560867217</v>
      </c>
      <c r="D1158" s="1102">
        <v>0.96876739031799286</v>
      </c>
      <c r="E1158" s="1102">
        <v>1.0200434762843935</v>
      </c>
      <c r="F1158" s="1102">
        <v>1.0047983452658356</v>
      </c>
      <c r="G1158" s="1102">
        <v>0.97537053214387903</v>
      </c>
      <c r="H1158" s="1102">
        <v>1.0226613943547851</v>
      </c>
      <c r="I1158" s="1102">
        <v>1.0113045598198065</v>
      </c>
      <c r="K1158">
        <v>1.5750824170221394</v>
      </c>
      <c r="L1158">
        <v>0</v>
      </c>
      <c r="M1158">
        <v>1.5355935159146769E-3</v>
      </c>
      <c r="N1158">
        <v>0.15012374050410729</v>
      </c>
      <c r="O1158">
        <v>0.12221411013175086</v>
      </c>
      <c r="P1158">
        <v>1.5990159683334212E-2</v>
      </c>
      <c r="Q1158">
        <v>9.1424892309056633E-4</v>
      </c>
      <c r="R1158">
        <v>1.5322034721813441E-3</v>
      </c>
      <c r="S1158">
        <v>0.12318303402892493</v>
      </c>
      <c r="T1158">
        <v>0.82788641015733677</v>
      </c>
      <c r="U1158">
        <v>0</v>
      </c>
      <c r="V1158">
        <v>0.20437533656354182</v>
      </c>
      <c r="W1158">
        <v>9.7462339765195916E-2</v>
      </c>
      <c r="X1158">
        <v>2.8766274548051744E-2</v>
      </c>
      <c r="Y1158">
        <v>4.1701527605387612E-3</v>
      </c>
    </row>
    <row r="1159" spans="1:25" x14ac:dyDescent="0.25">
      <c r="A1159" s="1098"/>
      <c r="B1159" s="1457">
        <v>909</v>
      </c>
      <c r="C1159" s="1102">
        <v>0.98885495417739577</v>
      </c>
      <c r="D1159" s="1102">
        <v>1.0014896624602083</v>
      </c>
      <c r="E1159" s="1102">
        <v>1.0200476938002854</v>
      </c>
      <c r="F1159" s="1102">
        <v>1.0144779045985173</v>
      </c>
      <c r="G1159" s="1102">
        <v>1.0359861172013214</v>
      </c>
      <c r="H1159" s="1102">
        <v>1.0144779569022295</v>
      </c>
      <c r="I1159" s="1102">
        <v>1.0149016771717154</v>
      </c>
      <c r="K1159">
        <v>1.5890678111392729</v>
      </c>
      <c r="L1159">
        <v>0</v>
      </c>
      <c r="M1159">
        <v>1.5346014348697741E-3</v>
      </c>
      <c r="N1159">
        <v>0.15002368679527339</v>
      </c>
      <c r="O1159">
        <v>0.12284295162436232</v>
      </c>
      <c r="P1159">
        <v>1.6172243143248988E-2</v>
      </c>
      <c r="Q1159">
        <v>9.2736128330966016E-4</v>
      </c>
      <c r="R1159">
        <v>1.5311628154316686E-3</v>
      </c>
      <c r="S1159">
        <v>0.1238033964903231</v>
      </c>
      <c r="T1159">
        <v>0.8358614378318534</v>
      </c>
      <c r="U1159">
        <v>0</v>
      </c>
      <c r="V1159">
        <v>0.20893271642873185</v>
      </c>
      <c r="W1159">
        <v>9.7397143243248732E-2</v>
      </c>
      <c r="X1159">
        <v>2.8942992482441286E-2</v>
      </c>
      <c r="Y1159">
        <v>4.1673204359185482E-3</v>
      </c>
    </row>
    <row r="1160" spans="1:25" x14ac:dyDescent="0.25">
      <c r="A1160" s="1098"/>
      <c r="B1160" s="1457">
        <v>910</v>
      </c>
      <c r="C1160" s="1102">
        <v>1.009045269150985</v>
      </c>
      <c r="D1160" s="1102">
        <v>1.0375055917163487</v>
      </c>
      <c r="E1160" s="1102">
        <v>1.042659762139041</v>
      </c>
      <c r="F1160" s="1102">
        <v>0.96892062592097694</v>
      </c>
      <c r="G1160" s="1102">
        <v>1.0013662358604531</v>
      </c>
      <c r="H1160" s="1102">
        <v>0.99493777649114834</v>
      </c>
      <c r="I1160" s="1102">
        <v>0.96970930102361186</v>
      </c>
      <c r="K1160">
        <v>1.5132523156792541</v>
      </c>
      <c r="L1160">
        <v>0</v>
      </c>
      <c r="M1160">
        <v>1.3764156454382686E-3</v>
      </c>
      <c r="N1160">
        <v>0.14404158600438166</v>
      </c>
      <c r="O1160">
        <v>0.11703635846314275</v>
      </c>
      <c r="P1160">
        <v>1.563176338908551E-2</v>
      </c>
      <c r="Q1160">
        <v>9.1695325197012182E-4</v>
      </c>
      <c r="R1160">
        <v>1.3732460699438325E-3</v>
      </c>
      <c r="S1160">
        <v>0.11194189005479177</v>
      </c>
      <c r="T1160">
        <v>0.79690118758929862</v>
      </c>
      <c r="U1160">
        <v>0</v>
      </c>
      <c r="V1160">
        <v>0.20230725676998493</v>
      </c>
      <c r="W1160">
        <v>9.2295344037196955E-2</v>
      </c>
      <c r="X1160">
        <v>2.8445622582953304E-2</v>
      </c>
      <c r="Y1160">
        <v>3.7375231119418191E-3</v>
      </c>
    </row>
    <row r="1161" spans="1:25" x14ac:dyDescent="0.25">
      <c r="A1161" s="1098"/>
      <c r="B1161" s="1457">
        <v>911</v>
      </c>
      <c r="C1161" s="1102">
        <v>0.98679811092835212</v>
      </c>
      <c r="D1161" s="1102">
        <v>1.0143926911852386</v>
      </c>
      <c r="E1161" s="1102">
        <v>1.0097093426852084</v>
      </c>
      <c r="F1161" s="1102">
        <v>1.0075542898330756</v>
      </c>
      <c r="G1161" s="1102">
        <v>1.0148255855643389</v>
      </c>
      <c r="H1161" s="1102">
        <v>1.0197229042782228</v>
      </c>
      <c r="I1161" s="1102">
        <v>0.99222767541849666</v>
      </c>
      <c r="K1161">
        <v>1.5757093165318599</v>
      </c>
      <c r="L1161">
        <v>0</v>
      </c>
      <c r="M1161">
        <v>1.5668737875164686E-3</v>
      </c>
      <c r="N1161">
        <v>0.14847400736782715</v>
      </c>
      <c r="O1161">
        <v>0.12192791071095971</v>
      </c>
      <c r="P1161">
        <v>1.5916860550437072E-2</v>
      </c>
      <c r="Q1161">
        <v>9.147679104371208E-4</v>
      </c>
      <c r="R1161">
        <v>1.5633711173721268E-3</v>
      </c>
      <c r="S1161">
        <v>0.1207080641103342</v>
      </c>
      <c r="T1161">
        <v>0.83083947094132704</v>
      </c>
      <c r="U1161">
        <v>0</v>
      </c>
      <c r="V1161">
        <v>0.20739208706119805</v>
      </c>
      <c r="W1161">
        <v>9.6978229843091374E-2</v>
      </c>
      <c r="X1161">
        <v>2.8306439890055976E-2</v>
      </c>
      <c r="Y1161">
        <v>4.2549808163365949E-3</v>
      </c>
    </row>
    <row r="1162" spans="1:25" x14ac:dyDescent="0.25">
      <c r="A1162" s="1098"/>
      <c r="B1162" s="1457">
        <v>912</v>
      </c>
      <c r="C1162" s="1102">
        <v>0.99028187225192343</v>
      </c>
      <c r="D1162" s="1102">
        <v>0.97300275165519556</v>
      </c>
      <c r="E1162" s="1102">
        <v>0.98069032320971672</v>
      </c>
      <c r="F1162" s="1102">
        <v>1.0051205131207404</v>
      </c>
      <c r="G1162" s="1102">
        <v>0.980941993398326</v>
      </c>
      <c r="H1162" s="1102">
        <v>1.0072162127952671</v>
      </c>
      <c r="I1162" s="1102">
        <v>0.97003607668921843</v>
      </c>
      <c r="K1162">
        <v>1.5711261626107047</v>
      </c>
      <c r="L1162">
        <v>0</v>
      </c>
      <c r="M1162">
        <v>1.6770063548892647E-3</v>
      </c>
      <c r="N1162">
        <v>0.14556490348911147</v>
      </c>
      <c r="O1162">
        <v>0.12351029174389866</v>
      </c>
      <c r="P1162">
        <v>1.5547173572682663E-2</v>
      </c>
      <c r="Q1162">
        <v>8.9932548023155881E-4</v>
      </c>
      <c r="R1162">
        <v>1.6732373396788161E-3</v>
      </c>
      <c r="S1162">
        <v>0.11951330713603055</v>
      </c>
      <c r="T1162">
        <v>0.83076254589965881</v>
      </c>
      <c r="U1162">
        <v>0</v>
      </c>
      <c r="V1162">
        <v>0.20665065509688774</v>
      </c>
      <c r="W1162">
        <v>9.673854995626055E-2</v>
      </c>
      <c r="X1162">
        <v>2.738917879508684E-2</v>
      </c>
      <c r="Y1162">
        <v>4.5540004560649539E-3</v>
      </c>
    </row>
    <row r="1163" spans="1:25" x14ac:dyDescent="0.25">
      <c r="A1163" s="1098"/>
      <c r="B1163" s="1457">
        <v>913</v>
      </c>
      <c r="C1163" s="1102">
        <v>0.98707082288778492</v>
      </c>
      <c r="D1163" s="1102">
        <v>1.02087562694735</v>
      </c>
      <c r="E1163" s="1102">
        <v>1.0054431819633893</v>
      </c>
      <c r="F1163" s="1102">
        <v>0.96333184907746827</v>
      </c>
      <c r="G1163" s="1102">
        <v>0.98687450682271904</v>
      </c>
      <c r="H1163" s="1102">
        <v>1.0096756053087643</v>
      </c>
      <c r="I1163" s="1102">
        <v>1.0048206560668209</v>
      </c>
      <c r="K1163">
        <v>1.5257545353540392</v>
      </c>
      <c r="L1163">
        <v>0</v>
      </c>
      <c r="M1163">
        <v>1.5538786082490009E-3</v>
      </c>
      <c r="N1163">
        <v>0.14535330863532819</v>
      </c>
      <c r="O1163">
        <v>0.1185348048752443</v>
      </c>
      <c r="P1163">
        <v>1.5318711114267034E-2</v>
      </c>
      <c r="Q1163">
        <v>9.0817803806058468E-4</v>
      </c>
      <c r="R1163">
        <v>1.5503547351921065E-3</v>
      </c>
      <c r="S1163">
        <v>0.12066011386380587</v>
      </c>
      <c r="T1163">
        <v>0.79464349261702605</v>
      </c>
      <c r="U1163">
        <v>0</v>
      </c>
      <c r="V1163">
        <v>0.20360913939800548</v>
      </c>
      <c r="W1163">
        <v>9.5179488786882371E-2</v>
      </c>
      <c r="X1163">
        <v>2.7331267383581964E-2</v>
      </c>
      <c r="Y1163">
        <v>4.2195545148918127E-3</v>
      </c>
    </row>
    <row r="1164" spans="1:25" x14ac:dyDescent="0.25">
      <c r="A1164" s="1098"/>
      <c r="B1164" s="1457">
        <v>914</v>
      </c>
      <c r="C1164" s="1102">
        <v>0.9826856914811487</v>
      </c>
      <c r="D1164" s="1102">
        <v>1.0024464442421939</v>
      </c>
      <c r="E1164" s="1102">
        <v>1.0132038944477864</v>
      </c>
      <c r="F1164" s="1102">
        <v>0.98619888000042999</v>
      </c>
      <c r="G1164" s="1102">
        <v>0.9895360017893341</v>
      </c>
      <c r="H1164" s="1102">
        <v>0.96218668671738938</v>
      </c>
      <c r="I1164" s="1102">
        <v>1.0067547735111222</v>
      </c>
      <c r="K1164">
        <v>1.5420421070737862</v>
      </c>
      <c r="L1164">
        <v>0</v>
      </c>
      <c r="M1164">
        <v>1.4809083660624349E-3</v>
      </c>
      <c r="N1164">
        <v>0.14179723031307401</v>
      </c>
      <c r="O1164">
        <v>0.12114714183544731</v>
      </c>
      <c r="P1164">
        <v>1.5668449363788917E-2</v>
      </c>
      <c r="Q1164">
        <v>9.2628905609657222E-4</v>
      </c>
      <c r="R1164">
        <v>1.4773999003817268E-3</v>
      </c>
      <c r="S1164">
        <v>0.11904733576368333</v>
      </c>
      <c r="T1164">
        <v>0.81300335340951924</v>
      </c>
      <c r="U1164">
        <v>0</v>
      </c>
      <c r="V1164">
        <v>0.20585592334498329</v>
      </c>
      <c r="W1164">
        <v>9.2426746458691755E-2</v>
      </c>
      <c r="X1164">
        <v>2.8152150490089341E-2</v>
      </c>
      <c r="Y1164">
        <v>4.0209955040927904E-3</v>
      </c>
    </row>
    <row r="1165" spans="1:25" x14ac:dyDescent="0.25">
      <c r="A1165" s="1098"/>
      <c r="B1165" s="1457">
        <v>915</v>
      </c>
      <c r="C1165" s="1102">
        <v>0.99421407260078143</v>
      </c>
      <c r="D1165" s="1102">
        <v>0.99487397941832911</v>
      </c>
      <c r="E1165" s="1102">
        <v>1.0275206484183461</v>
      </c>
      <c r="F1165" s="1102">
        <v>0.99710925804453621</v>
      </c>
      <c r="G1165" s="1102">
        <v>1.0070923026718184</v>
      </c>
      <c r="H1165" s="1102">
        <v>0.98845981099108404</v>
      </c>
      <c r="I1165" s="1102">
        <v>1.040679286766675</v>
      </c>
      <c r="K1165">
        <v>1.5652676904536511</v>
      </c>
      <c r="L1165">
        <v>0</v>
      </c>
      <c r="M1165">
        <v>1.4683686547013531E-3</v>
      </c>
      <c r="N1165">
        <v>0.14681214500372694</v>
      </c>
      <c r="O1165">
        <v>0.12161779958938462</v>
      </c>
      <c r="P1165">
        <v>1.6031074258665269E-2</v>
      </c>
      <c r="Q1165">
        <v>9.3191368864663823E-4</v>
      </c>
      <c r="R1165">
        <v>1.4649924279564281E-3</v>
      </c>
      <c r="S1165">
        <v>0.12453582644230031</v>
      </c>
      <c r="T1165">
        <v>0.82106467597866739</v>
      </c>
      <c r="U1165">
        <v>0</v>
      </c>
      <c r="V1165">
        <v>0.20648223719626341</v>
      </c>
      <c r="W1165">
        <v>9.4897601594679346E-2</v>
      </c>
      <c r="X1165">
        <v>2.8910566473787921E-2</v>
      </c>
      <c r="Y1165">
        <v>3.9872264542733125E-3</v>
      </c>
    </row>
    <row r="1166" spans="1:25" x14ac:dyDescent="0.25">
      <c r="A1166" s="1098"/>
      <c r="B1166" s="1457">
        <v>916</v>
      </c>
      <c r="C1166" s="1102">
        <v>0.99962395662256465</v>
      </c>
      <c r="D1166" s="1102">
        <v>0.98541985501282336</v>
      </c>
      <c r="E1166" s="1102">
        <v>1.0214932764525244</v>
      </c>
      <c r="F1166" s="1102">
        <v>0.96182442452502215</v>
      </c>
      <c r="G1166" s="1102">
        <v>0.96990277567562411</v>
      </c>
      <c r="H1166" s="1102">
        <v>0.96779060605674938</v>
      </c>
      <c r="I1166" s="1102">
        <v>1.0131707739017577</v>
      </c>
      <c r="K1166">
        <v>1.5172256235882753</v>
      </c>
      <c r="L1166">
        <v>0</v>
      </c>
      <c r="M1166">
        <v>1.4522448709244366E-3</v>
      </c>
      <c r="N1166">
        <v>0.14257723728907087</v>
      </c>
      <c r="O1166">
        <v>0.11926487547244129</v>
      </c>
      <c r="P1166">
        <v>1.5440810313458932E-2</v>
      </c>
      <c r="Q1166">
        <v>9.2469548136990217E-4</v>
      </c>
      <c r="R1166">
        <v>1.448831498252973E-3</v>
      </c>
      <c r="S1166">
        <v>0.11940025180803426</v>
      </c>
      <c r="T1166">
        <v>0.79238766542875028</v>
      </c>
      <c r="U1166">
        <v>0</v>
      </c>
      <c r="V1166">
        <v>0.20276948384014712</v>
      </c>
      <c r="W1166">
        <v>9.2484616719602203E-2</v>
      </c>
      <c r="X1166">
        <v>2.8036158877000769E-2</v>
      </c>
      <c r="Y1166">
        <v>3.9432417310695531E-3</v>
      </c>
    </row>
    <row r="1167" spans="1:25" x14ac:dyDescent="0.25">
      <c r="A1167" s="1098"/>
      <c r="B1167" s="1457">
        <v>917</v>
      </c>
      <c r="C1167" s="1102">
        <v>1.0212696280432263</v>
      </c>
      <c r="D1167" s="1102">
        <v>1.0087516256673192</v>
      </c>
      <c r="E1167" s="1102">
        <v>1.0167277999308963</v>
      </c>
      <c r="F1167" s="1102">
        <v>1.0034808739575847</v>
      </c>
      <c r="G1167" s="1102">
        <v>1.0133625499627867</v>
      </c>
      <c r="H1167" s="1102">
        <v>1.0253448330571946</v>
      </c>
      <c r="I1167" s="1102">
        <v>1.019958782418839</v>
      </c>
      <c r="K1167">
        <v>1.5625089067842859</v>
      </c>
      <c r="L1167">
        <v>0</v>
      </c>
      <c r="M1167">
        <v>1.5082949350369032E-3</v>
      </c>
      <c r="N1167">
        <v>0.14598592208914937</v>
      </c>
      <c r="O1167">
        <v>0.12011331119818887</v>
      </c>
      <c r="P1167">
        <v>1.5908530063848274E-2</v>
      </c>
      <c r="Q1167">
        <v>8.922893015075418E-4</v>
      </c>
      <c r="R1167">
        <v>1.5049520582154766E-3</v>
      </c>
      <c r="S1167">
        <v>0.12092432086565226</v>
      </c>
      <c r="T1167">
        <v>0.82701856890002889</v>
      </c>
      <c r="U1167">
        <v>0</v>
      </c>
      <c r="V1167">
        <v>0.20440832727530553</v>
      </c>
      <c r="W1167">
        <v>9.4960276160449691E-2</v>
      </c>
      <c r="X1167">
        <v>2.8204720411825625E-2</v>
      </c>
      <c r="Y1167">
        <v>4.0959833951498695E-3</v>
      </c>
    </row>
    <row r="1168" spans="1:25" x14ac:dyDescent="0.25">
      <c r="A1168" s="1098"/>
      <c r="B1168" s="1457">
        <v>918</v>
      </c>
      <c r="C1168" s="1102">
        <v>0.99646196358034822</v>
      </c>
      <c r="D1168" s="1102">
        <v>0.96574027785058814</v>
      </c>
      <c r="E1168" s="1102">
        <v>1.0312104577862868</v>
      </c>
      <c r="F1168" s="1102">
        <v>1.00075089016632</v>
      </c>
      <c r="G1168" s="1102">
        <v>0.98635499274563476</v>
      </c>
      <c r="H1168" s="1102">
        <v>0.95626586110815393</v>
      </c>
      <c r="I1168" s="1102">
        <v>0.97302462257066791</v>
      </c>
      <c r="K1168">
        <v>1.5571420614612861</v>
      </c>
      <c r="L1168">
        <v>0</v>
      </c>
      <c r="M1168">
        <v>1.4309702731875112E-3</v>
      </c>
      <c r="N1168">
        <v>0.14466394502970134</v>
      </c>
      <c r="O1168">
        <v>0.12306309895728694</v>
      </c>
      <c r="P1168">
        <v>1.598963921020961E-2</v>
      </c>
      <c r="Q1168">
        <v>9.4448207005647003E-4</v>
      </c>
      <c r="R1168">
        <v>1.4275874834034465E-3</v>
      </c>
      <c r="S1168">
        <v>0.11575520072988048</v>
      </c>
      <c r="T1168">
        <v>0.82382310183686969</v>
      </c>
      <c r="U1168">
        <v>0</v>
      </c>
      <c r="V1168">
        <v>0.20645439859897233</v>
      </c>
      <c r="W1168">
        <v>9.3308863933781128E-2</v>
      </c>
      <c r="X1168">
        <v>2.9257291358575414E-2</v>
      </c>
      <c r="Y1168">
        <v>3.8854225257367548E-3</v>
      </c>
    </row>
    <row r="1169" spans="1:25" x14ac:dyDescent="0.25">
      <c r="A1169" s="1098"/>
      <c r="B1169" s="1457">
        <v>919</v>
      </c>
      <c r="C1169" s="1102">
        <v>1.0145285462676277</v>
      </c>
      <c r="D1169" s="1102">
        <v>1.0082862400408867</v>
      </c>
      <c r="E1169" s="1102">
        <v>0.98981276513216232</v>
      </c>
      <c r="F1169" s="1102">
        <v>1.0319069707624939</v>
      </c>
      <c r="G1169" s="1102">
        <v>0.97918040761527092</v>
      </c>
      <c r="H1169" s="1102">
        <v>1.0466679850571394</v>
      </c>
      <c r="I1169" s="1102">
        <v>1.02623978321433</v>
      </c>
      <c r="K1169">
        <v>1.5962911865293214</v>
      </c>
      <c r="L1169">
        <v>0</v>
      </c>
      <c r="M1169">
        <v>1.6419634543277703E-3</v>
      </c>
      <c r="N1169">
        <v>0.14652196821965463</v>
      </c>
      <c r="O1169">
        <v>0.12250719451342609</v>
      </c>
      <c r="P1169">
        <v>1.5986135783667484E-2</v>
      </c>
      <c r="Q1169">
        <v>8.7370266717357503E-4</v>
      </c>
      <c r="R1169">
        <v>1.638404392839952E-3</v>
      </c>
      <c r="S1169">
        <v>0.12429557706705861</v>
      </c>
      <c r="T1169">
        <v>0.85227645870329283</v>
      </c>
      <c r="U1169">
        <v>0</v>
      </c>
      <c r="V1169">
        <v>0.20484123554205902</v>
      </c>
      <c r="W1169">
        <v>9.6841904744287541E-2</v>
      </c>
      <c r="X1169">
        <v>2.7691371692741835E-2</v>
      </c>
      <c r="Y1169">
        <v>4.4591966574474041E-3</v>
      </c>
    </row>
    <row r="1170" spans="1:25" x14ac:dyDescent="0.25">
      <c r="A1170" s="1098"/>
      <c r="B1170" s="1457">
        <v>920</v>
      </c>
      <c r="C1170" s="1102">
        <v>1.0069415977258886</v>
      </c>
      <c r="D1170" s="1102">
        <v>1.0090102816202595</v>
      </c>
      <c r="E1170" s="1102">
        <v>1.0023240237419706</v>
      </c>
      <c r="F1170" s="1102">
        <v>1.0136711827221438</v>
      </c>
      <c r="G1170" s="1102">
        <v>0.97883119209886316</v>
      </c>
      <c r="H1170" s="1102">
        <v>1.030669895745459</v>
      </c>
      <c r="I1170" s="1102">
        <v>0.99538917086126111</v>
      </c>
      <c r="K1170">
        <v>1.5745461130671881</v>
      </c>
      <c r="L1170">
        <v>0</v>
      </c>
      <c r="M1170">
        <v>1.5837727490118165E-3</v>
      </c>
      <c r="N1170">
        <v>0.1467696730773887</v>
      </c>
      <c r="O1170">
        <v>0.1215692517444726</v>
      </c>
      <c r="P1170">
        <v>1.5857037923128186E-2</v>
      </c>
      <c r="Q1170">
        <v>8.9154719164748751E-4</v>
      </c>
      <c r="R1170">
        <v>1.5802796829562475E-3</v>
      </c>
      <c r="S1170">
        <v>0.12003985880935401</v>
      </c>
      <c r="T1170">
        <v>0.83637626803901066</v>
      </c>
      <c r="U1170">
        <v>0</v>
      </c>
      <c r="V1170">
        <v>0.20452138296756264</v>
      </c>
      <c r="W1170">
        <v>9.6284732684514512E-2</v>
      </c>
      <c r="X1170">
        <v>2.7938853338215972E-2</v>
      </c>
      <c r="Y1170">
        <v>4.3010003579494254E-3</v>
      </c>
    </row>
    <row r="1171" spans="1:25" x14ac:dyDescent="0.25">
      <c r="A1171" s="1098"/>
      <c r="B1171" s="1457">
        <v>921</v>
      </c>
      <c r="C1171" s="1102">
        <v>1.0301097442534251</v>
      </c>
      <c r="D1171" s="1102">
        <v>1.0131736360239407</v>
      </c>
      <c r="E1171" s="1102">
        <v>1.0098334324578306</v>
      </c>
      <c r="F1171" s="1102">
        <v>0.99075885083043691</v>
      </c>
      <c r="G1171" s="1102">
        <v>0.99610046302504529</v>
      </c>
      <c r="H1171" s="1102">
        <v>1.0208387305837658</v>
      </c>
      <c r="I1171" s="1102">
        <v>1.0285242532565877</v>
      </c>
      <c r="K1171">
        <v>1.5421144238557907</v>
      </c>
      <c r="L1171">
        <v>0</v>
      </c>
      <c r="M1171">
        <v>1.5060150014360779E-3</v>
      </c>
      <c r="N1171">
        <v>0.14276161161302811</v>
      </c>
      <c r="O1171">
        <v>0.11862910389812162</v>
      </c>
      <c r="P1171">
        <v>1.5648424120119311E-2</v>
      </c>
      <c r="Q1171">
        <v>8.7683971669583487E-4</v>
      </c>
      <c r="R1171">
        <v>1.5026588543099687E-3</v>
      </c>
      <c r="S1171">
        <v>0.1201829217011051</v>
      </c>
      <c r="T1171">
        <v>0.81698170468768061</v>
      </c>
      <c r="U1171">
        <v>0</v>
      </c>
      <c r="V1171">
        <v>0.20212518744293129</v>
      </c>
      <c r="W1171">
        <v>9.3240260862242838E-2</v>
      </c>
      <c r="X1171">
        <v>2.7581983910915694E-2</v>
      </c>
      <c r="Y1171">
        <v>4.0897420500735403E-3</v>
      </c>
    </row>
    <row r="1172" spans="1:25" x14ac:dyDescent="0.25">
      <c r="A1172" s="1098"/>
      <c r="B1172" s="1457">
        <v>922</v>
      </c>
      <c r="C1172" s="1102">
        <v>0.99362699518059605</v>
      </c>
      <c r="D1172" s="1102">
        <v>0.99134561685897093</v>
      </c>
      <c r="E1172" s="1102">
        <v>1.0219480325684431</v>
      </c>
      <c r="F1172" s="1102">
        <v>1.0342664833728907</v>
      </c>
      <c r="G1172" s="1102">
        <v>0.9884098067255136</v>
      </c>
      <c r="H1172" s="1102">
        <v>1.024358731252085</v>
      </c>
      <c r="I1172" s="1102">
        <v>0.97594833126277725</v>
      </c>
      <c r="K1172">
        <v>1.6060277794009015</v>
      </c>
      <c r="L1172">
        <v>0</v>
      </c>
      <c r="M1172">
        <v>1.547731138390942E-3</v>
      </c>
      <c r="N1172">
        <v>0.1521816008887899</v>
      </c>
      <c r="O1172">
        <v>0.12442523889332759</v>
      </c>
      <c r="P1172">
        <v>1.6351024302077952E-2</v>
      </c>
      <c r="Q1172">
        <v>9.2848077179358073E-4</v>
      </c>
      <c r="R1172">
        <v>1.5443086306865382E-3</v>
      </c>
      <c r="S1172">
        <v>0.12012568317911777</v>
      </c>
      <c r="T1172">
        <v>0.85203747910308036</v>
      </c>
      <c r="U1172">
        <v>0</v>
      </c>
      <c r="V1172">
        <v>0.20771721963068782</v>
      </c>
      <c r="W1172">
        <v>9.8688389927028344E-2</v>
      </c>
      <c r="X1172">
        <v>2.9372986201176256E-2</v>
      </c>
      <c r="Y1172">
        <v>4.2030990115254682E-3</v>
      </c>
    </row>
    <row r="1173" spans="1:25" x14ac:dyDescent="0.25">
      <c r="A1173" s="1098"/>
      <c r="B1173" s="1457">
        <v>923</v>
      </c>
      <c r="C1173" s="1102">
        <v>0.99223146351131919</v>
      </c>
      <c r="D1173" s="1102">
        <v>1.0287737598605617</v>
      </c>
      <c r="E1173" s="1102">
        <v>0.98799985129817536</v>
      </c>
      <c r="F1173" s="1102">
        <v>1.0027615455835506</v>
      </c>
      <c r="G1173" s="1102">
        <v>0.98517385728401008</v>
      </c>
      <c r="H1173" s="1102">
        <v>1.0179864254970477</v>
      </c>
      <c r="I1173" s="1102">
        <v>1.0218880618089097</v>
      </c>
      <c r="K1173">
        <v>1.5625137963780533</v>
      </c>
      <c r="L1173">
        <v>0</v>
      </c>
      <c r="M1173">
        <v>1.614424279355834E-3</v>
      </c>
      <c r="N1173">
        <v>0.14326589749586002</v>
      </c>
      <c r="O1173">
        <v>0.12075659825193821</v>
      </c>
      <c r="P1173">
        <v>1.5616001543429847E-2</v>
      </c>
      <c r="Q1173">
        <v>8.8450310296226146E-4</v>
      </c>
      <c r="R1173">
        <v>1.6108008257715801E-3</v>
      </c>
      <c r="S1173">
        <v>0.12242339054158485</v>
      </c>
      <c r="T1173">
        <v>0.82832521972335871</v>
      </c>
      <c r="U1173">
        <v>0</v>
      </c>
      <c r="V1173">
        <v>0.20488372740826771</v>
      </c>
      <c r="W1173">
        <v>9.479282706956467E-2</v>
      </c>
      <c r="X1173">
        <v>2.7185185847270497E-2</v>
      </c>
      <c r="Y1173">
        <v>4.3840688474007334E-3</v>
      </c>
    </row>
    <row r="1174" spans="1:25" x14ac:dyDescent="0.25">
      <c r="A1174" s="1098"/>
      <c r="B1174" s="1457">
        <v>924</v>
      </c>
      <c r="C1174" s="1102">
        <v>0.97846161996768866</v>
      </c>
      <c r="D1174" s="1102">
        <v>1.0307968836613723</v>
      </c>
      <c r="E1174" s="1102">
        <v>0.99193037298466979</v>
      </c>
      <c r="F1174" s="1102">
        <v>0.98042473259343121</v>
      </c>
      <c r="G1174" s="1102">
        <v>1.0325739393067692</v>
      </c>
      <c r="H1174" s="1102">
        <v>1.0218578648013978</v>
      </c>
      <c r="I1174" s="1102">
        <v>0.99871655414876259</v>
      </c>
      <c r="K1174">
        <v>1.5476279461219922</v>
      </c>
      <c r="L1174">
        <v>0</v>
      </c>
      <c r="M1174">
        <v>1.6238354531222196E-3</v>
      </c>
      <c r="N1174">
        <v>0.14582397751374973</v>
      </c>
      <c r="O1174">
        <v>0.11980596951483616</v>
      </c>
      <c r="P1174">
        <v>1.5422069352053012E-2</v>
      </c>
      <c r="Q1174">
        <v>8.9992559332509315E-4</v>
      </c>
      <c r="R1174">
        <v>1.6201936596305919E-3</v>
      </c>
      <c r="S1174">
        <v>0.12128519294568249</v>
      </c>
      <c r="T1174">
        <v>0.80961838894443361</v>
      </c>
      <c r="U1174">
        <v>0</v>
      </c>
      <c r="V1174">
        <v>0.20699644984353649</v>
      </c>
      <c r="W1174">
        <v>9.6258471893864453E-2</v>
      </c>
      <c r="X1174">
        <v>2.711150926918399E-2</v>
      </c>
      <c r="Y1174">
        <v>4.409633044818115E-3</v>
      </c>
    </row>
    <row r="1175" spans="1:25" x14ac:dyDescent="0.25">
      <c r="A1175" s="1098"/>
      <c r="B1175" s="1457">
        <v>925</v>
      </c>
      <c r="C1175" s="1102">
        <v>1.0217952041141136</v>
      </c>
      <c r="D1175" s="1102">
        <v>0.98348493713646956</v>
      </c>
      <c r="E1175" s="1102">
        <v>1.0194859180635705</v>
      </c>
      <c r="F1175" s="1102">
        <v>1.0060401053334318</v>
      </c>
      <c r="G1175" s="1102">
        <v>1.0115151250501775</v>
      </c>
      <c r="H1175" s="1102">
        <v>1.0288022136562132</v>
      </c>
      <c r="I1175" s="1102">
        <v>0.99263935159541583</v>
      </c>
      <c r="K1175">
        <v>1.5704679293259163</v>
      </c>
      <c r="L1175">
        <v>0</v>
      </c>
      <c r="M1175">
        <v>1.5261420986467816E-3</v>
      </c>
      <c r="N1175">
        <v>0.14895028896994117</v>
      </c>
      <c r="O1175">
        <v>0.12136966277136904</v>
      </c>
      <c r="P1175">
        <v>1.5961336226790343E-2</v>
      </c>
      <c r="Q1175">
        <v>9.0348071023938696E-4</v>
      </c>
      <c r="R1175">
        <v>1.5227861758213043E-3</v>
      </c>
      <c r="S1175">
        <v>0.11971455571620988</v>
      </c>
      <c r="T1175">
        <v>0.82894620791433515</v>
      </c>
      <c r="U1175">
        <v>0</v>
      </c>
      <c r="V1175">
        <v>0.20517612986903067</v>
      </c>
      <c r="W1175">
        <v>9.6732074142605526E-2</v>
      </c>
      <c r="X1175">
        <v>2.8573026943962999E-2</v>
      </c>
      <c r="Y1175">
        <v>4.1445219842576432E-3</v>
      </c>
    </row>
    <row r="1176" spans="1:25" x14ac:dyDescent="0.25">
      <c r="A1176" s="1098"/>
      <c r="B1176" s="1457">
        <v>926</v>
      </c>
      <c r="C1176" s="1102">
        <v>0.97452100026023281</v>
      </c>
      <c r="D1176" s="1102">
        <v>0.9688618159234933</v>
      </c>
      <c r="E1176" s="1102">
        <v>1.0377822210508372</v>
      </c>
      <c r="F1176" s="1102">
        <v>0.9940548063765251</v>
      </c>
      <c r="G1176" s="1102">
        <v>0.97604218842890833</v>
      </c>
      <c r="H1176" s="1102">
        <v>0.98547419212410059</v>
      </c>
      <c r="I1176" s="1102">
        <v>0.98908161705722542</v>
      </c>
      <c r="K1176">
        <v>1.5729513986123638</v>
      </c>
      <c r="L1176">
        <v>0</v>
      </c>
      <c r="M1176">
        <v>1.481314361118869E-3</v>
      </c>
      <c r="N1176">
        <v>0.15275859138667502</v>
      </c>
      <c r="O1176">
        <v>0.12357659865859694</v>
      </c>
      <c r="P1176">
        <v>1.6088765135076427E-2</v>
      </c>
      <c r="Q1176">
        <v>9.7097519852161484E-4</v>
      </c>
      <c r="R1176">
        <v>1.477906885953799E-3</v>
      </c>
      <c r="S1176">
        <v>0.12230790660971091</v>
      </c>
      <c r="T1176">
        <v>0.81788688576098745</v>
      </c>
      <c r="U1176">
        <v>0</v>
      </c>
      <c r="V1176">
        <v>0.2074601456381639</v>
      </c>
      <c r="W1176">
        <v>9.8156112115995647E-2</v>
      </c>
      <c r="X1176">
        <v>2.9726450232109323E-2</v>
      </c>
      <c r="Y1176">
        <v>4.0223753516922221E-3</v>
      </c>
    </row>
    <row r="1177" spans="1:25" x14ac:dyDescent="0.25">
      <c r="A1177" s="1098"/>
      <c r="B1177" s="1457">
        <v>927</v>
      </c>
      <c r="C1177" s="1102">
        <v>1.0163762132005782</v>
      </c>
      <c r="D1177" s="1102">
        <v>1.0213094508854443</v>
      </c>
      <c r="E1177" s="1102">
        <v>1.0476436264056694</v>
      </c>
      <c r="F1177" s="1102">
        <v>0.99819104455418195</v>
      </c>
      <c r="G1177" s="1102">
        <v>0.99298533128280819</v>
      </c>
      <c r="H1177" s="1102">
        <v>0.98921917910195478</v>
      </c>
      <c r="I1177" s="1102">
        <v>1.0312063414035879</v>
      </c>
      <c r="K1177">
        <v>1.5491850058476624</v>
      </c>
      <c r="L1177">
        <v>0</v>
      </c>
      <c r="M1177">
        <v>1.3603028701953436E-3</v>
      </c>
      <c r="N1177">
        <v>0.14450776540395369</v>
      </c>
      <c r="O1177">
        <v>0.11936326369902328</v>
      </c>
      <c r="P1177">
        <v>1.6137781323473294E-2</v>
      </c>
      <c r="Q1177">
        <v>9.2072028472258793E-4</v>
      </c>
      <c r="R1177">
        <v>1.3571690781543388E-3</v>
      </c>
      <c r="S1177">
        <v>0.11906681878379824</v>
      </c>
      <c r="T1177">
        <v>0.82065386849213251</v>
      </c>
      <c r="U1177">
        <v>0</v>
      </c>
      <c r="V1177">
        <v>0.20330504837160071</v>
      </c>
      <c r="W1177">
        <v>9.2329713789679038E-2</v>
      </c>
      <c r="X1177">
        <v>2.9209392651248448E-2</v>
      </c>
      <c r="Y1177">
        <v>3.6937668400697345E-3</v>
      </c>
    </row>
    <row r="1178" spans="1:25" x14ac:dyDescent="0.25">
      <c r="A1178" s="1098"/>
      <c r="B1178" s="1457">
        <v>928</v>
      </c>
      <c r="C1178" s="1102">
        <v>1.0162071060408162</v>
      </c>
      <c r="D1178" s="1102">
        <v>0.96981418546928599</v>
      </c>
      <c r="E1178" s="1102">
        <v>0.96599912550988365</v>
      </c>
      <c r="F1178" s="1102">
        <v>1.030069899549632</v>
      </c>
      <c r="G1178" s="1102">
        <v>0.98942818169377333</v>
      </c>
      <c r="H1178" s="1102">
        <v>1.01386921178348</v>
      </c>
      <c r="I1178" s="1102">
        <v>0.97293669549799866</v>
      </c>
      <c r="K1178">
        <v>1.5851736373430159</v>
      </c>
      <c r="L1178">
        <v>0</v>
      </c>
      <c r="M1178">
        <v>1.7053786264786739E-3</v>
      </c>
      <c r="N1178">
        <v>0.14159220772898229</v>
      </c>
      <c r="O1178">
        <v>0.12410729561820308</v>
      </c>
      <c r="P1178">
        <v>1.5632558738026731E-2</v>
      </c>
      <c r="Q1178">
        <v>8.6407929836655848E-4</v>
      </c>
      <c r="R1178">
        <v>1.7015876271653631E-3</v>
      </c>
      <c r="S1178">
        <v>0.117827652820683</v>
      </c>
      <c r="T1178">
        <v>0.85239597134802281</v>
      </c>
      <c r="U1178">
        <v>0</v>
      </c>
      <c r="V1178">
        <v>0.206211519454055</v>
      </c>
      <c r="W1178">
        <v>9.4941315599903681E-2</v>
      </c>
      <c r="X1178">
        <v>2.6973667143153336E-2</v>
      </c>
      <c r="Y1178">
        <v>4.631160592933576E-3</v>
      </c>
    </row>
    <row r="1179" spans="1:25" x14ac:dyDescent="0.25">
      <c r="A1179" s="1098"/>
      <c r="B1179" s="1457">
        <v>929</v>
      </c>
      <c r="C1179" s="1102">
        <v>1.0188885206840197</v>
      </c>
      <c r="D1179" s="1102">
        <v>1.0160025241708848</v>
      </c>
      <c r="E1179" s="1102">
        <v>0.99474959993114631</v>
      </c>
      <c r="F1179" s="1102">
        <v>0.95992499057266345</v>
      </c>
      <c r="G1179" s="1102">
        <v>0.97756726309804765</v>
      </c>
      <c r="H1179" s="1102">
        <v>0.99704401098846285</v>
      </c>
      <c r="I1179" s="1102">
        <v>0.99275263259122448</v>
      </c>
      <c r="K1179">
        <v>1.5009827868538104</v>
      </c>
      <c r="L1179">
        <v>0</v>
      </c>
      <c r="M1179">
        <v>1.5271261499728319E-3</v>
      </c>
      <c r="N1179">
        <v>0.13830636567843457</v>
      </c>
      <c r="O1179">
        <v>0.11694614858318562</v>
      </c>
      <c r="P1179">
        <v>1.50484744500232E-2</v>
      </c>
      <c r="Q1179">
        <v>8.7178422656233379E-4</v>
      </c>
      <c r="R1179">
        <v>1.5236290610670534E-3</v>
      </c>
      <c r="S1179">
        <v>0.11499167947757587</v>
      </c>
      <c r="T1179">
        <v>0.7925108116200188</v>
      </c>
      <c r="U1179">
        <v>0</v>
      </c>
      <c r="V1179">
        <v>0.20048815850344759</v>
      </c>
      <c r="W1179">
        <v>9.1142440213791545E-2</v>
      </c>
      <c r="X1179">
        <v>2.6533605149637336E-2</v>
      </c>
      <c r="Y1179">
        <v>4.1468160400395266E-3</v>
      </c>
    </row>
    <row r="1180" spans="1:25" x14ac:dyDescent="0.25">
      <c r="A1180" s="1098"/>
      <c r="B1180" s="1457">
        <v>930</v>
      </c>
      <c r="C1180" s="1102">
        <v>0.97724640834359999</v>
      </c>
      <c r="D1180" s="1102">
        <v>1.0088639525484757</v>
      </c>
      <c r="E1180" s="1102">
        <v>1.0264115275971106</v>
      </c>
      <c r="F1180" s="1102">
        <v>0.99887956724828053</v>
      </c>
      <c r="G1180" s="1102">
        <v>1.0326891841105761</v>
      </c>
      <c r="H1180" s="1102">
        <v>0.99253955654904591</v>
      </c>
      <c r="I1180" s="1102">
        <v>0.98918216117122459</v>
      </c>
      <c r="K1180">
        <v>1.5674994110160714</v>
      </c>
      <c r="L1180">
        <v>0</v>
      </c>
      <c r="M1180">
        <v>1.4899842472706306E-3</v>
      </c>
      <c r="N1180">
        <v>0.14847619655639652</v>
      </c>
      <c r="O1180">
        <v>0.1220145573491988</v>
      </c>
      <c r="P1180">
        <v>1.6003464235089387E-2</v>
      </c>
      <c r="Q1180">
        <v>9.4174513441258752E-4</v>
      </c>
      <c r="R1180">
        <v>1.4865606325253926E-3</v>
      </c>
      <c r="S1180">
        <v>0.11966367909966343</v>
      </c>
      <c r="T1180">
        <v>0.82259459845008087</v>
      </c>
      <c r="U1180">
        <v>0</v>
      </c>
      <c r="V1180">
        <v>0.20877336761553414</v>
      </c>
      <c r="W1180">
        <v>9.6035181030319716E-2</v>
      </c>
      <c r="X1180">
        <v>2.895411716296634E-2</v>
      </c>
      <c r="Y1180">
        <v>4.0459279971533091E-3</v>
      </c>
    </row>
    <row r="1181" spans="1:25" x14ac:dyDescent="0.25">
      <c r="A1181" s="1098"/>
      <c r="B1181" s="1457">
        <v>931</v>
      </c>
      <c r="C1181" s="1102">
        <v>1.0283808141906821</v>
      </c>
      <c r="D1181" s="1102">
        <v>1.0159408953191493</v>
      </c>
      <c r="E1181" s="1102">
        <v>0.98264386776958601</v>
      </c>
      <c r="F1181" s="1102">
        <v>1.0087691117741098</v>
      </c>
      <c r="G1181" s="1102">
        <v>1.0243809126538397</v>
      </c>
      <c r="H1181" s="1102">
        <v>0.99383637927552704</v>
      </c>
      <c r="I1181" s="1102">
        <v>0.99312382267051602</v>
      </c>
      <c r="K1181">
        <v>1.5449114805853459</v>
      </c>
      <c r="L1181">
        <v>0</v>
      </c>
      <c r="M1181">
        <v>1.5532564737260159E-3</v>
      </c>
      <c r="N1181">
        <v>0.13561710699845805</v>
      </c>
      <c r="O1181">
        <v>0.11990998546025219</v>
      </c>
      <c r="P1181">
        <v>1.5504094291039855E-2</v>
      </c>
      <c r="Q1181">
        <v>8.5292001644374021E-4</v>
      </c>
      <c r="R1181">
        <v>1.5497036292237908E-3</v>
      </c>
      <c r="S1181">
        <v>0.1140407654766623</v>
      </c>
      <c r="T1181">
        <v>0.83364696484008693</v>
      </c>
      <c r="U1181">
        <v>0</v>
      </c>
      <c r="V1181">
        <v>0.20433198000415043</v>
      </c>
      <c r="W1181">
        <v>9.0021398732418892E-2</v>
      </c>
      <c r="X1181">
        <v>2.6772035191251611E-2</v>
      </c>
      <c r="Y1181">
        <v>4.2177824190830805E-3</v>
      </c>
    </row>
    <row r="1182" spans="1:25" x14ac:dyDescent="0.25">
      <c r="A1182" s="1098"/>
      <c r="B1182" s="1457">
        <v>932</v>
      </c>
      <c r="C1182" s="1102">
        <v>0.99085891415661775</v>
      </c>
      <c r="D1182" s="1102">
        <v>0.96874711282406978</v>
      </c>
      <c r="E1182" s="1102">
        <v>0.98471720014936459</v>
      </c>
      <c r="F1182" s="1102">
        <v>0.98969713451354457</v>
      </c>
      <c r="G1182" s="1102">
        <v>1.0297562892971666</v>
      </c>
      <c r="H1182" s="1102">
        <v>0.99234117922205878</v>
      </c>
      <c r="I1182" s="1102">
        <v>1.0007108780112408</v>
      </c>
      <c r="K1182">
        <v>1.5584223068352698</v>
      </c>
      <c r="L1182">
        <v>0</v>
      </c>
      <c r="M1182">
        <v>1.6396867641429546E-3</v>
      </c>
      <c r="N1182">
        <v>0.14406487484423611</v>
      </c>
      <c r="O1182">
        <v>0.12255697246802928</v>
      </c>
      <c r="P1182">
        <v>1.5476126622693263E-2</v>
      </c>
      <c r="Q1182">
        <v>9.0418106466656485E-4</v>
      </c>
      <c r="R1182">
        <v>1.6359446368902667E-3</v>
      </c>
      <c r="S1182">
        <v>0.12224312787132152</v>
      </c>
      <c r="T1182">
        <v>0.81774933974158359</v>
      </c>
      <c r="U1182">
        <v>0</v>
      </c>
      <c r="V1182">
        <v>0.20812842495630041</v>
      </c>
      <c r="W1182">
        <v>9.5509652647565099E-2</v>
      </c>
      <c r="X1182">
        <v>2.7340846733515001E-2</v>
      </c>
      <c r="Y1182">
        <v>4.4525020126106917E-3</v>
      </c>
    </row>
    <row r="1183" spans="1:25" x14ac:dyDescent="0.25">
      <c r="A1183" s="1098"/>
      <c r="B1183" s="1457">
        <v>933</v>
      </c>
      <c r="C1183" s="1102">
        <v>1.0087382206818098</v>
      </c>
      <c r="D1183" s="1102">
        <v>0.98479515139683882</v>
      </c>
      <c r="E1183" s="1102">
        <v>0.96860740472086704</v>
      </c>
      <c r="F1183" s="1102">
        <v>1.0311693175252858</v>
      </c>
      <c r="G1183" s="1102">
        <v>1.0058384941558489</v>
      </c>
      <c r="H1183" s="1102">
        <v>1.0007259251318101</v>
      </c>
      <c r="I1183" s="1102">
        <v>1.0038174793708314</v>
      </c>
      <c r="K1183">
        <v>1.5860822441271032</v>
      </c>
      <c r="L1183">
        <v>0</v>
      </c>
      <c r="M1183">
        <v>1.6712131020221789E-3</v>
      </c>
      <c r="N1183">
        <v>0.13985088516422792</v>
      </c>
      <c r="O1183">
        <v>0.12387128776550119</v>
      </c>
      <c r="P1183">
        <v>1.5718899897669582E-2</v>
      </c>
      <c r="Q1183">
        <v>8.6754015587302562E-4</v>
      </c>
      <c r="R1183">
        <v>1.6674377540272518E-3</v>
      </c>
      <c r="S1183">
        <v>0.12026871704744536</v>
      </c>
      <c r="T1183">
        <v>0.85312536738908529</v>
      </c>
      <c r="U1183">
        <v>0</v>
      </c>
      <c r="V1183">
        <v>0.20716539984245377</v>
      </c>
      <c r="W1183">
        <v>9.3624647737054104E-2</v>
      </c>
      <c r="X1183">
        <v>2.7055058580032491E-2</v>
      </c>
      <c r="Y1183">
        <v>4.5382158957542919E-3</v>
      </c>
    </row>
    <row r="1184" spans="1:25" x14ac:dyDescent="0.25">
      <c r="A1184" s="1098"/>
      <c r="B1184" s="1457">
        <v>934</v>
      </c>
      <c r="C1184" s="1102">
        <v>0.99560583186479268</v>
      </c>
      <c r="D1184" s="1102">
        <v>1.0318618020560719</v>
      </c>
      <c r="E1184" s="1102">
        <v>0.99090937549518143</v>
      </c>
      <c r="F1184" s="1102">
        <v>0.96176751798402427</v>
      </c>
      <c r="G1184" s="1102">
        <v>1.0010406288039941</v>
      </c>
      <c r="H1184" s="1102">
        <v>1.0265708101402162</v>
      </c>
      <c r="I1184" s="1102">
        <v>1.0449109101750793</v>
      </c>
      <c r="K1184">
        <v>1.5256355184444415</v>
      </c>
      <c r="L1184">
        <v>0</v>
      </c>
      <c r="M1184">
        <v>1.6053721999851054E-3</v>
      </c>
      <c r="N1184">
        <v>0.14372300508862354</v>
      </c>
      <c r="O1184">
        <v>0.11757094402256203</v>
      </c>
      <c r="P1184">
        <v>1.5200070567527724E-2</v>
      </c>
      <c r="Q1184">
        <v>8.831241245983722E-4</v>
      </c>
      <c r="R1184">
        <v>1.6017870209570528E-3</v>
      </c>
      <c r="S1184">
        <v>0.1249986789222249</v>
      </c>
      <c r="T1184">
        <v>0.7942766677182721</v>
      </c>
      <c r="U1184">
        <v>0</v>
      </c>
      <c r="V1184">
        <v>0.20310123321029636</v>
      </c>
      <c r="W1184">
        <v>9.4929598888747579E-2</v>
      </c>
      <c r="X1184">
        <v>2.6596244838521688E-2</v>
      </c>
      <c r="Y1184">
        <v>4.35953624209555E-3</v>
      </c>
    </row>
    <row r="1185" spans="1:25" x14ac:dyDescent="0.25">
      <c r="A1185" s="1098"/>
      <c r="B1185" s="1457">
        <v>935</v>
      </c>
      <c r="C1185" s="1102">
        <v>1.0084962811435549</v>
      </c>
      <c r="D1185" s="1102">
        <v>0.97850541562953097</v>
      </c>
      <c r="E1185" s="1102">
        <v>1.0208595919594594</v>
      </c>
      <c r="F1185" s="1102">
        <v>1.0257832805236136</v>
      </c>
      <c r="G1185" s="1102">
        <v>0.99682346189935911</v>
      </c>
      <c r="H1185" s="1102">
        <v>1.022514342156825</v>
      </c>
      <c r="I1185" s="1102">
        <v>1.0104111905388484</v>
      </c>
      <c r="K1185">
        <v>1.5979449310531255</v>
      </c>
      <c r="L1185">
        <v>0</v>
      </c>
      <c r="M1185">
        <v>1.5376683311632863E-3</v>
      </c>
      <c r="N1185">
        <v>0.1506968653978818</v>
      </c>
      <c r="O1185">
        <v>0.12364817252262601</v>
      </c>
      <c r="P1185">
        <v>1.6274545314998345E-2</v>
      </c>
      <c r="Q1185">
        <v>9.1854867968585322E-4</v>
      </c>
      <c r="R1185">
        <v>1.5342709677662509E-3</v>
      </c>
      <c r="S1185">
        <v>0.12337931505805229</v>
      </c>
      <c r="T1185">
        <v>0.84512187764087077</v>
      </c>
      <c r="U1185">
        <v>0</v>
      </c>
      <c r="V1185">
        <v>0.20679329921444331</v>
      </c>
      <c r="W1185">
        <v>9.7787734736089316E-2</v>
      </c>
      <c r="X1185">
        <v>2.9152190049901432E-2</v>
      </c>
      <c r="Y1185">
        <v>4.1757798019711407E-3</v>
      </c>
    </row>
    <row r="1186" spans="1:25" x14ac:dyDescent="0.25">
      <c r="A1186" s="1098"/>
      <c r="B1186" s="1457">
        <v>936</v>
      </c>
      <c r="C1186" s="1102">
        <v>0.9807891072870758</v>
      </c>
      <c r="D1186" s="1102">
        <v>0.9802161326514548</v>
      </c>
      <c r="E1186" s="1102">
        <v>1.0216996657649755</v>
      </c>
      <c r="F1186" s="1102">
        <v>1.0360513538167684</v>
      </c>
      <c r="G1186" s="1102">
        <v>0.96475875300775438</v>
      </c>
      <c r="H1186" s="1102">
        <v>0.97309698792890897</v>
      </c>
      <c r="I1186" s="1102">
        <v>1.0135293710483713</v>
      </c>
      <c r="K1186">
        <v>1.604118471974566</v>
      </c>
      <c r="L1186">
        <v>0</v>
      </c>
      <c r="M1186">
        <v>1.4986488682696198E-3</v>
      </c>
      <c r="N1186">
        <v>0.14722838264217575</v>
      </c>
      <c r="O1186">
        <v>0.12575092486676764</v>
      </c>
      <c r="P1186">
        <v>1.6414217927922959E-2</v>
      </c>
      <c r="Q1186">
        <v>9.446510571908068E-4</v>
      </c>
      <c r="R1186">
        <v>1.4951640673597241E-3</v>
      </c>
      <c r="S1186">
        <v>0.12291501935859508</v>
      </c>
      <c r="T1186">
        <v>0.85352467581002123</v>
      </c>
      <c r="U1186">
        <v>0</v>
      </c>
      <c r="V1186">
        <v>0.20821351088890186</v>
      </c>
      <c r="W1186">
        <v>9.5490127324587531E-2</v>
      </c>
      <c r="X1186">
        <v>2.9571103188660866E-2</v>
      </c>
      <c r="Y1186">
        <v>4.0693437106508294E-3</v>
      </c>
    </row>
    <row r="1187" spans="1:25" x14ac:dyDescent="0.25">
      <c r="A1187" s="1098"/>
      <c r="B1187" s="1457">
        <v>937</v>
      </c>
      <c r="C1187" s="1102">
        <v>0.97033599328480591</v>
      </c>
      <c r="D1187" s="1102">
        <v>1.0064785118842192</v>
      </c>
      <c r="E1187" s="1102">
        <v>1.0027378590043261</v>
      </c>
      <c r="F1187" s="1102">
        <v>1.035542790374375</v>
      </c>
      <c r="G1187" s="1102">
        <v>0.99383653829706464</v>
      </c>
      <c r="H1187" s="1102">
        <v>1.0181893094132288</v>
      </c>
      <c r="I1187" s="1102">
        <v>0.97678465034257311</v>
      </c>
      <c r="K1187">
        <v>1.6100236676920414</v>
      </c>
      <c r="L1187">
        <v>0</v>
      </c>
      <c r="M1187">
        <v>1.6228237237028704E-3</v>
      </c>
      <c r="N1187">
        <v>0.1505723799230336</v>
      </c>
      <c r="O1187">
        <v>0.12513346856743168</v>
      </c>
      <c r="P1187">
        <v>1.6194914503554356E-2</v>
      </c>
      <c r="Q1187">
        <v>9.2650763246709066E-4</v>
      </c>
      <c r="R1187">
        <v>1.6191983530107527E-3</v>
      </c>
      <c r="S1187">
        <v>0.1213447796118535</v>
      </c>
      <c r="T1187">
        <v>0.85439419406994999</v>
      </c>
      <c r="U1187">
        <v>0</v>
      </c>
      <c r="V1187">
        <v>0.20957041102495705</v>
      </c>
      <c r="W1187">
        <v>9.8755163112613661E-2</v>
      </c>
      <c r="X1187">
        <v>2.8728550468568523E-2</v>
      </c>
      <c r="Y1187">
        <v>4.4069241483016526E-3</v>
      </c>
    </row>
    <row r="1188" spans="1:25" x14ac:dyDescent="0.25">
      <c r="A1188" s="1098"/>
      <c r="B1188" s="1457">
        <v>938</v>
      </c>
      <c r="C1188" s="1102">
        <v>1.0004411144900653</v>
      </c>
      <c r="D1188" s="1102">
        <v>1.0123308222259977</v>
      </c>
      <c r="E1188" s="1102">
        <v>1.0449882443954626</v>
      </c>
      <c r="F1188" s="1102">
        <v>1.0117570094150479</v>
      </c>
      <c r="G1188" s="1102">
        <v>1.0152697172060388</v>
      </c>
      <c r="H1188" s="1102">
        <v>1.0118267044024725</v>
      </c>
      <c r="I1188" s="1102">
        <v>1.0330991751075607</v>
      </c>
      <c r="K1188">
        <v>1.5814612974937294</v>
      </c>
      <c r="L1188">
        <v>0</v>
      </c>
      <c r="M1188">
        <v>1.4283919531989557E-3</v>
      </c>
      <c r="N1188">
        <v>0.15054086283956525</v>
      </c>
      <c r="O1188">
        <v>0.12150325826929867</v>
      </c>
      <c r="P1188">
        <v>1.637765718721066E-2</v>
      </c>
      <c r="Q1188">
        <v>9.3617690736302482E-4</v>
      </c>
      <c r="R1188">
        <v>1.4251792107781275E-3</v>
      </c>
      <c r="S1188">
        <v>0.12365280820684861</v>
      </c>
      <c r="T1188">
        <v>0.8319803373021315</v>
      </c>
      <c r="U1188">
        <v>0</v>
      </c>
      <c r="V1188">
        <v>0.20658994337742198</v>
      </c>
      <c r="W1188">
        <v>9.6330900199220526E-2</v>
      </c>
      <c r="X1188">
        <v>2.9673697945551362E-2</v>
      </c>
      <c r="Y1188">
        <v>3.8788680015374956E-3</v>
      </c>
    </row>
    <row r="1189" spans="1:25" x14ac:dyDescent="0.25">
      <c r="A1189" s="1098"/>
      <c r="B1189" s="1457">
        <v>939</v>
      </c>
      <c r="C1189" s="1102">
        <v>0.98329372592323094</v>
      </c>
      <c r="D1189" s="1102">
        <v>1.0033757496039639</v>
      </c>
      <c r="E1189" s="1102">
        <v>1.0127295103922074</v>
      </c>
      <c r="F1189" s="1102">
        <v>0.9802261047919969</v>
      </c>
      <c r="G1189" s="1102">
        <v>1.0227679926407363</v>
      </c>
      <c r="H1189" s="1102">
        <v>0.98597836618773593</v>
      </c>
      <c r="I1189" s="1102">
        <v>0.96741609860159905</v>
      </c>
      <c r="K1189">
        <v>1.5400327174954509</v>
      </c>
      <c r="L1189">
        <v>0</v>
      </c>
      <c r="M1189">
        <v>1.5166493873380747E-3</v>
      </c>
      <c r="N1189">
        <v>0.14501977154954282</v>
      </c>
      <c r="O1189">
        <v>0.12065605764444699</v>
      </c>
      <c r="P1189">
        <v>1.556993865601608E-2</v>
      </c>
      <c r="Q1189">
        <v>9.2492132376900303E-4</v>
      </c>
      <c r="R1189">
        <v>1.513140932946646E-3</v>
      </c>
      <c r="S1189">
        <v>0.11607655768804354</v>
      </c>
      <c r="T1189">
        <v>0.80811001461023457</v>
      </c>
      <c r="U1189">
        <v>0</v>
      </c>
      <c r="V1189">
        <v>0.20696223663283111</v>
      </c>
      <c r="W1189">
        <v>9.4553658458496198E-2</v>
      </c>
      <c r="X1189">
        <v>2.8044798573755161E-2</v>
      </c>
      <c r="Y1189">
        <v>4.1182708127062819E-3</v>
      </c>
    </row>
    <row r="1190" spans="1:25" x14ac:dyDescent="0.25">
      <c r="A1190" s="1098"/>
      <c r="B1190" s="1457">
        <v>940</v>
      </c>
      <c r="C1190" s="1102">
        <v>1.0431351049572302</v>
      </c>
      <c r="D1190" s="1102">
        <v>1.0261819736790423</v>
      </c>
      <c r="E1190" s="1102">
        <v>0.99014345680267335</v>
      </c>
      <c r="F1190" s="1102">
        <v>0.96929343411258906</v>
      </c>
      <c r="G1190" s="1102">
        <v>1.0300607231679997</v>
      </c>
      <c r="H1190" s="1102">
        <v>1.0425290101713152</v>
      </c>
      <c r="I1190" s="1102">
        <v>1.0200248676387611</v>
      </c>
      <c r="K1190">
        <v>1.515436865357179</v>
      </c>
      <c r="L1190">
        <v>0</v>
      </c>
      <c r="M1190">
        <v>1.5695564944787012E-3</v>
      </c>
      <c r="N1190">
        <v>0.14019785079641489</v>
      </c>
      <c r="O1190">
        <v>0.11603193907083958</v>
      </c>
      <c r="P1190">
        <v>1.5159577355763332E-2</v>
      </c>
      <c r="Q1190">
        <v>8.4407464960757259E-4</v>
      </c>
      <c r="R1190">
        <v>1.5661216621279726E-3</v>
      </c>
      <c r="S1190">
        <v>0.11837192822399074</v>
      </c>
      <c r="T1190">
        <v>0.80054118901233751</v>
      </c>
      <c r="U1190">
        <v>0</v>
      </c>
      <c r="V1190">
        <v>0.20112911758482038</v>
      </c>
      <c r="W1190">
        <v>9.2643701335740652E-2</v>
      </c>
      <c r="X1190">
        <v>2.6258455267570997E-2</v>
      </c>
      <c r="Y1190">
        <v>4.2624668924451711E-3</v>
      </c>
    </row>
    <row r="1191" spans="1:25" x14ac:dyDescent="0.25">
      <c r="A1191" s="1098"/>
      <c r="B1191" s="1457">
        <v>941</v>
      </c>
      <c r="C1191" s="1102">
        <v>0.97320273962237247</v>
      </c>
      <c r="D1191" s="1102">
        <v>1.0258600481749935</v>
      </c>
      <c r="E1191" s="1102">
        <v>0.97749699141300816</v>
      </c>
      <c r="F1191" s="1102">
        <v>1.0007074670545544</v>
      </c>
      <c r="G1191" s="1102">
        <v>0.9817489153302803</v>
      </c>
      <c r="H1191" s="1102">
        <v>0.98184559850622588</v>
      </c>
      <c r="I1191" s="1102">
        <v>0.97852787743870273</v>
      </c>
      <c r="K1191">
        <v>1.5521371125232086</v>
      </c>
      <c r="L1191">
        <v>0</v>
      </c>
      <c r="M1191">
        <v>1.6225159667746629E-3</v>
      </c>
      <c r="N1191">
        <v>0.13946936121541562</v>
      </c>
      <c r="O1191">
        <v>0.12176008556627427</v>
      </c>
      <c r="P1191">
        <v>1.5422103848535174E-2</v>
      </c>
      <c r="Q1191">
        <v>8.9295329688052303E-4</v>
      </c>
      <c r="R1191">
        <v>1.6187362342986839E-3</v>
      </c>
      <c r="S1191">
        <v>0.11674623503029335</v>
      </c>
      <c r="T1191">
        <v>0.82732813963928298</v>
      </c>
      <c r="U1191">
        <v>0</v>
      </c>
      <c r="V1191">
        <v>0.2063385526649229</v>
      </c>
      <c r="W1191">
        <v>9.2866637449838849E-2</v>
      </c>
      <c r="X1191">
        <v>2.6911157130736045E-2</v>
      </c>
      <c r="Y1191">
        <v>4.4056664135047937E-3</v>
      </c>
    </row>
    <row r="1192" spans="1:25" x14ac:dyDescent="0.25">
      <c r="A1192" s="1098"/>
      <c r="B1192" s="1457">
        <v>942</v>
      </c>
      <c r="C1192" s="1102">
        <v>1.010930404818978</v>
      </c>
      <c r="D1192" s="1102">
        <v>0.96410752068687644</v>
      </c>
      <c r="E1192" s="1102">
        <v>1.0221546108881294</v>
      </c>
      <c r="F1192" s="1102">
        <v>0.9806489981790858</v>
      </c>
      <c r="G1192" s="1102">
        <v>0.96332303330722313</v>
      </c>
      <c r="H1192" s="1102">
        <v>1.019831319078305</v>
      </c>
      <c r="I1192" s="1102">
        <v>1.027856459160563</v>
      </c>
      <c r="K1192">
        <v>1.5559506220327175</v>
      </c>
      <c r="L1192">
        <v>0</v>
      </c>
      <c r="M1192">
        <v>1.5335694893514739E-3</v>
      </c>
      <c r="N1192">
        <v>0.15088225089260524</v>
      </c>
      <c r="O1192">
        <v>0.12098710904407131</v>
      </c>
      <c r="P1192">
        <v>1.5757262008293964E-2</v>
      </c>
      <c r="Q1192">
        <v>9.230108801119932E-4</v>
      </c>
      <c r="R1192">
        <v>1.5301693267998891E-3</v>
      </c>
      <c r="S1192">
        <v>0.12582060684080326</v>
      </c>
      <c r="T1192">
        <v>0.80785371234558667</v>
      </c>
      <c r="U1192">
        <v>0</v>
      </c>
      <c r="V1192">
        <v>0.20317392384056623</v>
      </c>
      <c r="W1192">
        <v>9.7833967419094586E-2</v>
      </c>
      <c r="X1192">
        <v>2.8557562436767797E-2</v>
      </c>
      <c r="Y1192">
        <v>4.1646164873662848E-3</v>
      </c>
    </row>
    <row r="1193" spans="1:25" x14ac:dyDescent="0.25">
      <c r="A1193" s="1098"/>
      <c r="B1193" s="1457">
        <v>943</v>
      </c>
      <c r="C1193" s="1102">
        <v>0.97844480342710216</v>
      </c>
      <c r="D1193" s="1102">
        <v>0.99402498035802356</v>
      </c>
      <c r="E1193" s="1102">
        <v>0.97650628712055143</v>
      </c>
      <c r="F1193" s="1102">
        <v>0.96403032972403302</v>
      </c>
      <c r="G1193" s="1102">
        <v>0.98687117973703231</v>
      </c>
      <c r="H1193" s="1102">
        <v>0.99971254515996921</v>
      </c>
      <c r="I1193" s="1102">
        <v>1.0094372067110631</v>
      </c>
      <c r="K1193">
        <v>1.531545634207925</v>
      </c>
      <c r="L1193">
        <v>0</v>
      </c>
      <c r="M1193">
        <v>1.6718552497401913E-3</v>
      </c>
      <c r="N1193">
        <v>0.14328711936670846</v>
      </c>
      <c r="O1193">
        <v>0.12025825429999028</v>
      </c>
      <c r="P1193">
        <v>1.5077068211628941E-2</v>
      </c>
      <c r="Q1193">
        <v>8.9850490938516488E-4</v>
      </c>
      <c r="R1193">
        <v>1.6680402577154223E-3</v>
      </c>
      <c r="S1193">
        <v>0.12331233727906855</v>
      </c>
      <c r="T1193">
        <v>0.79706932083944715</v>
      </c>
      <c r="U1193">
        <v>0</v>
      </c>
      <c r="V1193">
        <v>0.20512837073939549</v>
      </c>
      <c r="W1193">
        <v>9.5465945573755151E-2</v>
      </c>
      <c r="X1193">
        <v>2.651267226839301E-2</v>
      </c>
      <c r="Y1193">
        <v>4.5398557121782042E-3</v>
      </c>
    </row>
    <row r="1194" spans="1:25" x14ac:dyDescent="0.25">
      <c r="A1194" s="1098"/>
      <c r="B1194" s="1457">
        <v>944</v>
      </c>
      <c r="C1194" s="1102">
        <v>1.0043025344555254</v>
      </c>
      <c r="D1194" s="1102">
        <v>1.042618406514515</v>
      </c>
      <c r="E1194" s="1102">
        <v>0.98286994750472501</v>
      </c>
      <c r="F1194" s="1102">
        <v>1.0249249194025944</v>
      </c>
      <c r="G1194" s="1102">
        <v>0.99547387728624481</v>
      </c>
      <c r="H1194" s="1102">
        <v>0.95826711677975485</v>
      </c>
      <c r="I1194" s="1102">
        <v>0.96890043785501867</v>
      </c>
      <c r="K1194">
        <v>1.5496336371858428</v>
      </c>
      <c r="L1194">
        <v>0</v>
      </c>
      <c r="M1194">
        <v>1.5096464361720532E-3</v>
      </c>
      <c r="N1194">
        <v>0.13188686479399586</v>
      </c>
      <c r="O1194">
        <v>0.12108798355202671</v>
      </c>
      <c r="P1194">
        <v>1.5634457346541852E-2</v>
      </c>
      <c r="Q1194">
        <v>8.6456505184776954E-4</v>
      </c>
      <c r="R1194">
        <v>1.5060476195811422E-3</v>
      </c>
      <c r="S1194">
        <v>0.10947479543533677</v>
      </c>
      <c r="T1194">
        <v>0.84698270160570277</v>
      </c>
      <c r="U1194">
        <v>0</v>
      </c>
      <c r="V1194">
        <v>0.20505680849707891</v>
      </c>
      <c r="W1194">
        <v>8.7533373867453537E-2</v>
      </c>
      <c r="X1194">
        <v>2.70167207004154E-2</v>
      </c>
      <c r="Y1194">
        <v>4.0989651520355027E-3</v>
      </c>
    </row>
    <row r="1195" spans="1:25" x14ac:dyDescent="0.25">
      <c r="A1195" s="1098"/>
      <c r="B1195" s="1457">
        <v>945</v>
      </c>
      <c r="C1195" s="1102">
        <v>0.9880449527468641</v>
      </c>
      <c r="D1195" s="1102">
        <v>0.97688760943464192</v>
      </c>
      <c r="E1195" s="1102">
        <v>0.9653793616815014</v>
      </c>
      <c r="F1195" s="1102">
        <v>1.0043856657232755</v>
      </c>
      <c r="G1195" s="1102">
        <v>1.0347268669052707</v>
      </c>
      <c r="H1195" s="1102">
        <v>0.97132816824158774</v>
      </c>
      <c r="I1195" s="1102">
        <v>1.0229744701386592</v>
      </c>
      <c r="K1195">
        <v>1.5653817194505495</v>
      </c>
      <c r="L1195">
        <v>0</v>
      </c>
      <c r="M1195">
        <v>1.6688468992302021E-3</v>
      </c>
      <c r="N1195">
        <v>0.13828404600696148</v>
      </c>
      <c r="O1195">
        <v>0.12344097248813762</v>
      </c>
      <c r="P1195">
        <v>1.5450225147038352E-2</v>
      </c>
      <c r="Q1195">
        <v>8.8554871606873718E-4</v>
      </c>
      <c r="R1195">
        <v>1.6649541889373059E-3</v>
      </c>
      <c r="S1195">
        <v>0.12298956902608936</v>
      </c>
      <c r="T1195">
        <v>0.83118372185371303</v>
      </c>
      <c r="U1195">
        <v>0</v>
      </c>
      <c r="V1195">
        <v>0.20908186945789087</v>
      </c>
      <c r="W1195">
        <v>9.2758208395649092E-2</v>
      </c>
      <c r="X1195">
        <v>2.6779994619006587E-2</v>
      </c>
      <c r="Y1195">
        <v>4.5314564502864701E-3</v>
      </c>
    </row>
    <row r="1196" spans="1:25" x14ac:dyDescent="0.25">
      <c r="A1196" s="1098"/>
      <c r="B1196" s="1457">
        <v>946</v>
      </c>
      <c r="C1196" s="1102">
        <v>1.0355987121657428</v>
      </c>
      <c r="D1196" s="1102">
        <v>1.002123829232215</v>
      </c>
      <c r="E1196" s="1102">
        <v>0.98992257835687958</v>
      </c>
      <c r="F1196" s="1102">
        <v>1.0051777950104115</v>
      </c>
      <c r="G1196" s="1102">
        <v>1.042210270027244</v>
      </c>
      <c r="H1196" s="1102">
        <v>1.0207602962218758</v>
      </c>
      <c r="I1196" s="1102">
        <v>1.014537086483503</v>
      </c>
      <c r="K1196">
        <v>1.5546768793366705</v>
      </c>
      <c r="L1196">
        <v>0</v>
      </c>
      <c r="M1196">
        <v>1.573117252626719E-3</v>
      </c>
      <c r="N1196">
        <v>0.1404174694496324</v>
      </c>
      <c r="O1196">
        <v>0.11988669090358761</v>
      </c>
      <c r="P1196">
        <v>1.5613172120413209E-2</v>
      </c>
      <c r="Q1196">
        <v>8.5812612975354164E-4</v>
      </c>
      <c r="R1196">
        <v>1.5696228377012822E-3</v>
      </c>
      <c r="S1196">
        <v>0.1187662590120572</v>
      </c>
      <c r="T1196">
        <v>0.83019287518983997</v>
      </c>
      <c r="U1196">
        <v>0</v>
      </c>
      <c r="V1196">
        <v>0.20479455766152851</v>
      </c>
      <c r="W1196">
        <v>9.2801105122455277E-2</v>
      </c>
      <c r="X1196">
        <v>2.7078122224134128E-2</v>
      </c>
      <c r="Y1196">
        <v>4.2719959381935027E-3</v>
      </c>
    </row>
    <row r="1197" spans="1:25" x14ac:dyDescent="0.25">
      <c r="A1197" s="1098"/>
      <c r="B1197" s="1457">
        <v>947</v>
      </c>
      <c r="C1197" s="1102">
        <v>1.0246530721455924</v>
      </c>
      <c r="D1197" s="1102">
        <v>1.0015710854033268</v>
      </c>
      <c r="E1197" s="1102">
        <v>1.0016186382571224</v>
      </c>
      <c r="F1197" s="1102">
        <v>1.0060855099711301</v>
      </c>
      <c r="G1197" s="1102">
        <v>0.99281714352171757</v>
      </c>
      <c r="H1197" s="1102">
        <v>0.972326169030168</v>
      </c>
      <c r="I1197" s="1102">
        <v>1.0377908984962596</v>
      </c>
      <c r="K1197">
        <v>1.5475921123552472</v>
      </c>
      <c r="L1197">
        <v>0</v>
      </c>
      <c r="M1197">
        <v>1.477653412457111E-3</v>
      </c>
      <c r="N1197">
        <v>0.13662651761896455</v>
      </c>
      <c r="O1197">
        <v>0.12047969233676686</v>
      </c>
      <c r="P1197">
        <v>1.5734751074831039E-2</v>
      </c>
      <c r="Q1197">
        <v>8.7809198061042902E-4</v>
      </c>
      <c r="R1197">
        <v>1.4742055065360537E-3</v>
      </c>
      <c r="S1197">
        <v>0.11889947942087284</v>
      </c>
      <c r="T1197">
        <v>0.83016416164010021</v>
      </c>
      <c r="U1197">
        <v>0</v>
      </c>
      <c r="V1197">
        <v>0.20352677389690571</v>
      </c>
      <c r="W1197">
        <v>8.9668084579792445E-2</v>
      </c>
      <c r="X1197">
        <v>2.7605706295248125E-2</v>
      </c>
      <c r="Y1197">
        <v>4.0123014170765168E-3</v>
      </c>
    </row>
    <row r="1198" spans="1:25" x14ac:dyDescent="0.25">
      <c r="A1198" s="1098"/>
      <c r="B1198" s="1457">
        <v>948</v>
      </c>
      <c r="C1198" s="1102">
        <v>0.99447441137308268</v>
      </c>
      <c r="D1198" s="1102">
        <v>0.99480483167981837</v>
      </c>
      <c r="E1198" s="1102">
        <v>1.014466399637171</v>
      </c>
      <c r="F1198" s="1102">
        <v>1.0243999112392022</v>
      </c>
      <c r="G1198" s="1102">
        <v>1.0273623726468015</v>
      </c>
      <c r="H1198" s="1102">
        <v>1.006974465783212</v>
      </c>
      <c r="I1198" s="1102">
        <v>1.0077105415775098</v>
      </c>
      <c r="K1198">
        <v>1.5935299499651505</v>
      </c>
      <c r="L1198">
        <v>0</v>
      </c>
      <c r="M1198">
        <v>1.5399306518063731E-3</v>
      </c>
      <c r="N1198">
        <v>0.14802887153034028</v>
      </c>
      <c r="O1198">
        <v>0.12355527537721005</v>
      </c>
      <c r="P1198">
        <v>1.619939689158716E-2</v>
      </c>
      <c r="Q1198">
        <v>9.1930830230990473E-4</v>
      </c>
      <c r="R1198">
        <v>1.5364622627351255E-3</v>
      </c>
      <c r="S1198">
        <v>0.12219878513541532</v>
      </c>
      <c r="T1198">
        <v>0.84441074885576717</v>
      </c>
      <c r="U1198">
        <v>0</v>
      </c>
      <c r="V1198">
        <v>0.20876724221417425</v>
      </c>
      <c r="W1198">
        <v>9.6417086115223052E-2</v>
      </c>
      <c r="X1198">
        <v>2.8854960147676641E-2</v>
      </c>
      <c r="Y1198">
        <v>4.1817437845162245E-3</v>
      </c>
    </row>
    <row r="1199" spans="1:25" x14ac:dyDescent="0.25">
      <c r="A1199" s="1098"/>
      <c r="B1199" s="1457">
        <v>949</v>
      </c>
      <c r="C1199" s="1102">
        <v>0.97663405858644303</v>
      </c>
      <c r="D1199" s="1102">
        <v>1.0245177550749389</v>
      </c>
      <c r="E1199" s="1102">
        <v>1.025988027955087</v>
      </c>
      <c r="F1199" s="1102">
        <v>0.96736837192880532</v>
      </c>
      <c r="G1199" s="1102">
        <v>1.0263640901983435</v>
      </c>
      <c r="H1199" s="1102">
        <v>1.0252314153220332</v>
      </c>
      <c r="I1199" s="1102">
        <v>1.0141320648668486</v>
      </c>
      <c r="K1199">
        <v>1.5452667227343224</v>
      </c>
      <c r="L1199">
        <v>0</v>
      </c>
      <c r="M1199">
        <v>1.5242145246628577E-3</v>
      </c>
      <c r="N1199">
        <v>0.15170281676037761</v>
      </c>
      <c r="O1199">
        <v>0.11914244425949939</v>
      </c>
      <c r="P1199">
        <v>1.5667167551217057E-2</v>
      </c>
      <c r="Q1199">
        <v>9.3614428340780089E-4</v>
      </c>
      <c r="R1199">
        <v>1.5208067929883629E-3</v>
      </c>
      <c r="S1199">
        <v>0.12408011209945716</v>
      </c>
      <c r="T1199">
        <v>0.79667128194980641</v>
      </c>
      <c r="U1199">
        <v>0</v>
      </c>
      <c r="V1199">
        <v>0.20643087227530713</v>
      </c>
      <c r="W1199">
        <v>9.8146372407018609E-2</v>
      </c>
      <c r="X1199">
        <v>2.8353784123214591E-2</v>
      </c>
      <c r="Y1199">
        <v>4.1391347566897508E-3</v>
      </c>
    </row>
    <row r="1200" spans="1:25" x14ac:dyDescent="0.25">
      <c r="A1200" s="1098"/>
      <c r="B1200" s="1457">
        <v>950</v>
      </c>
      <c r="C1200" s="1102">
        <v>1.0296436930112194</v>
      </c>
      <c r="D1200" s="1102">
        <v>0.97950593724835922</v>
      </c>
      <c r="E1200" s="1102">
        <v>1.0104374953758364</v>
      </c>
      <c r="F1200" s="1102">
        <v>0.97852153981034284</v>
      </c>
      <c r="G1200" s="1102">
        <v>1.0031258311284779</v>
      </c>
      <c r="H1200" s="1102">
        <v>0.99632646302965777</v>
      </c>
      <c r="I1200" s="1102">
        <v>0.98518383488772421</v>
      </c>
      <c r="K1200">
        <v>1.5273218579990337</v>
      </c>
      <c r="L1200">
        <v>0</v>
      </c>
      <c r="M1200">
        <v>1.4956476279826634E-3</v>
      </c>
      <c r="N1200">
        <v>0.14203134760496924</v>
      </c>
      <c r="O1200">
        <v>0.11925313850645385</v>
      </c>
      <c r="P1200">
        <v>1.5462512691240415E-2</v>
      </c>
      <c r="Q1200">
        <v>8.8972952329006646E-4</v>
      </c>
      <c r="R1200">
        <v>1.4922485336342846E-3</v>
      </c>
      <c r="S1200">
        <v>0.11556007197754795</v>
      </c>
      <c r="T1200">
        <v>0.80685196722348362</v>
      </c>
      <c r="U1200">
        <v>0</v>
      </c>
      <c r="V1200">
        <v>0.20283961545870119</v>
      </c>
      <c r="W1200">
        <v>9.2730278851765269E-2</v>
      </c>
      <c r="X1200">
        <v>2.7645186666974943E-2</v>
      </c>
      <c r="Y1200">
        <v>4.0614085889556168E-3</v>
      </c>
    </row>
    <row r="1201" spans="1:25" x14ac:dyDescent="0.25">
      <c r="A1201" s="1098"/>
      <c r="B1201" s="1457">
        <v>951</v>
      </c>
      <c r="C1201" s="1102">
        <v>1.0071776568995097</v>
      </c>
      <c r="D1201" s="1102">
        <v>1.0044020509827123</v>
      </c>
      <c r="E1201" s="1102">
        <v>1.023630037136845</v>
      </c>
      <c r="F1201" s="1102">
        <v>1.0008349162899646</v>
      </c>
      <c r="G1201" s="1102">
        <v>1.0264425458679602</v>
      </c>
      <c r="H1201" s="1102">
        <v>0.9768857382047047</v>
      </c>
      <c r="I1201" s="1102">
        <v>0.96993275241469157</v>
      </c>
      <c r="K1201">
        <v>1.5478614806905215</v>
      </c>
      <c r="L1201">
        <v>0</v>
      </c>
      <c r="M1201">
        <v>1.4381506726338512E-3</v>
      </c>
      <c r="N1201">
        <v>0.14210971414376941</v>
      </c>
      <c r="O1201">
        <v>0.12080690643996315</v>
      </c>
      <c r="P1201">
        <v>1.5868836410541327E-2</v>
      </c>
      <c r="Q1201">
        <v>9.1277864867722722E-4</v>
      </c>
      <c r="R1201">
        <v>1.4348035763788783E-3</v>
      </c>
      <c r="S1201">
        <v>0.11312932372964171</v>
      </c>
      <c r="T1201">
        <v>0.82438638224832661</v>
      </c>
      <c r="U1201">
        <v>0</v>
      </c>
      <c r="V1201">
        <v>0.20616131209541391</v>
      </c>
      <c r="W1201">
        <v>9.2066417534144365E-2</v>
      </c>
      <c r="X1201">
        <v>2.8518094184265104E-2</v>
      </c>
      <c r="Y1201">
        <v>3.9050623520314703E-3</v>
      </c>
    </row>
    <row r="1202" spans="1:25" x14ac:dyDescent="0.25">
      <c r="A1202" s="1098"/>
      <c r="B1202" s="1457">
        <v>952</v>
      </c>
      <c r="C1202" s="1102">
        <v>0.98407340792962206</v>
      </c>
      <c r="D1202" s="1102">
        <v>1.031880386109874</v>
      </c>
      <c r="E1202" s="1102">
        <v>0.9864439466802406</v>
      </c>
      <c r="F1202" s="1102">
        <v>1.0355971455892277</v>
      </c>
      <c r="G1202" s="1102">
        <v>0.99401660001540526</v>
      </c>
      <c r="H1202" s="1102">
        <v>1.0014624675333215</v>
      </c>
      <c r="I1202" s="1102">
        <v>0.96511800796699598</v>
      </c>
      <c r="K1202">
        <v>1.5863933813016813</v>
      </c>
      <c r="L1202">
        <v>0</v>
      </c>
      <c r="M1202">
        <v>1.6066661467015202E-3</v>
      </c>
      <c r="N1202">
        <v>0.14190330798575576</v>
      </c>
      <c r="O1202">
        <v>0.12331851381976838</v>
      </c>
      <c r="P1202">
        <v>1.5904421717091277E-2</v>
      </c>
      <c r="Q1202">
        <v>8.8931513329725377E-4</v>
      </c>
      <c r="R1202">
        <v>1.6030052855403275E-3</v>
      </c>
      <c r="S1202">
        <v>0.11524331608176412</v>
      </c>
      <c r="T1202">
        <v>0.85555590462243158</v>
      </c>
      <c r="U1202">
        <v>0</v>
      </c>
      <c r="V1202">
        <v>0.20757393882236694</v>
      </c>
      <c r="W1202">
        <v>9.3979008608840453E-2</v>
      </c>
      <c r="X1202">
        <v>2.7666463414834735E-2</v>
      </c>
      <c r="Y1202">
        <v>4.3628519566904127E-3</v>
      </c>
    </row>
    <row r="1203" spans="1:25" x14ac:dyDescent="0.25">
      <c r="A1203" s="1098"/>
      <c r="B1203" s="1457">
        <v>953</v>
      </c>
      <c r="C1203" s="1102">
        <v>0.98700450473782331</v>
      </c>
      <c r="D1203" s="1102">
        <v>0.99377584055030554</v>
      </c>
      <c r="E1203" s="1102">
        <v>1.0192208503559617</v>
      </c>
      <c r="F1203" s="1102">
        <v>0.99464992361050342</v>
      </c>
      <c r="G1203" s="1102">
        <v>1.0248345183438781</v>
      </c>
      <c r="H1203" s="1102">
        <v>0.99407006311395907</v>
      </c>
      <c r="I1203" s="1102">
        <v>0.99184747911679383</v>
      </c>
      <c r="K1203">
        <v>1.5621977531268529</v>
      </c>
      <c r="L1203">
        <v>0</v>
      </c>
      <c r="M1203">
        <v>1.5132442938558715E-3</v>
      </c>
      <c r="N1203">
        <v>0.14756030400232936</v>
      </c>
      <c r="O1203">
        <v>0.12188924809800213</v>
      </c>
      <c r="P1203">
        <v>1.5868999948748533E-2</v>
      </c>
      <c r="Q1203">
        <v>9.3118760783612322E-4</v>
      </c>
      <c r="R1203">
        <v>1.5097826060464768E-3</v>
      </c>
      <c r="S1203">
        <v>0.12001183243942697</v>
      </c>
      <c r="T1203">
        <v>0.81957828704272784</v>
      </c>
      <c r="U1203">
        <v>0</v>
      </c>
      <c r="V1203">
        <v>0.20778990357677823</v>
      </c>
      <c r="W1203">
        <v>9.5844252655019682E-2</v>
      </c>
      <c r="X1203">
        <v>2.8618068889834834E-2</v>
      </c>
      <c r="Y1203">
        <v>4.1091305539561864E-3</v>
      </c>
    </row>
    <row r="1204" spans="1:25" x14ac:dyDescent="0.25">
      <c r="A1204" s="1098"/>
      <c r="B1204" s="1457">
        <v>954</v>
      </c>
      <c r="C1204" s="1102">
        <v>0.97701853449652443</v>
      </c>
      <c r="D1204" s="1102">
        <v>1.0044598348721168</v>
      </c>
      <c r="E1204" s="1102">
        <v>0.9798895160235267</v>
      </c>
      <c r="F1204" s="1102">
        <v>0.97894271356202422</v>
      </c>
      <c r="G1204" s="1102">
        <v>0.96123201141157022</v>
      </c>
      <c r="H1204" s="1102">
        <v>1.0025058080987939</v>
      </c>
      <c r="I1204" s="1102">
        <v>0.99341779379135253</v>
      </c>
      <c r="K1204">
        <v>1.5424448966009963</v>
      </c>
      <c r="L1204">
        <v>0</v>
      </c>
      <c r="M1204">
        <v>1.6593338902078172E-3</v>
      </c>
      <c r="N1204">
        <v>0.14367813574980759</v>
      </c>
      <c r="O1204">
        <v>0.12093456045961615</v>
      </c>
      <c r="P1204">
        <v>1.5241344223531125E-2</v>
      </c>
      <c r="Q1204">
        <v>8.9925139256169745E-4</v>
      </c>
      <c r="R1204">
        <v>1.6555557706737312E-3</v>
      </c>
      <c r="S1204">
        <v>0.12109918108305204</v>
      </c>
      <c r="T1204">
        <v>0.80917805175737756</v>
      </c>
      <c r="U1204">
        <v>0</v>
      </c>
      <c r="V1204">
        <v>0.2045748453480829</v>
      </c>
      <c r="W1204">
        <v>9.5530826254587253E-2</v>
      </c>
      <c r="X1204">
        <v>2.6806601397952941E-2</v>
      </c>
      <c r="Y1204">
        <v>4.5058770539607683E-3</v>
      </c>
    </row>
    <row r="1205" spans="1:25" x14ac:dyDescent="0.25">
      <c r="A1205" s="1098"/>
      <c r="B1205" s="1457">
        <v>955</v>
      </c>
      <c r="C1205" s="1102">
        <v>1.0377426624283825</v>
      </c>
      <c r="D1205" s="1102">
        <v>1.0147787763189215</v>
      </c>
      <c r="E1205" s="1102">
        <v>1.0030387181844547</v>
      </c>
      <c r="F1205" s="1102">
        <v>0.99521657063123881</v>
      </c>
      <c r="G1205" s="1102">
        <v>1.0212486947782078</v>
      </c>
      <c r="H1205" s="1102">
        <v>0.9916521939525631</v>
      </c>
      <c r="I1205" s="1102">
        <v>1.002225092514778</v>
      </c>
      <c r="K1205">
        <v>1.5305117375084505</v>
      </c>
      <c r="L1205">
        <v>0</v>
      </c>
      <c r="M1205">
        <v>1.472749897760288E-3</v>
      </c>
      <c r="N1205">
        <v>0.13676408385104866</v>
      </c>
      <c r="O1205">
        <v>0.11851407832792589</v>
      </c>
      <c r="P1205">
        <v>1.5550557017208765E-2</v>
      </c>
      <c r="Q1205">
        <v>8.6375383012567467E-4</v>
      </c>
      <c r="R1205">
        <v>1.4693732404369188E-3</v>
      </c>
      <c r="S1205">
        <v>0.11397031865055188</v>
      </c>
      <c r="T1205">
        <v>0.82110254461901966</v>
      </c>
      <c r="U1205">
        <v>0</v>
      </c>
      <c r="V1205">
        <v>0.20282293176011881</v>
      </c>
      <c r="W1205">
        <v>8.9682782701262287E-2</v>
      </c>
      <c r="X1205">
        <v>2.7244913826802008E-2</v>
      </c>
      <c r="Y1205">
        <v>3.9991495817107616E-3</v>
      </c>
    </row>
    <row r="1206" spans="1:25" x14ac:dyDescent="0.25">
      <c r="A1206" s="1098"/>
      <c r="B1206" s="1457">
        <v>956</v>
      </c>
      <c r="C1206" s="1102">
        <v>0.99692453687723792</v>
      </c>
      <c r="D1206" s="1102">
        <v>1.0025027514442975</v>
      </c>
      <c r="E1206" s="1102">
        <v>1.0123510841488166</v>
      </c>
      <c r="F1206" s="1102">
        <v>0.99444671164399456</v>
      </c>
      <c r="G1206" s="1102">
        <v>1.007616691994659</v>
      </c>
      <c r="H1206" s="1102">
        <v>1.0180946966891631</v>
      </c>
      <c r="I1206" s="1102">
        <v>0.99347191484552766</v>
      </c>
      <c r="K1206">
        <v>1.5607341177415892</v>
      </c>
      <c r="L1206">
        <v>0</v>
      </c>
      <c r="M1206">
        <v>1.5499280708293859E-3</v>
      </c>
      <c r="N1206">
        <v>0.14804422824870828</v>
      </c>
      <c r="O1206">
        <v>0.12099932576095584</v>
      </c>
      <c r="P1206">
        <v>1.5770922192228747E-2</v>
      </c>
      <c r="Q1206">
        <v>9.1223708021372866E-4</v>
      </c>
      <c r="R1206">
        <v>1.546463658335589E-3</v>
      </c>
      <c r="S1206">
        <v>0.12033200365923537</v>
      </c>
      <c r="T1206">
        <v>0.81985834165633675</v>
      </c>
      <c r="U1206">
        <v>0</v>
      </c>
      <c r="V1206">
        <v>0.2058807989408403</v>
      </c>
      <c r="W1206">
        <v>9.6547119155769759E-2</v>
      </c>
      <c r="X1206">
        <v>2.8183641173412911E-2</v>
      </c>
      <c r="Y1206">
        <v>4.2089642863815131E-3</v>
      </c>
    </row>
    <row r="1207" spans="1:25" x14ac:dyDescent="0.25">
      <c r="A1207" s="1098"/>
      <c r="B1207" s="1457">
        <v>957</v>
      </c>
      <c r="C1207" s="1102">
        <v>1.0122027972950967</v>
      </c>
      <c r="D1207" s="1102">
        <v>0.98119865036562137</v>
      </c>
      <c r="E1207" s="1102">
        <v>1.0035194234378606</v>
      </c>
      <c r="F1207" s="1102">
        <v>0.99304794194541768</v>
      </c>
      <c r="G1207" s="1102">
        <v>0.95702105221075129</v>
      </c>
      <c r="H1207" s="1102">
        <v>1.0021412790693971</v>
      </c>
      <c r="I1207" s="1102">
        <v>1.0150555322121639</v>
      </c>
      <c r="K1207">
        <v>1.5519855407568548</v>
      </c>
      <c r="L1207">
        <v>0</v>
      </c>
      <c r="M1207">
        <v>1.5507223343345681E-3</v>
      </c>
      <c r="N1207">
        <v>0.14421876113831675</v>
      </c>
      <c r="O1207">
        <v>0.12108855006163016</v>
      </c>
      <c r="P1207">
        <v>1.5634082255812427E-2</v>
      </c>
      <c r="Q1207">
        <v>8.9799510902602482E-4</v>
      </c>
      <c r="R1207">
        <v>1.5472170630714452E-3</v>
      </c>
      <c r="S1207">
        <v>0.12143431331434032</v>
      </c>
      <c r="T1207">
        <v>0.81928185730755265</v>
      </c>
      <c r="U1207">
        <v>0</v>
      </c>
      <c r="V1207">
        <v>0.20287423222990444</v>
      </c>
      <c r="W1207">
        <v>9.4544227100920419E-2</v>
      </c>
      <c r="X1207">
        <v>2.7804012704902095E-2</v>
      </c>
      <c r="Y1207">
        <v>4.2110148057127091E-3</v>
      </c>
    </row>
    <row r="1208" spans="1:25" x14ac:dyDescent="0.25">
      <c r="A1208" s="1098"/>
      <c r="B1208" s="1457">
        <v>958</v>
      </c>
      <c r="C1208" s="1102">
        <v>1.0022997788077939</v>
      </c>
      <c r="D1208" s="1102">
        <v>1.023483078217865</v>
      </c>
      <c r="E1208" s="1102">
        <v>0.95835923999363504</v>
      </c>
      <c r="F1208" s="1102">
        <v>1.0247463997877655</v>
      </c>
      <c r="G1208" s="1102">
        <v>0.98679761778663644</v>
      </c>
      <c r="H1208" s="1102">
        <v>1.0373955373224084</v>
      </c>
      <c r="I1208" s="1102">
        <v>1.0089879884228619</v>
      </c>
      <c r="K1208">
        <v>1.5813682231925488</v>
      </c>
      <c r="L1208">
        <v>0</v>
      </c>
      <c r="M1208">
        <v>1.7405871933486119E-3</v>
      </c>
      <c r="N1208">
        <v>0.14121280966376154</v>
      </c>
      <c r="O1208">
        <v>0.12206698940205987</v>
      </c>
      <c r="P1208">
        <v>1.5528777278039023E-2</v>
      </c>
      <c r="Q1208">
        <v>8.5049326407996505E-4</v>
      </c>
      <c r="R1208">
        <v>1.7367657931059862E-3</v>
      </c>
      <c r="S1208">
        <v>0.12169082514098462</v>
      </c>
      <c r="T1208">
        <v>0.84851707551619471</v>
      </c>
      <c r="U1208">
        <v>0</v>
      </c>
      <c r="V1208">
        <v>0.20533289976374275</v>
      </c>
      <c r="W1208">
        <v>9.5130986978088777E-2</v>
      </c>
      <c r="X1208">
        <v>2.6314283621694606E-2</v>
      </c>
      <c r="Y1208">
        <v>4.7269039641446671E-3</v>
      </c>
    </row>
    <row r="1209" spans="1:25" x14ac:dyDescent="0.25">
      <c r="A1209" s="1098"/>
      <c r="B1209" s="1457">
        <v>959</v>
      </c>
      <c r="C1209" s="1102">
        <v>1.0156898051189165</v>
      </c>
      <c r="D1209" s="1102">
        <v>1.0084283877225848</v>
      </c>
      <c r="E1209" s="1102">
        <v>1.0057075220143481</v>
      </c>
      <c r="F1209" s="1102">
        <v>1.0000823501664651</v>
      </c>
      <c r="G1209" s="1102">
        <v>1.0053337352566367</v>
      </c>
      <c r="H1209" s="1102">
        <v>0.96086386197742768</v>
      </c>
      <c r="I1209" s="1102">
        <v>0.97495575563361825</v>
      </c>
      <c r="K1209">
        <v>1.5339785599311069</v>
      </c>
      <c r="L1209">
        <v>0</v>
      </c>
      <c r="M1209">
        <v>1.4534573027675658E-3</v>
      </c>
      <c r="N1209">
        <v>0.136054798172111</v>
      </c>
      <c r="O1209">
        <v>0.12020159184067816</v>
      </c>
      <c r="P1209">
        <v>1.5617691860240352E-2</v>
      </c>
      <c r="Q1209">
        <v>8.8717235356885668E-4</v>
      </c>
      <c r="R1209">
        <v>1.4500177636987816E-3</v>
      </c>
      <c r="S1209">
        <v>0.11128605883305072</v>
      </c>
      <c r="T1209">
        <v>0.82494123554602605</v>
      </c>
      <c r="U1209">
        <v>0</v>
      </c>
      <c r="V1209">
        <v>0.20431702238783725</v>
      </c>
      <c r="W1209">
        <v>8.9076752648553928E-2</v>
      </c>
      <c r="X1209">
        <v>2.765320547354785E-2</v>
      </c>
      <c r="Y1209">
        <v>3.946470354560745E-3</v>
      </c>
    </row>
    <row r="1210" spans="1:25" x14ac:dyDescent="0.25">
      <c r="A1210" s="1098"/>
      <c r="B1210" s="1457">
        <v>960</v>
      </c>
      <c r="C1210" s="1102">
        <v>1.015888804050135</v>
      </c>
      <c r="D1210" s="1102">
        <v>0.97407589781656778</v>
      </c>
      <c r="E1210" s="1102">
        <v>0.9814759768312602</v>
      </c>
      <c r="F1210" s="1102">
        <v>0.9871006743936166</v>
      </c>
      <c r="G1210" s="1102">
        <v>0.99960134552219126</v>
      </c>
      <c r="H1210" s="1102">
        <v>0.97777578189926428</v>
      </c>
      <c r="I1210" s="1102">
        <v>1.0239577498063994</v>
      </c>
      <c r="K1210">
        <v>1.538328837091427</v>
      </c>
      <c r="L1210">
        <v>0</v>
      </c>
      <c r="M1210">
        <v>1.5841803516562141E-3</v>
      </c>
      <c r="N1210">
        <v>0.137825552759025</v>
      </c>
      <c r="O1210">
        <v>0.12085951396329789</v>
      </c>
      <c r="P1210">
        <v>1.5338633175530712E-2</v>
      </c>
      <c r="Q1210">
        <v>8.7699156704470636E-4</v>
      </c>
      <c r="R1210">
        <v>1.580513921698208E-3</v>
      </c>
      <c r="S1210">
        <v>0.12055101613333015</v>
      </c>
      <c r="T1210">
        <v>0.81581693477140305</v>
      </c>
      <c r="U1210">
        <v>0</v>
      </c>
      <c r="V1210">
        <v>0.20435588093993323</v>
      </c>
      <c r="W1210">
        <v>9.1551779195014518E-2</v>
      </c>
      <c r="X1210">
        <v>2.6854563138216055E-2</v>
      </c>
      <c r="Y1210">
        <v>4.3016378785882617E-3</v>
      </c>
    </row>
    <row r="1211" spans="1:25" x14ac:dyDescent="0.25">
      <c r="A1211" s="1098"/>
      <c r="B1211" s="1457">
        <v>961</v>
      </c>
      <c r="C1211" s="1102">
        <v>0.99459687484843862</v>
      </c>
      <c r="D1211" s="1102">
        <v>1.0159365647075729</v>
      </c>
      <c r="E1211" s="1102">
        <v>1.0103963762189492</v>
      </c>
      <c r="F1211" s="1102">
        <v>0.9982877779919771</v>
      </c>
      <c r="G1211" s="1102">
        <v>0.98819499261011323</v>
      </c>
      <c r="H1211" s="1102">
        <v>1.0347170270147648</v>
      </c>
      <c r="I1211" s="1102">
        <v>0.96113892281764668</v>
      </c>
      <c r="K1211">
        <v>1.5619805528249058</v>
      </c>
      <c r="L1211">
        <v>0</v>
      </c>
      <c r="M1211">
        <v>1.5736409470593655E-3</v>
      </c>
      <c r="N1211">
        <v>0.1494295842387485</v>
      </c>
      <c r="O1211">
        <v>0.12080849939480542</v>
      </c>
      <c r="P1211">
        <v>1.5735943984789558E-2</v>
      </c>
      <c r="Q1211">
        <v>9.0768603729305807E-4</v>
      </c>
      <c r="R1211">
        <v>1.5701728089209436E-3</v>
      </c>
      <c r="S1211">
        <v>0.11703352918815346</v>
      </c>
      <c r="T1211">
        <v>0.82315315793721744</v>
      </c>
      <c r="U1211">
        <v>0</v>
      </c>
      <c r="V1211">
        <v>0.20500000869852972</v>
      </c>
      <c r="W1211">
        <v>9.7562848796827986E-2</v>
      </c>
      <c r="X1211">
        <v>2.8079269908122664E-2</v>
      </c>
      <c r="Y1211">
        <v>4.2734927785554582E-3</v>
      </c>
    </row>
    <row r="1212" spans="1:25" x14ac:dyDescent="0.25">
      <c r="A1212" s="1098"/>
      <c r="B1212" s="1457">
        <v>962</v>
      </c>
      <c r="C1212" s="1102">
        <v>0.99533240219404473</v>
      </c>
      <c r="D1212" s="1102">
        <v>0.96469330126994857</v>
      </c>
      <c r="E1212" s="1102">
        <v>1.0301256102616421</v>
      </c>
      <c r="F1212" s="1102">
        <v>1.0180184687604821</v>
      </c>
      <c r="G1212" s="1102">
        <v>1.0085609997456126</v>
      </c>
      <c r="H1212" s="1102">
        <v>0.98550782891445643</v>
      </c>
      <c r="I1212" s="1102">
        <v>1.0388281075337176</v>
      </c>
      <c r="K1212">
        <v>1.5941578728823049</v>
      </c>
      <c r="L1212">
        <v>0</v>
      </c>
      <c r="M1212">
        <v>1.4825314301842912E-3</v>
      </c>
      <c r="N1212">
        <v>0.14939819651063757</v>
      </c>
      <c r="O1212">
        <v>0.12440174749911355</v>
      </c>
      <c r="P1212">
        <v>1.6352758283109736E-2</v>
      </c>
      <c r="Q1212">
        <v>9.4491802458037679E-4</v>
      </c>
      <c r="R1212">
        <v>1.4791356631897606E-3</v>
      </c>
      <c r="S1212">
        <v>0.12637725275039036</v>
      </c>
      <c r="T1212">
        <v>0.83810966932217412</v>
      </c>
      <c r="U1212">
        <v>0</v>
      </c>
      <c r="V1212">
        <v>0.20849028275207585</v>
      </c>
      <c r="W1212">
        <v>9.6423145812709138E-2</v>
      </c>
      <c r="X1212">
        <v>2.9637578016244597E-2</v>
      </c>
      <c r="Y1212">
        <v>4.0257196782622013E-3</v>
      </c>
    </row>
    <row r="1213" spans="1:25" x14ac:dyDescent="0.25">
      <c r="A1213" s="1098"/>
      <c r="B1213" s="1457">
        <v>963</v>
      </c>
      <c r="C1213" s="1102">
        <v>0.9946071332759967</v>
      </c>
      <c r="D1213" s="1102">
        <v>0.9744945924627747</v>
      </c>
      <c r="E1213" s="1102">
        <v>0.97340521239258426</v>
      </c>
      <c r="F1213" s="1102">
        <v>1.0119238568875177</v>
      </c>
      <c r="G1213" s="1102">
        <v>1.034668223339315</v>
      </c>
      <c r="H1213" s="1102">
        <v>1.028761595304015</v>
      </c>
      <c r="I1213" s="1102">
        <v>1.0200585761810164</v>
      </c>
      <c r="K1213">
        <v>1.5900410298377312</v>
      </c>
      <c r="L1213">
        <v>0</v>
      </c>
      <c r="M1213">
        <v>1.7312883429804081E-3</v>
      </c>
      <c r="N1213">
        <v>0.14700683371544343</v>
      </c>
      <c r="O1213">
        <v>0.12371797828244153</v>
      </c>
      <c r="P1213">
        <v>1.5672279120128977E-2</v>
      </c>
      <c r="Q1213">
        <v>8.8804954057896106E-4</v>
      </c>
      <c r="R1213">
        <v>1.7274811214968791E-3</v>
      </c>
      <c r="S1213">
        <v>0.12684983166058816</v>
      </c>
      <c r="T1213">
        <v>0.83687782972544333</v>
      </c>
      <c r="U1213">
        <v>0</v>
      </c>
      <c r="V1213">
        <v>0.20899717207070373</v>
      </c>
      <c r="W1213">
        <v>9.812853775647E-2</v>
      </c>
      <c r="X1213">
        <v>2.7204691038701028E-2</v>
      </c>
      <c r="Y1213">
        <v>4.7016341487158509E-3</v>
      </c>
    </row>
    <row r="1214" spans="1:25" x14ac:dyDescent="0.25">
      <c r="A1214" s="1098"/>
      <c r="B1214" s="1457">
        <v>964</v>
      </c>
      <c r="C1214" s="1102">
        <v>1.0251566850007345</v>
      </c>
      <c r="D1214" s="1102">
        <v>1.0265979180083853</v>
      </c>
      <c r="E1214" s="1102">
        <v>0.99051821834839338</v>
      </c>
      <c r="F1214" s="1102">
        <v>1.0137441003604952</v>
      </c>
      <c r="G1214" s="1102">
        <v>1.0064535569786635</v>
      </c>
      <c r="H1214" s="1102">
        <v>0.96630236077831377</v>
      </c>
      <c r="I1214" s="1102">
        <v>0.99244071006793588</v>
      </c>
      <c r="K1214">
        <v>1.5400206082107326</v>
      </c>
      <c r="L1214">
        <v>0</v>
      </c>
      <c r="M1214">
        <v>1.4818460909456273E-3</v>
      </c>
      <c r="N1214">
        <v>0.13249102530942078</v>
      </c>
      <c r="O1214">
        <v>0.1199348734436211</v>
      </c>
      <c r="P1214">
        <v>1.5603330766587443E-2</v>
      </c>
      <c r="Q1214">
        <v>8.5907363525364517E-4</v>
      </c>
      <c r="R1214">
        <v>1.478354298985391E-3</v>
      </c>
      <c r="S1214">
        <v>0.1115459772440078</v>
      </c>
      <c r="T1214">
        <v>0.83722787598145454</v>
      </c>
      <c r="U1214">
        <v>0</v>
      </c>
      <c r="V1214">
        <v>0.20374432515738441</v>
      </c>
      <c r="W1214">
        <v>8.7531329916822401E-2</v>
      </c>
      <c r="X1214">
        <v>2.7062695485664531E-2</v>
      </c>
      <c r="Y1214">
        <v>4.0235930624745488E-3</v>
      </c>
    </row>
    <row r="1215" spans="1:25" x14ac:dyDescent="0.25">
      <c r="A1215" s="1098"/>
      <c r="B1215" s="1457">
        <v>965</v>
      </c>
      <c r="C1215" s="1102">
        <v>1.0063481878128324</v>
      </c>
      <c r="D1215" s="1102">
        <v>1.0051998631354897</v>
      </c>
      <c r="E1215" s="1102">
        <v>1.0113512103802931</v>
      </c>
      <c r="F1215" s="1102">
        <v>0.989276540472107</v>
      </c>
      <c r="G1215" s="1102">
        <v>1.0277644760017646</v>
      </c>
      <c r="H1215" s="1102">
        <v>0.99769949610712627</v>
      </c>
      <c r="I1215" s="1102">
        <v>0.9847118649815868</v>
      </c>
      <c r="K1215">
        <v>1.5432588116993093</v>
      </c>
      <c r="L1215">
        <v>0</v>
      </c>
      <c r="M1215">
        <v>1.5059319590401631E-3</v>
      </c>
      <c r="N1215">
        <v>0.14340175050894249</v>
      </c>
      <c r="O1215">
        <v>0.12004151823717957</v>
      </c>
      <c r="P1215">
        <v>1.5644352698995605E-2</v>
      </c>
      <c r="Q1215">
        <v>9.017945493499564E-4</v>
      </c>
      <c r="R1215">
        <v>1.5024965435955935E-3</v>
      </c>
      <c r="S1215">
        <v>0.11640885651793126</v>
      </c>
      <c r="T1215">
        <v>0.8156607821489581</v>
      </c>
      <c r="U1215">
        <v>0</v>
      </c>
      <c r="V1215">
        <v>0.20564622272284946</v>
      </c>
      <c r="W1215">
        <v>9.3574600058370816E-2</v>
      </c>
      <c r="X1215">
        <v>2.7893069378360367E-2</v>
      </c>
      <c r="Y1215">
        <v>4.0893002938147231E-3</v>
      </c>
    </row>
    <row r="1216" spans="1:25" x14ac:dyDescent="0.25">
      <c r="A1216" s="1098"/>
      <c r="B1216" s="1457">
        <v>966</v>
      </c>
      <c r="C1216" s="1102">
        <v>1.0035726292668861</v>
      </c>
      <c r="D1216" s="1102">
        <v>1.0161206622439711</v>
      </c>
      <c r="E1216" s="1102">
        <v>0.98617237399948243</v>
      </c>
      <c r="F1216" s="1102">
        <v>0.97927524700984914</v>
      </c>
      <c r="G1216" s="1102">
        <v>1.0302149123619315</v>
      </c>
      <c r="H1216" s="1102">
        <v>0.99435200530454204</v>
      </c>
      <c r="I1216" s="1102">
        <v>0.98830849516705177</v>
      </c>
      <c r="K1216">
        <v>1.5273122352323689</v>
      </c>
      <c r="L1216">
        <v>0</v>
      </c>
      <c r="M1216">
        <v>1.574502263126191E-3</v>
      </c>
      <c r="N1216">
        <v>0.13894604556479159</v>
      </c>
      <c r="O1216">
        <v>0.11907731382524607</v>
      </c>
      <c r="P1216">
        <v>1.5250861233717177E-2</v>
      </c>
      <c r="Q1216">
        <v>8.7717212166539711E-4</v>
      </c>
      <c r="R1216">
        <v>1.570888333418872E-3</v>
      </c>
      <c r="S1216">
        <v>0.11602347400211507</v>
      </c>
      <c r="T1216">
        <v>0.80904338733156111</v>
      </c>
      <c r="U1216">
        <v>0</v>
      </c>
      <c r="V1216">
        <v>0.20510275639520623</v>
      </c>
      <c r="W1216">
        <v>9.2035503443952463E-2</v>
      </c>
      <c r="X1216">
        <v>2.6683895043454257E-2</v>
      </c>
      <c r="Y1216">
        <v>4.2754402003662324E-3</v>
      </c>
    </row>
    <row r="1217" spans="1:25" x14ac:dyDescent="0.25">
      <c r="A1217" s="1098"/>
      <c r="B1217" s="1457">
        <v>967</v>
      </c>
      <c r="C1217" s="1102">
        <v>1.0137370297964161</v>
      </c>
      <c r="D1217" s="1102">
        <v>0.99782497539161064</v>
      </c>
      <c r="E1217" s="1102">
        <v>0.9829145425874628</v>
      </c>
      <c r="F1217" s="1102">
        <v>0.98653775008920375</v>
      </c>
      <c r="G1217" s="1102">
        <v>0.96738054483445213</v>
      </c>
      <c r="H1217" s="1102">
        <v>1.0271265380389214</v>
      </c>
      <c r="I1217" s="1102">
        <v>0.99696542156493217</v>
      </c>
      <c r="K1217">
        <v>1.5430445496609739</v>
      </c>
      <c r="L1217">
        <v>0</v>
      </c>
      <c r="M1217">
        <v>1.6398664593574911E-3</v>
      </c>
      <c r="N1217">
        <v>0.14330718958473479</v>
      </c>
      <c r="O1217">
        <v>0.11987543041591625</v>
      </c>
      <c r="P1217">
        <v>1.5310283230988353E-2</v>
      </c>
      <c r="Q1217">
        <v>8.7173723310500018E-4</v>
      </c>
      <c r="R1217">
        <v>1.6362382920730811E-3</v>
      </c>
      <c r="S1217">
        <v>0.11978100504096226</v>
      </c>
      <c r="T1217">
        <v>0.8152571875554907</v>
      </c>
      <c r="U1217">
        <v>0</v>
      </c>
      <c r="V1217">
        <v>0.20233696439371535</v>
      </c>
      <c r="W1217">
        <v>9.5110493509867097E-2</v>
      </c>
      <c r="X1217">
        <v>2.6744585618264378E-2</v>
      </c>
      <c r="Y1217">
        <v>4.4533012452149072E-3</v>
      </c>
    </row>
    <row r="1218" spans="1:25" x14ac:dyDescent="0.25">
      <c r="A1218" s="1098"/>
      <c r="B1218" s="1457">
        <v>968</v>
      </c>
      <c r="C1218" s="1102">
        <v>1.0225096848332302</v>
      </c>
      <c r="D1218" s="1102">
        <v>0.98047990704343735</v>
      </c>
      <c r="E1218" s="1102">
        <v>1.0052755706427148</v>
      </c>
      <c r="F1218" s="1102">
        <v>1.0219488393749296</v>
      </c>
      <c r="G1218" s="1102">
        <v>0.95736588389694754</v>
      </c>
      <c r="H1218" s="1102">
        <v>0.99052437082972822</v>
      </c>
      <c r="I1218" s="1102">
        <v>0.98539261804621925</v>
      </c>
      <c r="K1218">
        <v>1.5690971308411619</v>
      </c>
      <c r="L1218">
        <v>0</v>
      </c>
      <c r="M1218">
        <v>1.5168665020186616E-3</v>
      </c>
      <c r="N1218">
        <v>0.14181758384172302</v>
      </c>
      <c r="O1218">
        <v>0.12262120988198474</v>
      </c>
      <c r="P1218">
        <v>1.5915336294265354E-2</v>
      </c>
      <c r="Q1218">
        <v>8.9082065453843535E-4</v>
      </c>
      <c r="R1218">
        <v>1.5134081761445357E-3</v>
      </c>
      <c r="S1218">
        <v>0.11607981064515427</v>
      </c>
      <c r="T1218">
        <v>0.84300738125399788</v>
      </c>
      <c r="U1218">
        <v>0</v>
      </c>
      <c r="V1218">
        <v>0.20356825517592517</v>
      </c>
      <c r="W1218">
        <v>9.2873456540725777E-2</v>
      </c>
      <c r="X1218">
        <v>2.820773671812609E-2</v>
      </c>
      <c r="Y1218">
        <v>4.1189981605942415E-3</v>
      </c>
    </row>
    <row r="1219" spans="1:25" x14ac:dyDescent="0.25">
      <c r="A1219" s="1098"/>
      <c r="B1219" s="1457">
        <v>969</v>
      </c>
      <c r="C1219" s="1102">
        <v>0.99900291871392621</v>
      </c>
      <c r="D1219" s="1102">
        <v>1.0124964590970995</v>
      </c>
      <c r="E1219" s="1102">
        <v>1.0118903085488804</v>
      </c>
      <c r="F1219" s="1102">
        <v>1.0185637282243829</v>
      </c>
      <c r="G1219" s="1102">
        <v>1.0062762048671077</v>
      </c>
      <c r="H1219" s="1102">
        <v>1.026351969301748</v>
      </c>
      <c r="I1219" s="1102">
        <v>1.0111823323529854</v>
      </c>
      <c r="K1219">
        <v>1.5855755604846542</v>
      </c>
      <c r="L1219">
        <v>0</v>
      </c>
      <c r="M1219">
        <v>1.5550313046191894E-3</v>
      </c>
      <c r="N1219">
        <v>0.14832800209516156</v>
      </c>
      <c r="O1219">
        <v>0.12213492271011056</v>
      </c>
      <c r="P1219">
        <v>1.6076521524702701E-2</v>
      </c>
      <c r="Q1219">
        <v>9.0630406807429569E-4</v>
      </c>
      <c r="R1219">
        <v>1.5515844908641819E-3</v>
      </c>
      <c r="S1219">
        <v>0.12231800538302266</v>
      </c>
      <c r="T1219">
        <v>0.83977209321370461</v>
      </c>
      <c r="U1219">
        <v>0</v>
      </c>
      <c r="V1219">
        <v>0.20659054320452924</v>
      </c>
      <c r="W1219">
        <v>9.6758425047762123E-2</v>
      </c>
      <c r="X1219">
        <v>2.8471288546897427E-2</v>
      </c>
      <c r="Y1219">
        <v>4.2229015044423519E-3</v>
      </c>
    </row>
    <row r="1220" spans="1:25" x14ac:dyDescent="0.25">
      <c r="A1220" s="1098"/>
      <c r="B1220" s="1457">
        <v>970</v>
      </c>
      <c r="C1220" s="1102">
        <v>1.0133076779712988</v>
      </c>
      <c r="D1220" s="1102">
        <v>1.0341413191475441</v>
      </c>
      <c r="E1220" s="1102">
        <v>0.99543137893322631</v>
      </c>
      <c r="F1220" s="1102">
        <v>1.0043915460629587</v>
      </c>
      <c r="G1220" s="1102">
        <v>0.98931633818867415</v>
      </c>
      <c r="H1220" s="1102">
        <v>1.0045531808109089</v>
      </c>
      <c r="I1220" s="1102">
        <v>1.0111025899393293</v>
      </c>
      <c r="K1220">
        <v>1.5481172255856508</v>
      </c>
      <c r="L1220">
        <v>0</v>
      </c>
      <c r="M1220">
        <v>1.5340600148019703E-3</v>
      </c>
      <c r="N1220">
        <v>0.13922331343980066</v>
      </c>
      <c r="O1220">
        <v>0.11954965669307034</v>
      </c>
      <c r="P1220">
        <v>1.56237529702311E-2</v>
      </c>
      <c r="Q1220">
        <v>8.7101993812095278E-4</v>
      </c>
      <c r="R1220">
        <v>1.5305733977490881E-3</v>
      </c>
      <c r="S1220">
        <v>0.11734008810719855</v>
      </c>
      <c r="T1220">
        <v>0.8291769355677695</v>
      </c>
      <c r="U1220">
        <v>0</v>
      </c>
      <c r="V1220">
        <v>0.20324994188494031</v>
      </c>
      <c r="W1220">
        <v>9.1709385412139618E-2</v>
      </c>
      <c r="X1220">
        <v>2.7210901954145345E-2</v>
      </c>
      <c r="Y1220">
        <v>4.1657162352880519E-3</v>
      </c>
    </row>
    <row r="1221" spans="1:25" x14ac:dyDescent="0.25">
      <c r="A1221" s="1098"/>
      <c r="B1221" s="1457">
        <v>971</v>
      </c>
      <c r="C1221" s="1102">
        <v>0.99574356984977475</v>
      </c>
      <c r="D1221" s="1102">
        <v>0.99893723618649855</v>
      </c>
      <c r="E1221" s="1102">
        <v>1.0008965565224761</v>
      </c>
      <c r="F1221" s="1102">
        <v>1.0136301690511933</v>
      </c>
      <c r="G1221" s="1102">
        <v>0.99380615316783882</v>
      </c>
      <c r="H1221" s="1102">
        <v>0.97706901222571685</v>
      </c>
      <c r="I1221" s="1102">
        <v>1.0066033370775758</v>
      </c>
      <c r="K1221">
        <v>1.5674111648469056</v>
      </c>
      <c r="L1221">
        <v>0</v>
      </c>
      <c r="M1221">
        <v>1.5302531041426703E-3</v>
      </c>
      <c r="N1221">
        <v>0.14118293063701748</v>
      </c>
      <c r="O1221">
        <v>0.12259088179604662</v>
      </c>
      <c r="P1221">
        <v>1.5854670262634745E-2</v>
      </c>
      <c r="Q1221">
        <v>9.0386143567284475E-4</v>
      </c>
      <c r="R1221">
        <v>1.5266960310046606E-3</v>
      </c>
      <c r="S1221">
        <v>0.11912368438810558</v>
      </c>
      <c r="T1221">
        <v>0.83643786991273295</v>
      </c>
      <c r="U1221">
        <v>0</v>
      </c>
      <c r="V1221">
        <v>0.20643797112878343</v>
      </c>
      <c r="W1221">
        <v>9.2698196720657322E-2</v>
      </c>
      <c r="X1221">
        <v>2.8029492317207506E-2</v>
      </c>
      <c r="Y1221">
        <v>4.1551633211833229E-3</v>
      </c>
    </row>
    <row r="1222" spans="1:25" x14ac:dyDescent="0.25">
      <c r="A1222" s="1098"/>
      <c r="B1222" s="1457">
        <v>972</v>
      </c>
      <c r="C1222" s="1102">
        <v>1.0130638301767529</v>
      </c>
      <c r="D1222" s="1102">
        <v>1.0074823608557206</v>
      </c>
      <c r="E1222" s="1102">
        <v>1.0354284272118908</v>
      </c>
      <c r="F1222" s="1102">
        <v>1.0262622205495708</v>
      </c>
      <c r="G1222" s="1102">
        <v>0.99210257471661079</v>
      </c>
      <c r="H1222" s="1102">
        <v>1.0235555319858574</v>
      </c>
      <c r="I1222" s="1102">
        <v>0.97755162157077025</v>
      </c>
      <c r="K1222">
        <v>1.5856735541100484</v>
      </c>
      <c r="L1222">
        <v>0</v>
      </c>
      <c r="M1222">
        <v>1.4625221832539478E-3</v>
      </c>
      <c r="N1222">
        <v>0.14976725656045078</v>
      </c>
      <c r="O1222">
        <v>0.12210209044807409</v>
      </c>
      <c r="P1222">
        <v>1.6329376129421161E-2</v>
      </c>
      <c r="Q1222">
        <v>9.1734519057231571E-4</v>
      </c>
      <c r="R1222">
        <v>1.4592793168920232E-3</v>
      </c>
      <c r="S1222">
        <v>0.11690739907634405</v>
      </c>
      <c r="T1222">
        <v>0.84454305896655801</v>
      </c>
      <c r="U1222">
        <v>0</v>
      </c>
      <c r="V1222">
        <v>0.20536562005568593</v>
      </c>
      <c r="W1222">
        <v>9.6364904952900746E-2</v>
      </c>
      <c r="X1222">
        <v>2.9408068347120564E-2</v>
      </c>
      <c r="Y1222">
        <v>3.9716772492825597E-3</v>
      </c>
    </row>
    <row r="1223" spans="1:25" x14ac:dyDescent="0.25">
      <c r="A1223" s="1098"/>
      <c r="B1223" s="1457">
        <v>973</v>
      </c>
      <c r="C1223" s="1102">
        <v>0.98270877575005899</v>
      </c>
      <c r="D1223" s="1102">
        <v>1.0003646247907765</v>
      </c>
      <c r="E1223" s="1102">
        <v>1.0130214024610666</v>
      </c>
      <c r="F1223" s="1102">
        <v>1.002159547717246</v>
      </c>
      <c r="G1223" s="1102">
        <v>0.9911061193486399</v>
      </c>
      <c r="H1223" s="1102">
        <v>0.99262559780387716</v>
      </c>
      <c r="I1223" s="1102">
        <v>1.0062387637395536</v>
      </c>
      <c r="K1223">
        <v>1.5687225373078364</v>
      </c>
      <c r="L1223">
        <v>0</v>
      </c>
      <c r="M1223">
        <v>1.5320063144932405E-3</v>
      </c>
      <c r="N1223">
        <v>0.14662030318916403</v>
      </c>
      <c r="O1223">
        <v>0.12236787334708904</v>
      </c>
      <c r="P1223">
        <v>1.5897404418505654E-2</v>
      </c>
      <c r="Q1223">
        <v>9.2686369545562895E-4</v>
      </c>
      <c r="R1223">
        <v>1.5284936804676279E-3</v>
      </c>
      <c r="S1223">
        <v>0.1216960996544931</v>
      </c>
      <c r="T1223">
        <v>0.82617301590714687</v>
      </c>
      <c r="U1223">
        <v>0</v>
      </c>
      <c r="V1223">
        <v>0.20682178609467414</v>
      </c>
      <c r="W1223">
        <v>9.5580797829100395E-2</v>
      </c>
      <c r="X1223">
        <v>2.8481849875806552E-2</v>
      </c>
      <c r="Y1223">
        <v>4.1600559304265355E-3</v>
      </c>
    </row>
    <row r="1224" spans="1:25" x14ac:dyDescent="0.25">
      <c r="A1224" s="1098"/>
      <c r="B1224" s="1457">
        <v>974</v>
      </c>
      <c r="C1224" s="1102">
        <v>1.0274070539758651</v>
      </c>
      <c r="D1224" s="1102">
        <v>1.0435723731012772</v>
      </c>
      <c r="E1224" s="1102">
        <v>0.96749535835149214</v>
      </c>
      <c r="F1224" s="1102">
        <v>0.99876820800768495</v>
      </c>
      <c r="G1224" s="1102">
        <v>0.99389082206323098</v>
      </c>
      <c r="H1224" s="1102">
        <v>1.0178277443115855</v>
      </c>
      <c r="I1224" s="1102">
        <v>0.98940900098959816</v>
      </c>
      <c r="K1224">
        <v>1.5312903451387068</v>
      </c>
      <c r="L1224">
        <v>0</v>
      </c>
      <c r="M1224">
        <v>1.6166912505963115E-3</v>
      </c>
      <c r="N1224">
        <v>0.13483538352190091</v>
      </c>
      <c r="O1224">
        <v>0.1181554080468615</v>
      </c>
      <c r="P1224">
        <v>1.5188810695807353E-2</v>
      </c>
      <c r="Q1224">
        <v>8.312764680107076E-4</v>
      </c>
      <c r="R1224">
        <v>1.613061147307392E-3</v>
      </c>
      <c r="S1224">
        <v>0.11361405155242499</v>
      </c>
      <c r="T1224">
        <v>0.82639316914938088</v>
      </c>
      <c r="U1224">
        <v>0</v>
      </c>
      <c r="V1224">
        <v>0.20171762186229591</v>
      </c>
      <c r="W1224">
        <v>9.032817798183404E-2</v>
      </c>
      <c r="X1224">
        <v>2.5839855265973165E-2</v>
      </c>
      <c r="Y1224">
        <v>4.3902206975064218E-3</v>
      </c>
    </row>
    <row r="1225" spans="1:25" x14ac:dyDescent="0.25">
      <c r="A1225" s="1098"/>
      <c r="B1225" s="1457">
        <v>975</v>
      </c>
      <c r="C1225" s="1102">
        <v>0.97846908198681803</v>
      </c>
      <c r="D1225" s="1102">
        <v>1.0220331667820528</v>
      </c>
      <c r="E1225" s="1102">
        <v>1.0050177940129261</v>
      </c>
      <c r="F1225" s="1102">
        <v>1.021633838267193</v>
      </c>
      <c r="G1225" s="1102">
        <v>0.99461441909596582</v>
      </c>
      <c r="H1225" s="1102">
        <v>1.0327164329867093</v>
      </c>
      <c r="I1225" s="1102">
        <v>1.0042256303951664</v>
      </c>
      <c r="K1225">
        <v>1.5958892846892523</v>
      </c>
      <c r="L1225">
        <v>0</v>
      </c>
      <c r="M1225">
        <v>1.6098574407263212E-3</v>
      </c>
      <c r="N1225">
        <v>0.15040520021976322</v>
      </c>
      <c r="O1225">
        <v>0.1230279984248621</v>
      </c>
      <c r="P1225">
        <v>1.6070308929978572E-2</v>
      </c>
      <c r="Q1225">
        <v>9.1534398219469222E-4</v>
      </c>
      <c r="R1225">
        <v>1.6063010610004101E-3</v>
      </c>
      <c r="S1225">
        <v>0.12372811915224088</v>
      </c>
      <c r="T1225">
        <v>0.84276487753883811</v>
      </c>
      <c r="U1225">
        <v>0</v>
      </c>
      <c r="V1225">
        <v>0.20769892488015668</v>
      </c>
      <c r="W1225">
        <v>9.851234275741147E-2</v>
      </c>
      <c r="X1225">
        <v>2.8397903212489781E-2</v>
      </c>
      <c r="Y1225">
        <v>4.3718219710406686E-3</v>
      </c>
    </row>
    <row r="1226" spans="1:25" x14ac:dyDescent="0.25">
      <c r="A1226" s="1098"/>
      <c r="B1226" s="1457">
        <v>976</v>
      </c>
      <c r="C1226" s="1102">
        <v>1.0073503018185526</v>
      </c>
      <c r="D1226" s="1102">
        <v>0.98169212373998405</v>
      </c>
      <c r="E1226" s="1102">
        <v>0.97384308224977467</v>
      </c>
      <c r="F1226" s="1102">
        <v>1.0267757504911283</v>
      </c>
      <c r="G1226" s="1102">
        <v>1.0225869235227851</v>
      </c>
      <c r="H1226" s="1102">
        <v>0.9857680435022449</v>
      </c>
      <c r="I1226" s="1102">
        <v>1.008332399014755</v>
      </c>
      <c r="K1226">
        <v>1.5805445380451382</v>
      </c>
      <c r="L1226">
        <v>0</v>
      </c>
      <c r="M1226">
        <v>1.6330207658772208E-3</v>
      </c>
      <c r="N1226">
        <v>0.13883359041120427</v>
      </c>
      <c r="O1226">
        <v>0.12376704449956942</v>
      </c>
      <c r="P1226">
        <v>1.5734911239934764E-2</v>
      </c>
      <c r="Q1226">
        <v>8.7464105119872853E-4</v>
      </c>
      <c r="R1226">
        <v>1.6292761435309738E-3</v>
      </c>
      <c r="S1226">
        <v>0.11997925747243407</v>
      </c>
      <c r="T1226">
        <v>0.84913053017324536</v>
      </c>
      <c r="U1226">
        <v>0</v>
      </c>
      <c r="V1226">
        <v>0.20791852070101668</v>
      </c>
      <c r="W1226">
        <v>9.2648192500129095E-2</v>
      </c>
      <c r="X1226">
        <v>2.7227242046797554E-2</v>
      </c>
      <c r="Y1226">
        <v>4.4343525719549417E-3</v>
      </c>
    </row>
    <row r="1227" spans="1:25" x14ac:dyDescent="0.25">
      <c r="A1227" s="1098"/>
      <c r="B1227" s="1457">
        <v>977</v>
      </c>
      <c r="C1227" s="1102">
        <v>1.0421882745383755</v>
      </c>
      <c r="D1227" s="1102">
        <v>1.0028695480964764</v>
      </c>
      <c r="E1227" s="1102">
        <v>0.99008471800825026</v>
      </c>
      <c r="F1227" s="1102">
        <v>1.0181119073338127</v>
      </c>
      <c r="G1227" s="1102">
        <v>1.0212172027273525</v>
      </c>
      <c r="H1227" s="1102">
        <v>1.0315696608809435</v>
      </c>
      <c r="I1227" s="1102">
        <v>1.0167757956478713</v>
      </c>
      <c r="K1227">
        <v>1.5670042978763674</v>
      </c>
      <c r="L1227">
        <v>0</v>
      </c>
      <c r="M1227">
        <v>1.5807021128421803E-3</v>
      </c>
      <c r="N1227">
        <v>0.14116736542989811</v>
      </c>
      <c r="O1227">
        <v>0.12042276785418136</v>
      </c>
      <c r="P1227">
        <v>1.5753765369477559E-2</v>
      </c>
      <c r="Q1227">
        <v>8.5259076015862612E-4</v>
      </c>
      <c r="R1227">
        <v>1.5772319909385926E-3</v>
      </c>
      <c r="S1227">
        <v>0.1191705331749888</v>
      </c>
      <c r="T1227">
        <v>0.8408644206757464</v>
      </c>
      <c r="U1227">
        <v>0</v>
      </c>
      <c r="V1227">
        <v>0.20396931394401541</v>
      </c>
      <c r="W1227">
        <v>9.3287645516884329E-2</v>
      </c>
      <c r="X1227">
        <v>2.7226659727970337E-2</v>
      </c>
      <c r="Y1227">
        <v>4.2927055449487727E-3</v>
      </c>
    </row>
    <row r="1228" spans="1:25" x14ac:dyDescent="0.25">
      <c r="A1228" s="1098"/>
      <c r="B1228" s="1457">
        <v>978</v>
      </c>
      <c r="C1228" s="1102">
        <v>1.0068759344787221</v>
      </c>
      <c r="D1228" s="1102">
        <v>0.9801122678449693</v>
      </c>
      <c r="E1228" s="1102">
        <v>0.97590216454174883</v>
      </c>
      <c r="F1228" s="1102">
        <v>0.99877404229192157</v>
      </c>
      <c r="G1228" s="1102">
        <v>1.0091235130838416</v>
      </c>
      <c r="H1228" s="1102">
        <v>0.98456590548698397</v>
      </c>
      <c r="I1228" s="1102">
        <v>0.96890773994285706</v>
      </c>
      <c r="K1228">
        <v>1.5477245100923813</v>
      </c>
      <c r="L1228">
        <v>0</v>
      </c>
      <c r="M1228">
        <v>1.6228441319785759E-3</v>
      </c>
      <c r="N1228">
        <v>0.13882997885878282</v>
      </c>
      <c r="O1228">
        <v>0.12189138694690257</v>
      </c>
      <c r="P1228">
        <v>1.5357459808725755E-2</v>
      </c>
      <c r="Q1228">
        <v>8.7751370634867347E-4</v>
      </c>
      <c r="R1228">
        <v>1.6191112454962064E-3</v>
      </c>
      <c r="S1228">
        <v>0.11520009608748005</v>
      </c>
      <c r="T1228">
        <v>0.82583604333748228</v>
      </c>
      <c r="U1228">
        <v>0</v>
      </c>
      <c r="V1228">
        <v>0.20595032329027588</v>
      </c>
      <c r="W1228">
        <v>9.2530196667965789E-2</v>
      </c>
      <c r="X1228">
        <v>2.6848557204537438E-2</v>
      </c>
      <c r="Y1228">
        <v>4.4066870703620403E-3</v>
      </c>
    </row>
    <row r="1229" spans="1:25" x14ac:dyDescent="0.25">
      <c r="A1229" s="1098"/>
      <c r="B1229" s="1457">
        <v>979</v>
      </c>
      <c r="C1229" s="1102">
        <v>0.99055369482075639</v>
      </c>
      <c r="D1229" s="1102">
        <v>1.0132714419583679</v>
      </c>
      <c r="E1229" s="1102">
        <v>0.99992381655683626</v>
      </c>
      <c r="F1229" s="1102">
        <v>0.97560942102922577</v>
      </c>
      <c r="G1229" s="1102">
        <v>0.96336792621464018</v>
      </c>
      <c r="H1229" s="1102">
        <v>1.0085542835481647</v>
      </c>
      <c r="I1229" s="1102">
        <v>1.0015599557136445</v>
      </c>
      <c r="K1229">
        <v>1.5358569824612347</v>
      </c>
      <c r="L1229">
        <v>0</v>
      </c>
      <c r="M1229">
        <v>1.5730665494765031E-3</v>
      </c>
      <c r="N1229">
        <v>0.14471573207293853</v>
      </c>
      <c r="O1229">
        <v>0.11956545648809103</v>
      </c>
      <c r="P1229">
        <v>1.5388039838076666E-2</v>
      </c>
      <c r="Q1229">
        <v>9.0252324649178913E-4</v>
      </c>
      <c r="R1229">
        <v>1.5695039778792236E-3</v>
      </c>
      <c r="S1229">
        <v>0.12037914395959087</v>
      </c>
      <c r="T1229">
        <v>0.80512614993235376</v>
      </c>
      <c r="U1229">
        <v>0</v>
      </c>
      <c r="V1229">
        <v>0.20310507484435364</v>
      </c>
      <c r="W1229">
        <v>9.5072703178849194E-2</v>
      </c>
      <c r="X1229">
        <v>2.7334049031145235E-2</v>
      </c>
      <c r="Y1229">
        <v>4.27167244093999E-3</v>
      </c>
    </row>
    <row r="1230" spans="1:25" x14ac:dyDescent="0.25">
      <c r="A1230" s="1098"/>
      <c r="B1230" s="1457">
        <v>980</v>
      </c>
      <c r="C1230" s="1102">
        <v>1.0118410088747247</v>
      </c>
      <c r="D1230" s="1102">
        <v>1.00526796082377</v>
      </c>
      <c r="E1230" s="1102">
        <v>0.9552554864914039</v>
      </c>
      <c r="F1230" s="1102">
        <v>1.0221691253710197</v>
      </c>
      <c r="G1230" s="1102">
        <v>0.99136969134140385</v>
      </c>
      <c r="H1230" s="1102">
        <v>0.9828499700851776</v>
      </c>
      <c r="I1230" s="1102">
        <v>1.0132812457190541</v>
      </c>
      <c r="K1230">
        <v>1.5626448349926356</v>
      </c>
      <c r="L1230">
        <v>0</v>
      </c>
      <c r="M1230">
        <v>1.6616841715666488E-3</v>
      </c>
      <c r="N1230">
        <v>0.13353401711213028</v>
      </c>
      <c r="O1230">
        <v>0.12220533933739025</v>
      </c>
      <c r="P1230">
        <v>1.5415853480840187E-2</v>
      </c>
      <c r="Q1230">
        <v>8.4575677935968261E-4</v>
      </c>
      <c r="R1230">
        <v>1.6578470620304041E-3</v>
      </c>
      <c r="S1230">
        <v>0.11807100687503821</v>
      </c>
      <c r="T1230">
        <v>0.84659687514396598</v>
      </c>
      <c r="U1230">
        <v>0</v>
      </c>
      <c r="V1230">
        <v>0.2051437942671443</v>
      </c>
      <c r="W1230">
        <v>9.012989762102562E-2</v>
      </c>
      <c r="X1230">
        <v>2.6194018291567905E-2</v>
      </c>
      <c r="Y1230">
        <v>4.5121131937096376E-3</v>
      </c>
    </row>
    <row r="1231" spans="1:25" x14ac:dyDescent="0.25">
      <c r="A1231" s="1098"/>
      <c r="B1231" s="1457">
        <v>981</v>
      </c>
      <c r="C1231" s="1102">
        <v>0.98097270232489264</v>
      </c>
      <c r="D1231" s="1102">
        <v>0.96242217057377888</v>
      </c>
      <c r="E1231" s="1102">
        <v>1.0357847427260931</v>
      </c>
      <c r="F1231" s="1102">
        <v>0.99456952866398451</v>
      </c>
      <c r="G1231" s="1102">
        <v>1.0330263680671279</v>
      </c>
      <c r="H1231" s="1102">
        <v>1.0152122407437996</v>
      </c>
      <c r="I1231" s="1102">
        <v>1.0370500933304692</v>
      </c>
      <c r="K1231">
        <v>1.5908238099789029</v>
      </c>
      <c r="L1231">
        <v>0</v>
      </c>
      <c r="M1231">
        <v>1.5288863734345985E-3</v>
      </c>
      <c r="N1231">
        <v>0.15672949150166021</v>
      </c>
      <c r="O1231">
        <v>0.12357377115100505</v>
      </c>
      <c r="P1231">
        <v>1.6219088051463982E-2</v>
      </c>
      <c r="Q1231">
        <v>9.6520341507121978E-4</v>
      </c>
      <c r="R1231">
        <v>1.5254780959297388E-3</v>
      </c>
      <c r="S1231">
        <v>0.13048908802439046</v>
      </c>
      <c r="T1231">
        <v>0.81843917207772288</v>
      </c>
      <c r="U1231">
        <v>0</v>
      </c>
      <c r="V1231">
        <v>0.20968689636409457</v>
      </c>
      <c r="W1231">
        <v>0.10082385887430392</v>
      </c>
      <c r="X1231">
        <v>2.9748800293292202E-2</v>
      </c>
      <c r="Y1231">
        <v>4.151848503401577E-3</v>
      </c>
    </row>
    <row r="1232" spans="1:25" x14ac:dyDescent="0.25">
      <c r="A1232" s="1098"/>
      <c r="B1232" s="1457">
        <v>982</v>
      </c>
      <c r="C1232" s="1102">
        <v>1.0109777867238949</v>
      </c>
      <c r="D1232" s="1102">
        <v>0.99312339819726581</v>
      </c>
      <c r="E1232" s="1102">
        <v>1.030414463854741</v>
      </c>
      <c r="F1232" s="1102">
        <v>1.0024692911219004</v>
      </c>
      <c r="G1232" s="1102">
        <v>0.96717369599788472</v>
      </c>
      <c r="H1232" s="1102">
        <v>0.99407174358615413</v>
      </c>
      <c r="I1232" s="1102">
        <v>1.0038617708904451</v>
      </c>
      <c r="K1232">
        <v>1.5588817979060394</v>
      </c>
      <c r="L1232">
        <v>0</v>
      </c>
      <c r="M1232">
        <v>1.4473024068223125E-3</v>
      </c>
      <c r="N1232">
        <v>0.14597639745110674</v>
      </c>
      <c r="O1232">
        <v>0.12120294641788203</v>
      </c>
      <c r="P1232">
        <v>1.6004169678924183E-2</v>
      </c>
      <c r="Q1232">
        <v>9.1982047873939168E-4</v>
      </c>
      <c r="R1232">
        <v>1.4439997958771229E-3</v>
      </c>
      <c r="S1232">
        <v>0.11884017151629574</v>
      </c>
      <c r="T1232">
        <v>0.82528958001681874</v>
      </c>
      <c r="U1232">
        <v>0</v>
      </c>
      <c r="V1232">
        <v>0.20360787056028157</v>
      </c>
      <c r="W1232">
        <v>9.4198888665048164E-2</v>
      </c>
      <c r="X1232">
        <v>2.8915164301914664E-2</v>
      </c>
      <c r="Y1232">
        <v>3.9300914299727494E-3</v>
      </c>
    </row>
    <row r="1233" spans="1:25" x14ac:dyDescent="0.25">
      <c r="A1233" s="1098"/>
      <c r="B1233" s="1457">
        <v>983</v>
      </c>
      <c r="C1233" s="1102">
        <v>1.0236927075047535</v>
      </c>
      <c r="D1233" s="1102">
        <v>1.0254090041724719</v>
      </c>
      <c r="E1233" s="1102">
        <v>0.99258960192431722</v>
      </c>
      <c r="F1233" s="1102">
        <v>0.99317194577389412</v>
      </c>
      <c r="G1233" s="1102">
        <v>1.0084253966560228</v>
      </c>
      <c r="H1233" s="1102">
        <v>1.0086559238263462</v>
      </c>
      <c r="I1233" s="1102">
        <v>1.0143357129999593</v>
      </c>
      <c r="K1233">
        <v>1.5366424743220723</v>
      </c>
      <c r="L1233">
        <v>0</v>
      </c>
      <c r="M1233">
        <v>1.5409519047765231E-3</v>
      </c>
      <c r="N1233">
        <v>0.138654412938989</v>
      </c>
      <c r="O1233">
        <v>0.11863899629174177</v>
      </c>
      <c r="P1233">
        <v>1.5464243727476987E-2</v>
      </c>
      <c r="Q1233">
        <v>8.6255985473904229E-4</v>
      </c>
      <c r="R1233">
        <v>1.5374684776201231E-3</v>
      </c>
      <c r="S1233">
        <v>0.11741757464976565</v>
      </c>
      <c r="T1233">
        <v>0.82010144007359043</v>
      </c>
      <c r="U1233">
        <v>0</v>
      </c>
      <c r="V1233">
        <v>0.20293732328982775</v>
      </c>
      <c r="W1233">
        <v>9.1489765590687847E-2</v>
      </c>
      <c r="X1233">
        <v>2.6895158962673395E-2</v>
      </c>
      <c r="Y1233">
        <v>4.1844823697345388E-3</v>
      </c>
    </row>
    <row r="1234" spans="1:25" x14ac:dyDescent="0.25">
      <c r="A1234" s="1098"/>
      <c r="B1234" s="1457">
        <v>984</v>
      </c>
      <c r="C1234" s="1102">
        <v>0.99737221687518818</v>
      </c>
      <c r="D1234" s="1102">
        <v>0.95303331162667815</v>
      </c>
      <c r="E1234" s="1102">
        <v>1.0034567307816364</v>
      </c>
      <c r="F1234" s="1102">
        <v>1.0030827036870549</v>
      </c>
      <c r="G1234" s="1102">
        <v>1.0331549373228346</v>
      </c>
      <c r="H1234" s="1102">
        <v>0.99097385287468542</v>
      </c>
      <c r="I1234" s="1102">
        <v>1.0334878389287745</v>
      </c>
      <c r="K1234">
        <v>1.5801034816654449</v>
      </c>
      <c r="L1234">
        <v>0</v>
      </c>
      <c r="M1234">
        <v>1.5817885465423105E-3</v>
      </c>
      <c r="N1234">
        <v>0.14707785525149189</v>
      </c>
      <c r="O1234">
        <v>0.12385034962432959</v>
      </c>
      <c r="P1234">
        <v>1.5901972199319676E-2</v>
      </c>
      <c r="Q1234">
        <v>9.2196748690652247E-4</v>
      </c>
      <c r="R1234">
        <v>1.5781889986877286E-3</v>
      </c>
      <c r="S1234">
        <v>0.12670670192315145</v>
      </c>
      <c r="T1234">
        <v>0.82756485488515363</v>
      </c>
      <c r="U1234">
        <v>0</v>
      </c>
      <c r="V1234">
        <v>0.20896268612880953</v>
      </c>
      <c r="W1234">
        <v>9.6422121177028378E-2</v>
      </c>
      <c r="X1234">
        <v>2.8403262332541823E-2</v>
      </c>
      <c r="Y1234">
        <v>4.2953102045643994E-3</v>
      </c>
    </row>
    <row r="1235" spans="1:25" x14ac:dyDescent="0.25">
      <c r="A1235" s="1098"/>
      <c r="B1235" s="1457">
        <v>985</v>
      </c>
      <c r="C1235" s="1102">
        <v>0.97948406505799401</v>
      </c>
      <c r="D1235" s="1102">
        <v>0.98774112214095666</v>
      </c>
      <c r="E1235" s="1102">
        <v>1.0080081295108192</v>
      </c>
      <c r="F1235" s="1102">
        <v>0.99411959206765066</v>
      </c>
      <c r="G1235" s="1102">
        <v>0.99510081501605319</v>
      </c>
      <c r="H1235" s="1102">
        <v>0.97661127189273711</v>
      </c>
      <c r="I1235" s="1102">
        <v>0.98134105906999269</v>
      </c>
      <c r="K1235">
        <v>1.5570806361591913</v>
      </c>
      <c r="L1235">
        <v>0</v>
      </c>
      <c r="M1235">
        <v>1.5377325474626917E-3</v>
      </c>
      <c r="N1235">
        <v>0.14495273134943176</v>
      </c>
      <c r="O1235">
        <v>0.12254435914412663</v>
      </c>
      <c r="P1235">
        <v>1.5715694327924693E-2</v>
      </c>
      <c r="Q1235">
        <v>9.2983230140813934E-4</v>
      </c>
      <c r="R1235">
        <v>1.5341533140964625E-3</v>
      </c>
      <c r="S1235">
        <v>0.11862232761617536</v>
      </c>
      <c r="T1235">
        <v>0.8198722427704096</v>
      </c>
      <c r="U1235">
        <v>0</v>
      </c>
      <c r="V1235">
        <v>0.20723870238305239</v>
      </c>
      <c r="W1235">
        <v>9.4773361822576146E-2</v>
      </c>
      <c r="X1235">
        <v>2.8259504089984889E-2</v>
      </c>
      <c r="Y1235">
        <v>4.1754595874664985E-3</v>
      </c>
    </row>
    <row r="1236" spans="1:25" x14ac:dyDescent="0.25">
      <c r="A1236" s="1098"/>
      <c r="B1236" s="1457">
        <v>986</v>
      </c>
      <c r="C1236" s="1102">
        <v>1.0099163577476971</v>
      </c>
      <c r="D1236" s="1102">
        <v>0.9861950610453788</v>
      </c>
      <c r="E1236" s="1102">
        <v>0.98362485194764337</v>
      </c>
      <c r="F1236" s="1102">
        <v>0.98230334592143864</v>
      </c>
      <c r="G1236" s="1102">
        <v>0.99183328653163327</v>
      </c>
      <c r="H1236" s="1102">
        <v>0.99387604689312248</v>
      </c>
      <c r="I1236" s="1102">
        <v>0.97005867404461743</v>
      </c>
      <c r="K1236">
        <v>1.5314034627102022</v>
      </c>
      <c r="L1236">
        <v>0</v>
      </c>
      <c r="M1236">
        <v>1.6000453079915726E-3</v>
      </c>
      <c r="N1236">
        <v>0.14011802957547709</v>
      </c>
      <c r="O1236">
        <v>0.12027383450314287</v>
      </c>
      <c r="P1236">
        <v>1.5230029654555726E-2</v>
      </c>
      <c r="Q1236">
        <v>8.7980175862767862E-4</v>
      </c>
      <c r="R1236">
        <v>1.5963916691474314E-3</v>
      </c>
      <c r="S1236">
        <v>0.11521271668909497</v>
      </c>
      <c r="T1236">
        <v>0.81171151413720533</v>
      </c>
      <c r="U1236">
        <v>0</v>
      </c>
      <c r="V1236">
        <v>0.20388191092069063</v>
      </c>
      <c r="W1236">
        <v>9.2954129880840591E-2</v>
      </c>
      <c r="X1236">
        <v>2.6800297356364602E-2</v>
      </c>
      <c r="Y1236">
        <v>4.3448518730470048E-3</v>
      </c>
    </row>
    <row r="1237" spans="1:25" x14ac:dyDescent="0.25">
      <c r="A1237" s="1098"/>
      <c r="B1237" s="1457">
        <v>987</v>
      </c>
      <c r="C1237" s="1102">
        <v>0.9892440635355243</v>
      </c>
      <c r="D1237" s="1102">
        <v>0.96697352660939417</v>
      </c>
      <c r="E1237" s="1102">
        <v>0.99372468650769818</v>
      </c>
      <c r="F1237" s="1102">
        <v>1.0357920245740027</v>
      </c>
      <c r="G1237" s="1102">
        <v>1.0422228760833463</v>
      </c>
      <c r="H1237" s="1102">
        <v>1.0190834086889662</v>
      </c>
      <c r="I1237" s="1102">
        <v>1.0037633978963509</v>
      </c>
      <c r="K1237">
        <v>1.6172556868737693</v>
      </c>
      <c r="L1237">
        <v>0</v>
      </c>
      <c r="M1237">
        <v>1.6629354619126639E-3</v>
      </c>
      <c r="N1237">
        <v>0.15015174578318291</v>
      </c>
      <c r="O1237">
        <v>0.12597603591541509</v>
      </c>
      <c r="P1237">
        <v>1.6176758053996963E-2</v>
      </c>
      <c r="Q1237">
        <v>9.1487421552571466E-4</v>
      </c>
      <c r="R1237">
        <v>1.659253795415206E-3</v>
      </c>
      <c r="S1237">
        <v>0.12544730445180199</v>
      </c>
      <c r="T1237">
        <v>0.85521665509889622</v>
      </c>
      <c r="U1237">
        <v>0</v>
      </c>
      <c r="V1237">
        <v>0.2113195370520469</v>
      </c>
      <c r="W1237">
        <v>9.9008989324582755E-2</v>
      </c>
      <c r="X1237">
        <v>2.8531526786564704E-2</v>
      </c>
      <c r="Y1237">
        <v>4.5159418582535341E-3</v>
      </c>
    </row>
    <row r="1238" spans="1:25" x14ac:dyDescent="0.25">
      <c r="A1238" s="1098"/>
      <c r="B1238" s="1457">
        <v>988</v>
      </c>
      <c r="C1238" s="1102">
        <v>0.99859679957676928</v>
      </c>
      <c r="D1238" s="1102">
        <v>1.0285934501843723</v>
      </c>
      <c r="E1238" s="1102">
        <v>1.0146275911276643</v>
      </c>
      <c r="F1238" s="1102">
        <v>1.0022788350895118</v>
      </c>
      <c r="G1238" s="1102">
        <v>1.0065778876353366</v>
      </c>
      <c r="H1238" s="1102">
        <v>0.98231014301720843</v>
      </c>
      <c r="I1238" s="1102">
        <v>1.0277024276779017</v>
      </c>
      <c r="K1238">
        <v>1.5529607849878733</v>
      </c>
      <c r="L1238">
        <v>0</v>
      </c>
      <c r="M1238">
        <v>1.4654693258424065E-3</v>
      </c>
      <c r="N1238">
        <v>0.14092941976300363</v>
      </c>
      <c r="O1238">
        <v>0.12032396285085514</v>
      </c>
      <c r="P1238">
        <v>1.5866257344180505E-2</v>
      </c>
      <c r="Q1238">
        <v>9.0351277947417713E-4</v>
      </c>
      <c r="R1238">
        <v>1.4620622377006837E-3</v>
      </c>
      <c r="S1238">
        <v>0.11956883042620592</v>
      </c>
      <c r="T1238">
        <v>0.82616580186263633</v>
      </c>
      <c r="U1238">
        <v>0</v>
      </c>
      <c r="V1238">
        <v>0.20533296224678826</v>
      </c>
      <c r="W1238">
        <v>9.1784237684751663E-2</v>
      </c>
      <c r="X1238">
        <v>2.8109955675783563E-2</v>
      </c>
      <c r="Y1238">
        <v>3.979251442334136E-3</v>
      </c>
    </row>
    <row r="1239" spans="1:25" x14ac:dyDescent="0.25">
      <c r="A1239" s="1098"/>
      <c r="B1239" s="1457">
        <v>989</v>
      </c>
      <c r="C1239" s="1102">
        <v>0.99247694359235228</v>
      </c>
      <c r="D1239" s="1102">
        <v>1.010509400383476</v>
      </c>
      <c r="E1239" s="1102">
        <v>0.98712567340644686</v>
      </c>
      <c r="F1239" s="1102">
        <v>1.0405889628465546</v>
      </c>
      <c r="G1239" s="1102">
        <v>0.96974483827251079</v>
      </c>
      <c r="H1239" s="1102">
        <v>0.99042613114876743</v>
      </c>
      <c r="I1239" s="1102">
        <v>1.0115685662701086</v>
      </c>
      <c r="K1239">
        <v>1.5944266152108761</v>
      </c>
      <c r="L1239">
        <v>0</v>
      </c>
      <c r="M1239">
        <v>1.5936406516394747E-3</v>
      </c>
      <c r="N1239">
        <v>0.14104122529995067</v>
      </c>
      <c r="O1239">
        <v>0.12415823349283467</v>
      </c>
      <c r="P1239">
        <v>1.6025705937975251E-2</v>
      </c>
      <c r="Q1239">
        <v>8.8983091895128972E-4</v>
      </c>
      <c r="R1239">
        <v>1.58998543553746E-3</v>
      </c>
      <c r="S1239">
        <v>0.1204652032472374</v>
      </c>
      <c r="T1239">
        <v>0.85963274870201856</v>
      </c>
      <c r="U1239">
        <v>0</v>
      </c>
      <c r="V1239">
        <v>0.20664693718720328</v>
      </c>
      <c r="W1239">
        <v>9.336983601107314E-2</v>
      </c>
      <c r="X1239">
        <v>2.7873133412756702E-2</v>
      </c>
      <c r="Y1239">
        <v>4.3274162169750063E-3</v>
      </c>
    </row>
    <row r="1240" spans="1:25" x14ac:dyDescent="0.25">
      <c r="A1240" s="1098"/>
      <c r="B1240" s="1457">
        <v>990</v>
      </c>
      <c r="C1240" s="1102">
        <v>1.0084371215635917</v>
      </c>
      <c r="D1240" s="1102">
        <v>1.0207280709389412</v>
      </c>
      <c r="E1240" s="1102">
        <v>1.0233892206763731</v>
      </c>
      <c r="F1240" s="1102">
        <v>0.99758843580304635</v>
      </c>
      <c r="G1240" s="1102">
        <v>0.97781337619045894</v>
      </c>
      <c r="H1240" s="1102">
        <v>1.0017702020475274</v>
      </c>
      <c r="I1240" s="1102">
        <v>0.97975566637542488</v>
      </c>
      <c r="K1240">
        <v>1.5462900433689375</v>
      </c>
      <c r="L1240">
        <v>0</v>
      </c>
      <c r="M1240">
        <v>1.4600397033221147E-3</v>
      </c>
      <c r="N1240">
        <v>0.14417533142486771</v>
      </c>
      <c r="O1240">
        <v>0.11981301567650247</v>
      </c>
      <c r="P1240">
        <v>1.5813199044184423E-2</v>
      </c>
      <c r="Q1240">
        <v>9.0555462975253802E-4</v>
      </c>
      <c r="R1240">
        <v>1.4567166126208072E-3</v>
      </c>
      <c r="S1240">
        <v>0.11492185687288639</v>
      </c>
      <c r="T1240">
        <v>0.82172793705037039</v>
      </c>
      <c r="U1240">
        <v>0</v>
      </c>
      <c r="V1240">
        <v>0.20321752870480261</v>
      </c>
      <c r="W1240">
        <v>9.3417761468482102E-2</v>
      </c>
      <c r="X1240">
        <v>2.8336479174736633E-2</v>
      </c>
      <c r="Y1240">
        <v>3.9647024130515457E-3</v>
      </c>
    </row>
    <row r="1241" spans="1:25" x14ac:dyDescent="0.25">
      <c r="A1241" s="1098"/>
      <c r="B1241" s="1457">
        <v>991</v>
      </c>
      <c r="C1241" s="1102">
        <v>0.96417300018841445</v>
      </c>
      <c r="D1241" s="1102">
        <v>1.0108072821857355</v>
      </c>
      <c r="E1241" s="1102">
        <v>1.0354372998593353</v>
      </c>
      <c r="F1241" s="1102">
        <v>1.030080191336642</v>
      </c>
      <c r="G1241" s="1102">
        <v>0.99162667316330899</v>
      </c>
      <c r="H1241" s="1102">
        <v>1.0139145454026584</v>
      </c>
      <c r="I1241" s="1102">
        <v>0.98915726323493691</v>
      </c>
      <c r="K1241">
        <v>1.6116314725694236</v>
      </c>
      <c r="L1241">
        <v>0</v>
      </c>
      <c r="M1241">
        <v>1.5143832103015295E-3</v>
      </c>
      <c r="N1241">
        <v>0.15507754105361968</v>
      </c>
      <c r="O1241">
        <v>0.12479553685317878</v>
      </c>
      <c r="P1241">
        <v>1.651904558861202E-2</v>
      </c>
      <c r="Q1241">
        <v>9.6260073505114764E-4</v>
      </c>
      <c r="R1241">
        <v>1.5109804567525985E-3</v>
      </c>
      <c r="S1241">
        <v>0.12299947495784186</v>
      </c>
      <c r="T1241">
        <v>0.84768439284858677</v>
      </c>
      <c r="U1241">
        <v>0</v>
      </c>
      <c r="V1241">
        <v>0.20966994469169789</v>
      </c>
      <c r="W1241">
        <v>9.9781195219157931E-2</v>
      </c>
      <c r="X1241">
        <v>3.0032752666519062E-2</v>
      </c>
      <c r="Y1241">
        <v>4.1123907087068697E-3</v>
      </c>
    </row>
    <row r="1242" spans="1:25" x14ac:dyDescent="0.25">
      <c r="A1242" s="1098"/>
      <c r="B1242" s="1457">
        <v>992</v>
      </c>
      <c r="C1242" s="1102">
        <v>0.97549180186704409</v>
      </c>
      <c r="D1242" s="1102">
        <v>0.97856640455263844</v>
      </c>
      <c r="E1242" s="1102">
        <v>0.98250227258407585</v>
      </c>
      <c r="F1242" s="1102">
        <v>0.99312154091213256</v>
      </c>
      <c r="G1242" s="1102">
        <v>1.0171547802303569</v>
      </c>
      <c r="H1242" s="1102">
        <v>1.0056331662243332</v>
      </c>
      <c r="I1242" s="1102">
        <v>0.9843608123598101</v>
      </c>
      <c r="K1242">
        <v>1.5680600455711549</v>
      </c>
      <c r="L1242">
        <v>0</v>
      </c>
      <c r="M1242">
        <v>1.6844190088955852E-3</v>
      </c>
      <c r="N1242">
        <v>0.14701046616672012</v>
      </c>
      <c r="O1242">
        <v>0.12317729737977855</v>
      </c>
      <c r="P1242">
        <v>1.5501087643615767E-2</v>
      </c>
      <c r="Q1242">
        <v>9.1261068939599776E-4</v>
      </c>
      <c r="R1242">
        <v>1.6806158453041668E-3</v>
      </c>
      <c r="S1242">
        <v>0.12240446013495254</v>
      </c>
      <c r="T1242">
        <v>0.82072517170561765</v>
      </c>
      <c r="U1242">
        <v>0</v>
      </c>
      <c r="V1242">
        <v>0.20877475950130783</v>
      </c>
      <c r="W1242">
        <v>9.7592533297425288E-2</v>
      </c>
      <c r="X1242">
        <v>2.7391379899876767E-2</v>
      </c>
      <c r="Y1242">
        <v>4.574082316053431E-3</v>
      </c>
    </row>
    <row r="1243" spans="1:25" x14ac:dyDescent="0.25">
      <c r="A1243" s="1098"/>
      <c r="B1243" s="1457">
        <v>993</v>
      </c>
      <c r="C1243" s="1102">
        <v>1.0341248097143734</v>
      </c>
      <c r="D1243" s="1102">
        <v>1.0118965778704327</v>
      </c>
      <c r="E1243" s="1102">
        <v>1.0074746285366278</v>
      </c>
      <c r="F1243" s="1102">
        <v>1.0277436874403185</v>
      </c>
      <c r="G1243" s="1102">
        <v>0.96065502544942905</v>
      </c>
      <c r="H1243" s="1102">
        <v>0.9962133781039032</v>
      </c>
      <c r="I1243" s="1102">
        <v>1.0233881729560512</v>
      </c>
      <c r="K1243">
        <v>1.5670628191789457</v>
      </c>
      <c r="L1243">
        <v>0</v>
      </c>
      <c r="M1243">
        <v>1.4765572291681522E-3</v>
      </c>
      <c r="N1243">
        <v>0.13896920197917309</v>
      </c>
      <c r="O1243">
        <v>0.12103179881458817</v>
      </c>
      <c r="P1243">
        <v>1.600473245237468E-2</v>
      </c>
      <c r="Q1243">
        <v>8.7175131936034745E-4</v>
      </c>
      <c r="R1243">
        <v>1.4731959977049216E-3</v>
      </c>
      <c r="S1243">
        <v>0.11751057499555724</v>
      </c>
      <c r="T1243">
        <v>0.84763883063705603</v>
      </c>
      <c r="U1243">
        <v>0</v>
      </c>
      <c r="V1243">
        <v>0.20213097629665902</v>
      </c>
      <c r="W1243">
        <v>9.0889835213062445E-2</v>
      </c>
      <c r="X1243">
        <v>2.8008924835752957E-2</v>
      </c>
      <c r="Y1243">
        <v>4.0095538668226717E-3</v>
      </c>
    </row>
    <row r="1244" spans="1:25" x14ac:dyDescent="0.25">
      <c r="A1244" s="1098"/>
      <c r="B1244" s="1457">
        <v>994</v>
      </c>
      <c r="C1244" s="1102">
        <v>1.0038704021174998</v>
      </c>
      <c r="D1244" s="1102">
        <v>0.98162929025588197</v>
      </c>
      <c r="E1244" s="1102">
        <v>0.98998419571565399</v>
      </c>
      <c r="F1244" s="1102">
        <v>1.0247439550428872</v>
      </c>
      <c r="G1244" s="1102">
        <v>1.00338470139512</v>
      </c>
      <c r="H1244" s="1102">
        <v>1.0379211064473357</v>
      </c>
      <c r="I1244" s="1102">
        <v>1.0359980334549259</v>
      </c>
      <c r="K1244">
        <v>1.6020940872754883</v>
      </c>
      <c r="L1244">
        <v>0</v>
      </c>
      <c r="M1244">
        <v>1.6681037382631312E-3</v>
      </c>
      <c r="N1244">
        <v>0.14893012789921978</v>
      </c>
      <c r="O1244">
        <v>0.12375746874240841</v>
      </c>
      <c r="P1244">
        <v>1.5991346760795194E-2</v>
      </c>
      <c r="Q1244">
        <v>8.9265249788841113E-4</v>
      </c>
      <c r="R1244">
        <v>1.664469424202356E-3</v>
      </c>
      <c r="S1244">
        <v>0.12802233335344126</v>
      </c>
      <c r="T1244">
        <v>0.84634869986408068</v>
      </c>
      <c r="U1244">
        <v>0</v>
      </c>
      <c r="V1244">
        <v>0.20726781335596103</v>
      </c>
      <c r="W1244">
        <v>9.8423439305386773E-2</v>
      </c>
      <c r="X1244">
        <v>2.7933702729884883E-2</v>
      </c>
      <c r="Y1244">
        <v>4.5301370804805875E-3</v>
      </c>
    </row>
    <row r="1245" spans="1:25" x14ac:dyDescent="0.25">
      <c r="A1245" s="1098"/>
      <c r="B1245" s="1457">
        <v>995</v>
      </c>
      <c r="C1245" s="1102">
        <v>0.99705251744243362</v>
      </c>
      <c r="D1245" s="1102">
        <v>0.97147071457566414</v>
      </c>
      <c r="E1245" s="1102">
        <v>0.97230990966853303</v>
      </c>
      <c r="F1245" s="1102">
        <v>1.0182428548266276</v>
      </c>
      <c r="G1245" s="1102">
        <v>0.98214159933379308</v>
      </c>
      <c r="H1245" s="1102">
        <v>0.99972131041660528</v>
      </c>
      <c r="I1245" s="1102">
        <v>0.99359838942596768</v>
      </c>
      <c r="K1245">
        <v>1.5807130310257433</v>
      </c>
      <c r="L1245">
        <v>0</v>
      </c>
      <c r="M1245">
        <v>1.6861835161152176E-3</v>
      </c>
      <c r="N1245">
        <v>0.14269419552564988</v>
      </c>
      <c r="O1245">
        <v>0.12417777624144145</v>
      </c>
      <c r="P1245">
        <v>1.5625644222585954E-2</v>
      </c>
      <c r="Q1245">
        <v>8.8595204659131562E-4</v>
      </c>
      <c r="R1245">
        <v>1.682372295831095E-3</v>
      </c>
      <c r="S1245">
        <v>0.12120434629454917</v>
      </c>
      <c r="T1245">
        <v>0.84217834700995164</v>
      </c>
      <c r="U1245">
        <v>0</v>
      </c>
      <c r="V1245">
        <v>0.20684082697385342</v>
      </c>
      <c r="W1245">
        <v>9.5313182741913319E-2</v>
      </c>
      <c r="X1245">
        <v>2.721770839411574E-2</v>
      </c>
      <c r="Y1245">
        <v>4.5788627953739711E-3</v>
      </c>
    </row>
    <row r="1246" spans="1:25" x14ac:dyDescent="0.25">
      <c r="A1246" s="1098"/>
      <c r="B1246" s="1457">
        <v>996</v>
      </c>
      <c r="C1246" s="1102">
        <v>0.98368679840259232</v>
      </c>
      <c r="D1246" s="1102">
        <v>1.0258164606631126</v>
      </c>
      <c r="E1246" s="1102">
        <v>1.011757542595275</v>
      </c>
      <c r="F1246" s="1102">
        <v>1.003592075819431</v>
      </c>
      <c r="G1246" s="1102">
        <v>0.96677066057670702</v>
      </c>
      <c r="H1246" s="1102">
        <v>1.0206339360513272</v>
      </c>
      <c r="I1246" s="1102">
        <v>0.97171561889971692</v>
      </c>
      <c r="K1246">
        <v>1.5658558202928357</v>
      </c>
      <c r="L1246">
        <v>0</v>
      </c>
      <c r="M1246">
        <v>1.5558405938299825E-3</v>
      </c>
      <c r="N1246">
        <v>0.14834242830971348</v>
      </c>
      <c r="O1246">
        <v>0.1213147328443929</v>
      </c>
      <c r="P1246">
        <v>1.5821102382902224E-2</v>
      </c>
      <c r="Q1246">
        <v>9.1549078330469848E-4</v>
      </c>
      <c r="R1246">
        <v>1.552357404409555E-3</v>
      </c>
      <c r="S1246">
        <v>0.11783088122973734</v>
      </c>
      <c r="T1246">
        <v>0.82743720617382888</v>
      </c>
      <c r="U1246">
        <v>0</v>
      </c>
      <c r="V1246">
        <v>0.20495841800293421</v>
      </c>
      <c r="W1246">
        <v>9.6775400930457181E-2</v>
      </c>
      <c r="X1246">
        <v>2.8238637704660906E-2</v>
      </c>
      <c r="Y1246">
        <v>4.2250051203219776E-3</v>
      </c>
    </row>
    <row r="1247" spans="1:25" x14ac:dyDescent="0.25">
      <c r="A1247" s="1098"/>
      <c r="B1247" s="1457">
        <v>997</v>
      </c>
      <c r="C1247" s="1102">
        <v>0.9883409246064836</v>
      </c>
      <c r="D1247" s="1102">
        <v>1.0099632724660514</v>
      </c>
      <c r="E1247" s="1102">
        <v>0.97883154768776004</v>
      </c>
      <c r="F1247" s="1102">
        <v>1.0134745118564239</v>
      </c>
      <c r="G1247" s="1102">
        <v>0.96399320603343797</v>
      </c>
      <c r="H1247" s="1102">
        <v>0.9902204057866415</v>
      </c>
      <c r="I1247" s="1102">
        <v>0.99423336604552126</v>
      </c>
      <c r="K1247">
        <v>1.5659435417026979</v>
      </c>
      <c r="L1247">
        <v>0</v>
      </c>
      <c r="M1247">
        <v>1.6244869057741088E-3</v>
      </c>
      <c r="N1247">
        <v>0.14020812666678331</v>
      </c>
      <c r="O1247">
        <v>0.12254638419817329</v>
      </c>
      <c r="P1247">
        <v>1.5591500407029543E-2</v>
      </c>
      <c r="Q1247">
        <v>8.860256162663585E-4</v>
      </c>
      <c r="R1247">
        <v>1.620752061454261E-3</v>
      </c>
      <c r="S1247">
        <v>0.11872461869676272</v>
      </c>
      <c r="T1247">
        <v>0.83779296805138392</v>
      </c>
      <c r="U1247">
        <v>0</v>
      </c>
      <c r="V1247">
        <v>0.2053523843061299</v>
      </c>
      <c r="W1247">
        <v>9.3283238645236577E-2</v>
      </c>
      <c r="X1247">
        <v>2.7150877128745837E-2</v>
      </c>
      <c r="Y1247">
        <v>4.4111528305050308E-3</v>
      </c>
    </row>
    <row r="1248" spans="1:25" x14ac:dyDescent="0.25">
      <c r="A1248" s="1098"/>
      <c r="B1248" s="1457">
        <v>998</v>
      </c>
      <c r="C1248" s="1102">
        <v>1.0021633222110042</v>
      </c>
      <c r="D1248" s="1102">
        <v>0.98513790299379922</v>
      </c>
      <c r="E1248" s="1102">
        <v>0.97862198959275426</v>
      </c>
      <c r="F1248" s="1102">
        <v>1.007795008938452</v>
      </c>
      <c r="G1248" s="1102">
        <v>1.0234694015101589</v>
      </c>
      <c r="H1248" s="1102">
        <v>1.0047906547007701</v>
      </c>
      <c r="I1248" s="1102">
        <v>0.95647845001787302</v>
      </c>
      <c r="K1248">
        <v>1.5635159276449626</v>
      </c>
      <c r="L1248">
        <v>0</v>
      </c>
      <c r="M1248">
        <v>1.6504209113388398E-3</v>
      </c>
      <c r="N1248">
        <v>0.14236245406249806</v>
      </c>
      <c r="O1248">
        <v>0.12253179493109309</v>
      </c>
      <c r="P1248">
        <v>1.550898445119276E-2</v>
      </c>
      <c r="Q1248">
        <v>8.8235334291292668E-4</v>
      </c>
      <c r="R1248">
        <v>1.6466991171804686E-3</v>
      </c>
      <c r="S1248">
        <v>0.11548327043673667</v>
      </c>
      <c r="T1248">
        <v>0.83311206967799389</v>
      </c>
      <c r="U1248">
        <v>0</v>
      </c>
      <c r="V1248">
        <v>0.20731048771233293</v>
      </c>
      <c r="W1248">
        <v>9.4728553177492958E-2</v>
      </c>
      <c r="X1248">
        <v>2.7117909484118782E-2</v>
      </c>
      <c r="Y1248">
        <v>4.4817721627471449E-3</v>
      </c>
    </row>
    <row r="1249" spans="1:25" x14ac:dyDescent="0.25">
      <c r="A1249" s="1098"/>
      <c r="B1249" s="1457">
        <v>999</v>
      </c>
      <c r="C1249" s="1102">
        <v>1.0380739781661501</v>
      </c>
      <c r="D1249" s="1102">
        <v>1.0133703021676022</v>
      </c>
      <c r="E1249" s="1102">
        <v>0.997830299080394</v>
      </c>
      <c r="F1249" s="1102">
        <v>1.0044235977118339</v>
      </c>
      <c r="G1249" s="1102">
        <v>0.98018152056636065</v>
      </c>
      <c r="H1249" s="1102">
        <v>0.98978214740887327</v>
      </c>
      <c r="I1249" s="1102">
        <v>0.98878835396776443</v>
      </c>
      <c r="K1249">
        <v>1.5351869348470313</v>
      </c>
      <c r="L1249">
        <v>0</v>
      </c>
      <c r="M1249">
        <v>1.4876756391121982E-3</v>
      </c>
      <c r="N1249">
        <v>0.13599302082182038</v>
      </c>
      <c r="O1249">
        <v>0.11920631121726837</v>
      </c>
      <c r="P1249">
        <v>1.5558214113222744E-2</v>
      </c>
      <c r="Q1249">
        <v>8.5930618228744762E-4</v>
      </c>
      <c r="R1249">
        <v>1.484261493751537E-3</v>
      </c>
      <c r="S1249">
        <v>0.11240172287789196</v>
      </c>
      <c r="T1249">
        <v>0.82904407065580987</v>
      </c>
      <c r="U1249">
        <v>0</v>
      </c>
      <c r="V1249">
        <v>0.20144869403094676</v>
      </c>
      <c r="W1249">
        <v>8.9453549339302982E-2</v>
      </c>
      <c r="X1249">
        <v>2.7185789254518384E-2</v>
      </c>
      <c r="Y1249">
        <v>4.0396704993217692E-3</v>
      </c>
    </row>
    <row r="1250" spans="1:25" x14ac:dyDescent="0.25">
      <c r="A1250" s="1098"/>
      <c r="B1250" s="1457">
        <v>1000</v>
      </c>
      <c r="C1250" s="1102">
        <v>1.0050721816104624</v>
      </c>
      <c r="D1250" s="1102">
        <v>1.043747330295639</v>
      </c>
      <c r="E1250" s="1102">
        <v>0.9652669094848253</v>
      </c>
      <c r="F1250" s="1102">
        <v>0.96963168469347805</v>
      </c>
      <c r="G1250" s="1102">
        <v>1.0019753266182228</v>
      </c>
      <c r="H1250" s="1102">
        <v>1.0140693224638433</v>
      </c>
      <c r="I1250" s="1102">
        <v>1.0034401970458664</v>
      </c>
      <c r="K1250">
        <v>1.5130602504049324</v>
      </c>
      <c r="L1250">
        <v>0</v>
      </c>
      <c r="M1250">
        <v>1.6478642503468038E-3</v>
      </c>
      <c r="N1250">
        <v>0.13650852341814892</v>
      </c>
      <c r="O1250">
        <v>0.11723417539368598</v>
      </c>
      <c r="P1250">
        <v>1.4901096987442946E-2</v>
      </c>
      <c r="Q1250">
        <v>8.4769576782937591E-4</v>
      </c>
      <c r="R1250">
        <v>1.6441366274526955E-3</v>
      </c>
      <c r="S1250">
        <v>0.1171907614780528</v>
      </c>
      <c r="T1250">
        <v>0.80243023377276979</v>
      </c>
      <c r="U1250">
        <v>0</v>
      </c>
      <c r="V1250">
        <v>0.20238820110623135</v>
      </c>
      <c r="W1250">
        <v>9.1573513496122846E-2</v>
      </c>
      <c r="X1250">
        <v>2.5514978697110863E-2</v>
      </c>
      <c r="Y1250">
        <v>4.4747979104326598E-3</v>
      </c>
    </row>
    <row r="1251" spans="1:25" x14ac:dyDescent="0.25">
      <c r="A1251" s="1098"/>
      <c r="B1251" s="1457">
        <v>1001</v>
      </c>
      <c r="C1251" s="1102">
        <v>1.0149961390950077</v>
      </c>
      <c r="D1251" s="1102">
        <v>0.98161668086062537</v>
      </c>
      <c r="E1251" s="1102">
        <v>0.97883872223037405</v>
      </c>
      <c r="F1251" s="1102">
        <v>0.9999945373095005</v>
      </c>
      <c r="G1251" s="1102">
        <v>1.0423237311721469</v>
      </c>
      <c r="H1251" s="1102">
        <v>0.98905104515367837</v>
      </c>
      <c r="I1251" s="1102">
        <v>1.0084689763185006</v>
      </c>
      <c r="K1251">
        <v>1.5528056474725127</v>
      </c>
      <c r="L1251">
        <v>0</v>
      </c>
      <c r="M1251">
        <v>1.6071200523744807E-3</v>
      </c>
      <c r="N1251">
        <v>0.13871365173024441</v>
      </c>
      <c r="O1251">
        <v>0.12148754657541927</v>
      </c>
      <c r="P1251">
        <v>1.546854086206971E-2</v>
      </c>
      <c r="Q1251">
        <v>8.7264457734061824E-4</v>
      </c>
      <c r="R1251">
        <v>1.6034416950878351E-3</v>
      </c>
      <c r="S1251">
        <v>0.11925255465700423</v>
      </c>
      <c r="T1251">
        <v>0.82664921187489993</v>
      </c>
      <c r="U1251">
        <v>0</v>
      </c>
      <c r="V1251">
        <v>0.20679487890523687</v>
      </c>
      <c r="W1251">
        <v>9.2288534744956935E-2</v>
      </c>
      <c r="X1251">
        <v>2.6917722183011507E-2</v>
      </c>
      <c r="Y1251">
        <v>4.3640397196163597E-3</v>
      </c>
    </row>
    <row r="1252" spans="1:25" x14ac:dyDescent="0.25">
      <c r="A1252" s="1098"/>
      <c r="B1252" s="1457">
        <v>1002</v>
      </c>
      <c r="C1252" s="1102">
        <v>1.0269211578044886</v>
      </c>
      <c r="D1252" s="1102">
        <v>1.0289829003073221</v>
      </c>
      <c r="E1252" s="1102">
        <v>1.0131026189496513</v>
      </c>
      <c r="F1252" s="1102">
        <v>0.9776074063161142</v>
      </c>
      <c r="G1252" s="1102">
        <v>0.97310199473960524</v>
      </c>
      <c r="H1252" s="1102">
        <v>0.9754792640500668</v>
      </c>
      <c r="I1252" s="1102">
        <v>1.0024357835329436</v>
      </c>
      <c r="K1252">
        <v>1.5081132990102517</v>
      </c>
      <c r="L1252">
        <v>0</v>
      </c>
      <c r="M1252">
        <v>1.4195231371321418E-3</v>
      </c>
      <c r="N1252">
        <v>0.13588187145398767</v>
      </c>
      <c r="O1252">
        <v>0.11719898475288444</v>
      </c>
      <c r="P1252">
        <v>1.5407159514585853E-2</v>
      </c>
      <c r="Q1252">
        <v>8.7708157578619361E-4</v>
      </c>
      <c r="R1252">
        <v>1.4162000066668325E-3</v>
      </c>
      <c r="S1252">
        <v>0.11287385732964485</v>
      </c>
      <c r="T1252">
        <v>0.80592720188338796</v>
      </c>
      <c r="U1252">
        <v>0</v>
      </c>
      <c r="V1252">
        <v>0.20022060126004901</v>
      </c>
      <c r="W1252">
        <v>8.857625387078509E-2</v>
      </c>
      <c r="X1252">
        <v>2.7299180931663242E-2</v>
      </c>
      <c r="Y1252">
        <v>3.8544295679403891E-3</v>
      </c>
    </row>
    <row r="1253" spans="1:25" x14ac:dyDescent="0.25">
      <c r="A1253" s="1098"/>
      <c r="B1253" s="1457">
        <v>1003</v>
      </c>
      <c r="C1253" s="1102">
        <v>0.98188223720049095</v>
      </c>
      <c r="D1253" s="1102">
        <v>1.0094806289140985</v>
      </c>
      <c r="E1253" s="1102">
        <v>1.0364973773952746</v>
      </c>
      <c r="F1253" s="1102">
        <v>1.0017463114897682</v>
      </c>
      <c r="G1253" s="1102">
        <v>1.0080867603830477</v>
      </c>
      <c r="H1253" s="1102">
        <v>1.0268515061450763</v>
      </c>
      <c r="I1253" s="1102">
        <v>0.98585984878112853</v>
      </c>
      <c r="K1253">
        <v>1.579296960811631</v>
      </c>
      <c r="L1253">
        <v>0</v>
      </c>
      <c r="M1253">
        <v>1.5026406017565079E-3</v>
      </c>
      <c r="N1253">
        <v>0.15437154975433329</v>
      </c>
      <c r="O1253">
        <v>0.12191884609696135</v>
      </c>
      <c r="P1253">
        <v>1.6150664892664569E-2</v>
      </c>
      <c r="Q1253">
        <v>9.4675632572889371E-4</v>
      </c>
      <c r="R1253">
        <v>1.4993048477478102E-3</v>
      </c>
      <c r="S1253">
        <v>0.12143459365169722</v>
      </c>
      <c r="T1253">
        <v>0.82429871148277034</v>
      </c>
      <c r="U1253">
        <v>0</v>
      </c>
      <c r="V1253">
        <v>0.20741012670712569</v>
      </c>
      <c r="W1253">
        <v>9.9266124028575209E-2</v>
      </c>
      <c r="X1253">
        <v>2.9422310075922824E-2</v>
      </c>
      <c r="Y1253">
        <v>4.0806135498593112E-3</v>
      </c>
    </row>
    <row r="1254" spans="1:25" x14ac:dyDescent="0.25">
      <c r="A1254" s="1098"/>
      <c r="B1254" s="1457">
        <v>1004</v>
      </c>
      <c r="C1254" s="1102">
        <v>1.017906234831065</v>
      </c>
      <c r="D1254" s="1102">
        <v>0.95866689543913486</v>
      </c>
      <c r="E1254" s="1102">
        <v>1.0141684689556068</v>
      </c>
      <c r="F1254" s="1102">
        <v>0.99956506376287257</v>
      </c>
      <c r="G1254" s="1102">
        <v>0.99733100167883515</v>
      </c>
      <c r="H1254" s="1102">
        <v>0.98841597998913633</v>
      </c>
      <c r="I1254" s="1102">
        <v>1.0237376348230363</v>
      </c>
      <c r="K1254">
        <v>1.5625998427116403</v>
      </c>
      <c r="L1254">
        <v>0</v>
      </c>
      <c r="M1254">
        <v>1.5087639269770303E-3</v>
      </c>
      <c r="N1254">
        <v>0.14489841799262401</v>
      </c>
      <c r="O1254">
        <v>0.12225577771703758</v>
      </c>
      <c r="P1254">
        <v>1.5869712298848936E-2</v>
      </c>
      <c r="Q1254">
        <v>9.1125924701017304E-4</v>
      </c>
      <c r="R1254">
        <v>1.5053227207959107E-3</v>
      </c>
      <c r="S1254">
        <v>0.12246334531642687</v>
      </c>
      <c r="T1254">
        <v>0.82395895625686699</v>
      </c>
      <c r="U1254">
        <v>0</v>
      </c>
      <c r="V1254">
        <v>0.20528242496352528</v>
      </c>
      <c r="W1254">
        <v>9.4394623089867472E-2</v>
      </c>
      <c r="X1254">
        <v>2.8471774819109761E-2</v>
      </c>
      <c r="Y1254">
        <v>4.0969922165049232E-3</v>
      </c>
    </row>
    <row r="1255" spans="1:25" x14ac:dyDescent="0.25">
      <c r="A1255" s="1098"/>
      <c r="B1255" s="1457">
        <v>1005</v>
      </c>
      <c r="C1255" s="1102">
        <v>1.003121884315612</v>
      </c>
      <c r="D1255" s="1102">
        <v>0.97354999921744922</v>
      </c>
      <c r="E1255" s="1102">
        <v>1.0003031354618515</v>
      </c>
      <c r="F1255" s="1102">
        <v>0.99864145873022336</v>
      </c>
      <c r="G1255" s="1102">
        <v>0.98471176840475272</v>
      </c>
      <c r="H1255" s="1102">
        <v>0.96807005612954034</v>
      </c>
      <c r="I1255" s="1102">
        <v>1.0160156302384042</v>
      </c>
      <c r="K1255">
        <v>1.5540224155252149</v>
      </c>
      <c r="L1255">
        <v>0</v>
      </c>
      <c r="M1255">
        <v>1.5280754867967824E-3</v>
      </c>
      <c r="N1255">
        <v>0.14072766734709535</v>
      </c>
      <c r="O1255">
        <v>0.12230015898064704</v>
      </c>
      <c r="P1255">
        <v>1.5683119255233392E-2</v>
      </c>
      <c r="Q1255">
        <v>9.0594226150234817E-4</v>
      </c>
      <c r="R1255">
        <v>1.524503636768537E-3</v>
      </c>
      <c r="S1255">
        <v>0.12041991016948453</v>
      </c>
      <c r="T1255">
        <v>0.82410843971243164</v>
      </c>
      <c r="U1255">
        <v>0</v>
      </c>
      <c r="V1255">
        <v>0.20540293101934587</v>
      </c>
      <c r="W1255">
        <v>9.2431858216318247E-2</v>
      </c>
      <c r="X1255">
        <v>2.789676406638969E-2</v>
      </c>
      <c r="Y1255">
        <v>4.149196346795162E-3</v>
      </c>
    </row>
    <row r="1256" spans="1:25" x14ac:dyDescent="0.25">
      <c r="A1256" s="1098"/>
      <c r="B1256" s="1457">
        <v>1006</v>
      </c>
      <c r="C1256" s="1102">
        <v>0.99923655190621408</v>
      </c>
      <c r="D1256" s="1102">
        <v>1.0382881397433286</v>
      </c>
      <c r="E1256" s="1102">
        <v>0.99147390069843222</v>
      </c>
      <c r="F1256" s="1102">
        <v>1.0000843039194764</v>
      </c>
      <c r="G1256" s="1102">
        <v>1.0015998889606463</v>
      </c>
      <c r="H1256" s="1102">
        <v>1.0201348790380422</v>
      </c>
      <c r="I1256" s="1102">
        <v>0.99321194768332843</v>
      </c>
      <c r="K1256">
        <v>1.5521780386294664</v>
      </c>
      <c r="L1256">
        <v>0</v>
      </c>
      <c r="M1256">
        <v>1.5871430974852144E-3</v>
      </c>
      <c r="N1256">
        <v>0.14233241139833849</v>
      </c>
      <c r="O1256">
        <v>0.11979893233317107</v>
      </c>
      <c r="P1256">
        <v>1.5556351649531631E-2</v>
      </c>
      <c r="Q1256">
        <v>8.7824910580794303E-4</v>
      </c>
      <c r="R1256">
        <v>1.5835839698292123E-3</v>
      </c>
      <c r="S1256">
        <v>0.11770250380157533</v>
      </c>
      <c r="T1256">
        <v>0.82588319343396588</v>
      </c>
      <c r="U1256">
        <v>0</v>
      </c>
      <c r="V1256">
        <v>0.20462637836811445</v>
      </c>
      <c r="W1256">
        <v>9.397934857333777E-2</v>
      </c>
      <c r="X1256">
        <v>2.7114235555718458E-2</v>
      </c>
      <c r="Y1256">
        <v>4.3099935375597604E-3</v>
      </c>
    </row>
    <row r="1257" spans="1:25" x14ac:dyDescent="0.25">
      <c r="A1257" s="1098"/>
      <c r="B1257" s="1457">
        <v>1007</v>
      </c>
      <c r="C1257" s="1102">
        <v>0.98148083344988646</v>
      </c>
      <c r="D1257" s="1102">
        <v>1.0046658492951313</v>
      </c>
      <c r="E1257" s="1102">
        <v>0.96838276069833695</v>
      </c>
      <c r="F1257" s="1102">
        <v>1.0389634120641147</v>
      </c>
      <c r="G1257" s="1102">
        <v>1.0099731861836883</v>
      </c>
      <c r="H1257" s="1102">
        <v>1.0373009952256564</v>
      </c>
      <c r="I1257" s="1102">
        <v>1.018693236648154</v>
      </c>
      <c r="K1257">
        <v>1.6153097457050174</v>
      </c>
      <c r="L1257">
        <v>0</v>
      </c>
      <c r="M1257">
        <v>1.7586422598898515E-3</v>
      </c>
      <c r="N1257">
        <v>0.14707727967466674</v>
      </c>
      <c r="O1257">
        <v>0.12495319819391468</v>
      </c>
      <c r="P1257">
        <v>1.5920610560102969E-2</v>
      </c>
      <c r="Q1257">
        <v>8.8432738144445075E-4</v>
      </c>
      <c r="R1257">
        <v>1.7547911606476179E-3</v>
      </c>
      <c r="S1257">
        <v>0.12683929867887253</v>
      </c>
      <c r="T1257">
        <v>0.85958936117498308</v>
      </c>
      <c r="U1257">
        <v>0</v>
      </c>
      <c r="V1257">
        <v>0.20948071516880584</v>
      </c>
      <c r="W1257">
        <v>9.8475913019468203E-2</v>
      </c>
      <c r="X1257">
        <v>2.7316929879468238E-2</v>
      </c>
      <c r="Y1257">
        <v>4.7759630725321741E-3</v>
      </c>
    </row>
    <row r="1258" spans="1:25" x14ac:dyDescent="0.25">
      <c r="A1258" s="1098"/>
      <c r="B1258" s="1457">
        <v>1008</v>
      </c>
      <c r="C1258" s="1102">
        <v>0.99630362770198844</v>
      </c>
      <c r="D1258" s="1102">
        <v>1.0122961223761118</v>
      </c>
      <c r="E1258" s="1102">
        <v>0.99782830154928293</v>
      </c>
      <c r="F1258" s="1102">
        <v>0.97958755816805021</v>
      </c>
      <c r="G1258" s="1102">
        <v>0.99973472073114988</v>
      </c>
      <c r="H1258" s="1102">
        <v>0.97933975359405456</v>
      </c>
      <c r="I1258" s="1102">
        <v>1.0088047214787965</v>
      </c>
      <c r="K1258">
        <v>1.5300852781293297</v>
      </c>
      <c r="L1258">
        <v>0</v>
      </c>
      <c r="M1258">
        <v>1.5272499151469058E-3</v>
      </c>
      <c r="N1258">
        <v>0.1396048516598393</v>
      </c>
      <c r="O1258">
        <v>0.11959583102565176</v>
      </c>
      <c r="P1258">
        <v>1.5401623907760368E-2</v>
      </c>
      <c r="Q1258">
        <v>8.9571091914855455E-4</v>
      </c>
      <c r="R1258">
        <v>1.5236911064825851E-3</v>
      </c>
      <c r="S1258">
        <v>0.11834965503958012</v>
      </c>
      <c r="T1258">
        <v>0.80854471014041351</v>
      </c>
      <c r="U1258">
        <v>0</v>
      </c>
      <c r="V1258">
        <v>0.20448496561643126</v>
      </c>
      <c r="W1258">
        <v>9.1829450233225043E-2</v>
      </c>
      <c r="X1258">
        <v>2.7235053488734728E-2</v>
      </c>
      <c r="Y1258">
        <v>4.1469849072073364E-3</v>
      </c>
    </row>
    <row r="1259" spans="1:25" x14ac:dyDescent="0.25">
      <c r="A1259" s="1098"/>
      <c r="B1259" s="1457">
        <v>1009</v>
      </c>
      <c r="C1259" s="1102">
        <v>1.0300275541140245</v>
      </c>
      <c r="D1259" s="1102">
        <v>0.99881580250262658</v>
      </c>
      <c r="E1259" s="1102">
        <v>1.0125373810154885</v>
      </c>
      <c r="F1259" s="1102">
        <v>0.97230998723304607</v>
      </c>
      <c r="G1259" s="1102">
        <v>0.95308741036562861</v>
      </c>
      <c r="H1259" s="1102">
        <v>1.0232822185569297</v>
      </c>
      <c r="I1259" s="1102">
        <v>0.95771906461503709</v>
      </c>
      <c r="K1259">
        <v>1.518578604739403</v>
      </c>
      <c r="L1259">
        <v>0</v>
      </c>
      <c r="M1259">
        <v>1.5113402595059219E-3</v>
      </c>
      <c r="N1259">
        <v>0.14444169610170141</v>
      </c>
      <c r="O1259">
        <v>0.11795264162136052</v>
      </c>
      <c r="P1259">
        <v>1.5334539990885946E-2</v>
      </c>
      <c r="Q1259">
        <v>8.8439150718236891E-4</v>
      </c>
      <c r="R1259">
        <v>1.5079835407345909E-3</v>
      </c>
      <c r="S1259">
        <v>0.11295394437154685</v>
      </c>
      <c r="T1259">
        <v>0.80159612930387747</v>
      </c>
      <c r="U1259">
        <v>0</v>
      </c>
      <c r="V1259">
        <v>0.19966076248841266</v>
      </c>
      <c r="W1259">
        <v>9.4187398370671513E-2</v>
      </c>
      <c r="X1259">
        <v>2.7466223611295429E-2</v>
      </c>
      <c r="Y1259">
        <v>4.1042340912389548E-3</v>
      </c>
    </row>
    <row r="1260" spans="1:25" x14ac:dyDescent="0.25">
      <c r="A1260" s="1098"/>
      <c r="B1260" s="1457">
        <v>1010</v>
      </c>
      <c r="C1260" s="1102">
        <v>0.98594725737966649</v>
      </c>
      <c r="D1260" s="1102">
        <v>0.97913199048467847</v>
      </c>
      <c r="E1260" s="1102">
        <v>0.99963371618285768</v>
      </c>
      <c r="F1260" s="1102">
        <v>1.0156290182080816</v>
      </c>
      <c r="G1260" s="1102">
        <v>1.0043665498897902</v>
      </c>
      <c r="H1260" s="1102">
        <v>0.98665951965992282</v>
      </c>
      <c r="I1260" s="1102">
        <v>0.98746925380803396</v>
      </c>
      <c r="K1260">
        <v>1.5812753499897625</v>
      </c>
      <c r="L1260">
        <v>0</v>
      </c>
      <c r="M1260">
        <v>1.5816605007333514E-3</v>
      </c>
      <c r="N1260">
        <v>0.14537437155584521</v>
      </c>
      <c r="O1260">
        <v>0.12414781809982511</v>
      </c>
      <c r="P1260">
        <v>1.5905322638884431E-2</v>
      </c>
      <c r="Q1260">
        <v>9.1897970319598657E-4</v>
      </c>
      <c r="R1260">
        <v>1.5780296943028608E-3</v>
      </c>
      <c r="S1260">
        <v>0.12016369981282105</v>
      </c>
      <c r="T1260">
        <v>0.83817195820070434</v>
      </c>
      <c r="U1260">
        <v>0</v>
      </c>
      <c r="V1260">
        <v>0.20847363012587358</v>
      </c>
      <c r="W1260">
        <v>9.5521875454671237E-2</v>
      </c>
      <c r="X1260">
        <v>2.8306448573827143E-2</v>
      </c>
      <c r="Y1260">
        <v>4.294876630543466E-3</v>
      </c>
    </row>
    <row r="1261" spans="1:25" x14ac:dyDescent="0.25">
      <c r="A1261" s="1098"/>
      <c r="B1261" s="1457">
        <v>1011</v>
      </c>
      <c r="C1261" s="1102">
        <v>1.0327805827963519</v>
      </c>
      <c r="D1261" s="1102">
        <v>0.98831399356894722</v>
      </c>
      <c r="E1261" s="1102">
        <v>1.004418427409675</v>
      </c>
      <c r="F1261" s="1102">
        <v>0.99879814713161097</v>
      </c>
      <c r="G1261" s="1102">
        <v>0.97663522968438277</v>
      </c>
      <c r="H1261" s="1102">
        <v>1.0085820339414791</v>
      </c>
      <c r="I1261" s="1102">
        <v>0.99678261806167368</v>
      </c>
      <c r="K1261">
        <v>1.5467543857311239</v>
      </c>
      <c r="L1261">
        <v>0</v>
      </c>
      <c r="M1261">
        <v>1.5234190460409675E-3</v>
      </c>
      <c r="N1261">
        <v>0.14206703455177633</v>
      </c>
      <c r="O1261">
        <v>0.12014831704640921</v>
      </c>
      <c r="P1261">
        <v>1.5638488176240566E-2</v>
      </c>
      <c r="Q1261">
        <v>8.7837949071577475E-4</v>
      </c>
      <c r="R1261">
        <v>1.5199999167283E-3</v>
      </c>
      <c r="S1261">
        <v>0.11701625930726368</v>
      </c>
      <c r="T1261">
        <v>0.82396671630336737</v>
      </c>
      <c r="U1261">
        <v>0</v>
      </c>
      <c r="V1261">
        <v>0.20217101653920419</v>
      </c>
      <c r="W1261">
        <v>9.3084044377083508E-2</v>
      </c>
      <c r="X1261">
        <v>2.7650610362879635E-2</v>
      </c>
      <c r="Y1261">
        <v>4.1369387054965481E-3</v>
      </c>
    </row>
    <row r="1262" spans="1:25" x14ac:dyDescent="0.25">
      <c r="A1262" s="1098"/>
      <c r="B1262" s="1457">
        <v>1012</v>
      </c>
      <c r="C1262" s="1102">
        <v>1.0105208949777091</v>
      </c>
      <c r="D1262" s="1102">
        <v>1.0308056314597265</v>
      </c>
      <c r="E1262" s="1102">
        <v>1.0316965938665106</v>
      </c>
      <c r="F1262" s="1102">
        <v>1.0059818063770509</v>
      </c>
      <c r="G1262" s="1102">
        <v>1.0100062257338485</v>
      </c>
      <c r="H1262" s="1102">
        <v>0.98185058497483757</v>
      </c>
      <c r="I1262" s="1102">
        <v>1.0256720904951317</v>
      </c>
      <c r="K1262">
        <v>1.5524983473264251</v>
      </c>
      <c r="L1262">
        <v>0</v>
      </c>
      <c r="M1262">
        <v>1.3968152036352435E-3</v>
      </c>
      <c r="N1262">
        <v>0.14142374229708959</v>
      </c>
      <c r="O1262">
        <v>0.11983902882944142</v>
      </c>
      <c r="P1262">
        <v>1.6059107844453264E-2</v>
      </c>
      <c r="Q1262">
        <v>9.0781602568841047E-4</v>
      </c>
      <c r="R1262">
        <v>1.3935686406909083E-3</v>
      </c>
      <c r="S1262">
        <v>0.11785551591357055</v>
      </c>
      <c r="T1262">
        <v>0.82809743134972424</v>
      </c>
      <c r="U1262">
        <v>0</v>
      </c>
      <c r="V1262">
        <v>0.20465399835045323</v>
      </c>
      <c r="W1262">
        <v>9.1193211177001479E-2</v>
      </c>
      <c r="X1262">
        <v>2.8678907651764979E-2</v>
      </c>
      <c r="Y1262">
        <v>3.7928344501817124E-3</v>
      </c>
    </row>
    <row r="1263" spans="1:25" x14ac:dyDescent="0.25">
      <c r="A1263" s="1098"/>
      <c r="B1263" s="1457">
        <v>1013</v>
      </c>
      <c r="C1263" s="1102">
        <v>0.97350433633539513</v>
      </c>
      <c r="D1263" s="1102">
        <v>1.0169817414461442</v>
      </c>
      <c r="E1263" s="1102">
        <v>1.0298682254301958</v>
      </c>
      <c r="F1263" s="1102">
        <v>0.96128926074450571</v>
      </c>
      <c r="G1263" s="1102">
        <v>1.0259047542595607</v>
      </c>
      <c r="H1263" s="1102">
        <v>0.95792020472245343</v>
      </c>
      <c r="I1263" s="1102">
        <v>0.97162377043781623</v>
      </c>
      <c r="K1263">
        <v>1.5159306300136099</v>
      </c>
      <c r="L1263">
        <v>0</v>
      </c>
      <c r="M1263">
        <v>1.4220698796789974E-3</v>
      </c>
      <c r="N1263">
        <v>0.14317967008225693</v>
      </c>
      <c r="O1263">
        <v>0.11917918575908724</v>
      </c>
      <c r="P1263">
        <v>1.5506686484165595E-2</v>
      </c>
      <c r="Q1263">
        <v>9.4567250693828816E-4</v>
      </c>
      <c r="R1263">
        <v>1.4186686848964255E-3</v>
      </c>
      <c r="S1263">
        <v>0.11448241060088284</v>
      </c>
      <c r="T1263">
        <v>0.79142199536285895</v>
      </c>
      <c r="U1263">
        <v>0</v>
      </c>
      <c r="V1263">
        <v>0.20658965522689457</v>
      </c>
      <c r="W1263">
        <v>9.2423451933613704E-2</v>
      </c>
      <c r="X1263">
        <v>2.8344154755412604E-2</v>
      </c>
      <c r="Y1263">
        <v>3.8611484962817804E-3</v>
      </c>
    </row>
    <row r="1264" spans="1:25" x14ac:dyDescent="0.25">
      <c r="A1264" s="1098"/>
      <c r="B1264" s="1457">
        <v>1014</v>
      </c>
      <c r="C1264" s="1102">
        <v>1.0209932311468211</v>
      </c>
      <c r="D1264" s="1102">
        <v>0.95520696475230493</v>
      </c>
      <c r="E1264" s="1102">
        <v>1.0251530710522809</v>
      </c>
      <c r="F1264" s="1102">
        <v>0.99959295832652273</v>
      </c>
      <c r="G1264" s="1102">
        <v>1.0193056477591182</v>
      </c>
      <c r="H1264" s="1102">
        <v>0.98090045085955613</v>
      </c>
      <c r="I1264" s="1102">
        <v>0.97891699151946343</v>
      </c>
      <c r="K1264">
        <v>1.5569035410256047</v>
      </c>
      <c r="L1264">
        <v>0</v>
      </c>
      <c r="M1264">
        <v>1.4623616558807817E-3</v>
      </c>
      <c r="N1264">
        <v>0.14517186281733735</v>
      </c>
      <c r="O1264">
        <v>0.12222590459411556</v>
      </c>
      <c r="P1264">
        <v>1.5916901273445704E-2</v>
      </c>
      <c r="Q1264">
        <v>9.2013108297340314E-4</v>
      </c>
      <c r="R1264">
        <v>1.4590035196311443E-3</v>
      </c>
      <c r="S1264">
        <v>0.11645118182897224</v>
      </c>
      <c r="T1264">
        <v>0.82326408232439685</v>
      </c>
      <c r="U1264">
        <v>0</v>
      </c>
      <c r="V1264">
        <v>0.20614693464262956</v>
      </c>
      <c r="W1264">
        <v>9.396676613180828E-2</v>
      </c>
      <c r="X1264">
        <v>2.8872207846119699E-2</v>
      </c>
      <c r="Y1264">
        <v>3.9709266200549887E-3</v>
      </c>
    </row>
    <row r="1265" spans="1:25" x14ac:dyDescent="0.25">
      <c r="A1265" s="1098"/>
      <c r="B1265" s="1457">
        <v>1015</v>
      </c>
      <c r="C1265" s="1102">
        <v>1.0217877649332177</v>
      </c>
      <c r="D1265" s="1102">
        <v>0.97759123448112395</v>
      </c>
      <c r="E1265" s="1102">
        <v>1.0077461155726284</v>
      </c>
      <c r="F1265" s="1102">
        <v>1.0121518090208885</v>
      </c>
      <c r="G1265" s="1102">
        <v>1.0295236261981835</v>
      </c>
      <c r="H1265" s="1102">
        <v>0.96901236273049618</v>
      </c>
      <c r="I1265" s="1102">
        <v>1.0133426764109608</v>
      </c>
      <c r="K1265">
        <v>1.5605405973287536</v>
      </c>
      <c r="L1265">
        <v>0</v>
      </c>
      <c r="M1265">
        <v>1.4786885045752921E-3</v>
      </c>
      <c r="N1265">
        <v>0.13927627294663877</v>
      </c>
      <c r="O1265">
        <v>0.1220931859724172</v>
      </c>
      <c r="P1265">
        <v>1.5896096772580855E-2</v>
      </c>
      <c r="Q1265">
        <v>8.9478388667354829E-4</v>
      </c>
      <c r="R1265">
        <v>1.4752413770392982E-3</v>
      </c>
      <c r="S1265">
        <v>0.11789259526527579</v>
      </c>
      <c r="T1265">
        <v>0.83476124710921351</v>
      </c>
      <c r="U1265">
        <v>0</v>
      </c>
      <c r="V1265">
        <v>0.20646306783975382</v>
      </c>
      <c r="W1265">
        <v>9.1076059444719276E-2</v>
      </c>
      <c r="X1265">
        <v>2.8175614503904579E-2</v>
      </c>
      <c r="Y1265">
        <v>4.0151207151117299E-3</v>
      </c>
    </row>
    <row r="1266" spans="1:25" x14ac:dyDescent="0.25">
      <c r="A1266" s="1098"/>
      <c r="B1266" s="1457">
        <v>1016</v>
      </c>
      <c r="C1266" s="1102">
        <v>0.99796435622453716</v>
      </c>
      <c r="D1266" s="1102">
        <v>1.0197541722511947</v>
      </c>
      <c r="E1266" s="1102">
        <v>1.0296914913733601</v>
      </c>
      <c r="F1266" s="1102">
        <v>0.99298843850556961</v>
      </c>
      <c r="G1266" s="1102">
        <v>1.0213978439093636</v>
      </c>
      <c r="H1266" s="1102">
        <v>0.98367592477119947</v>
      </c>
      <c r="I1266" s="1102">
        <v>0.98994958241020625</v>
      </c>
      <c r="K1266">
        <v>1.5453131420507573</v>
      </c>
      <c r="L1266">
        <v>0</v>
      </c>
      <c r="M1266">
        <v>1.429032557779223E-3</v>
      </c>
      <c r="N1266">
        <v>0.14381439291928297</v>
      </c>
      <c r="O1266">
        <v>0.12004747079353609</v>
      </c>
      <c r="P1266">
        <v>1.5878370529142517E-2</v>
      </c>
      <c r="Q1266">
        <v>9.2132394258845265E-4</v>
      </c>
      <c r="R1266">
        <v>1.4257171163124486E-3</v>
      </c>
      <c r="S1266">
        <v>0.11592281986805171</v>
      </c>
      <c r="T1266">
        <v>0.81753109888523712</v>
      </c>
      <c r="U1266">
        <v>0</v>
      </c>
      <c r="V1266">
        <v>0.20585963823429776</v>
      </c>
      <c r="W1266">
        <v>9.2842695718536192E-2</v>
      </c>
      <c r="X1266">
        <v>2.8618314598470529E-2</v>
      </c>
      <c r="Y1266">
        <v>3.8803320030814038E-3</v>
      </c>
    </row>
    <row r="1267" spans="1:25" x14ac:dyDescent="0.25">
      <c r="A1267" s="1098"/>
      <c r="B1267" s="1457">
        <v>1017</v>
      </c>
      <c r="C1267" s="1102">
        <v>1.0087566159199166</v>
      </c>
      <c r="D1267" s="1102">
        <v>1.0081081612081211</v>
      </c>
      <c r="E1267" s="1102">
        <v>1.0061108661512561</v>
      </c>
      <c r="F1267" s="1102">
        <v>1.0287458372290177</v>
      </c>
      <c r="G1267" s="1102">
        <v>0.97889874345326788</v>
      </c>
      <c r="H1267" s="1102">
        <v>0.98049759490379151</v>
      </c>
      <c r="I1267" s="1102">
        <v>1.0162399849102148</v>
      </c>
      <c r="K1267">
        <v>1.57586650703133</v>
      </c>
      <c r="L1267">
        <v>0</v>
      </c>
      <c r="M1267">
        <v>1.4947747631897431E-3</v>
      </c>
      <c r="N1267">
        <v>0.14010016423977087</v>
      </c>
      <c r="O1267">
        <v>0.12254900577928506</v>
      </c>
      <c r="P1267">
        <v>1.6056619650887845E-2</v>
      </c>
      <c r="Q1267">
        <v>8.937558893620664E-4</v>
      </c>
      <c r="R1267">
        <v>1.4913140434636759E-3</v>
      </c>
      <c r="S1267">
        <v>0.11850720309722923</v>
      </c>
      <c r="T1267">
        <v>0.84855766832188873</v>
      </c>
      <c r="U1267">
        <v>0</v>
      </c>
      <c r="V1267">
        <v>0.20518267788462816</v>
      </c>
      <c r="W1267">
        <v>9.1703419640121575E-2</v>
      </c>
      <c r="X1267">
        <v>2.8260588033114747E-2</v>
      </c>
      <c r="Y1267">
        <v>4.0588652147658206E-3</v>
      </c>
    </row>
    <row r="1268" spans="1:25" x14ac:dyDescent="0.25">
      <c r="A1268" s="1098"/>
      <c r="B1268" s="1457">
        <v>1018</v>
      </c>
      <c r="C1268" s="1102">
        <v>0.98666200352432898</v>
      </c>
      <c r="D1268" s="1102">
        <v>0.99975738153282234</v>
      </c>
      <c r="E1268" s="1102">
        <v>1.0176085411557947</v>
      </c>
      <c r="F1268" s="1102">
        <v>0.97108411611537149</v>
      </c>
      <c r="G1268" s="1102">
        <v>1.0042562696598039</v>
      </c>
      <c r="H1268" s="1102">
        <v>1.0293722746342173</v>
      </c>
      <c r="I1268" s="1102">
        <v>1.0220654068176316</v>
      </c>
      <c r="K1268">
        <v>1.5512485828982696</v>
      </c>
      <c r="L1268">
        <v>0</v>
      </c>
      <c r="M1268">
        <v>1.5645038611185695E-3</v>
      </c>
      <c r="N1268">
        <v>0.15182939364084161</v>
      </c>
      <c r="O1268">
        <v>0.11997562212381883</v>
      </c>
      <c r="P1268">
        <v>1.5634285370133526E-2</v>
      </c>
      <c r="Q1268">
        <v>9.2774052236518608E-4</v>
      </c>
      <c r="R1268">
        <v>1.5610376682641059E-3</v>
      </c>
      <c r="S1268">
        <v>0.12600257083858696</v>
      </c>
      <c r="T1268">
        <v>0.80026280147180739</v>
      </c>
      <c r="U1268">
        <v>0</v>
      </c>
      <c r="V1268">
        <v>0.20547402182020402</v>
      </c>
      <c r="W1268">
        <v>9.8710321591438985E-2</v>
      </c>
      <c r="X1268">
        <v>2.8186661774843007E-2</v>
      </c>
      <c r="Y1268">
        <v>4.2486299370858537E-3</v>
      </c>
    </row>
    <row r="1269" spans="1:25" x14ac:dyDescent="0.25">
      <c r="A1269" s="1098"/>
      <c r="B1269" s="1457">
        <v>1019</v>
      </c>
      <c r="C1269" s="1102">
        <v>1.0049278061362896</v>
      </c>
      <c r="D1269" s="1102">
        <v>1.004293467653993</v>
      </c>
      <c r="E1269" s="1102">
        <v>0.99398727680377885</v>
      </c>
      <c r="F1269" s="1102">
        <v>1.0345714282969867</v>
      </c>
      <c r="G1269" s="1102">
        <v>0.98666973305509498</v>
      </c>
      <c r="H1269" s="1102">
        <v>0.98008136683917657</v>
      </c>
      <c r="I1269" s="1102">
        <v>1.0099587503450369</v>
      </c>
      <c r="K1269">
        <v>1.5823803107014052</v>
      </c>
      <c r="L1269">
        <v>0</v>
      </c>
      <c r="M1269">
        <v>1.5415788857202311E-3</v>
      </c>
      <c r="N1269">
        <v>0.13929057679110055</v>
      </c>
      <c r="O1269">
        <v>0.12334953642673434</v>
      </c>
      <c r="P1269">
        <v>1.600197190086489E-2</v>
      </c>
      <c r="Q1269">
        <v>8.8729938936442745E-4</v>
      </c>
      <c r="R1269">
        <v>1.5380111039425808E-3</v>
      </c>
      <c r="S1269">
        <v>0.11844734006829687</v>
      </c>
      <c r="T1269">
        <v>0.85419086430484814</v>
      </c>
      <c r="U1269">
        <v>0</v>
      </c>
      <c r="V1269">
        <v>0.20624300859130887</v>
      </c>
      <c r="W1269">
        <v>9.1832808879462421E-2</v>
      </c>
      <c r="X1269">
        <v>2.7954512911493052E-2</v>
      </c>
      <c r="Y1269">
        <v>4.1859592197075503E-3</v>
      </c>
    </row>
    <row r="1270" spans="1:25" x14ac:dyDescent="0.25">
      <c r="A1270" s="1098"/>
      <c r="B1270" s="1457">
        <v>1020</v>
      </c>
      <c r="C1270" s="1102">
        <v>1.0419803935583651</v>
      </c>
      <c r="D1270" s="1102">
        <v>1.0362609067034474</v>
      </c>
      <c r="E1270" s="1102">
        <v>1.0155848078953875</v>
      </c>
      <c r="F1270" s="1102">
        <v>1.0372624511322139</v>
      </c>
      <c r="G1270" s="1102">
        <v>1.0375493189420537</v>
      </c>
      <c r="H1270" s="1102">
        <v>0.98741323096000311</v>
      </c>
      <c r="I1270" s="1102">
        <v>0.99177027431524289</v>
      </c>
      <c r="K1270">
        <v>1.5643495370223475</v>
      </c>
      <c r="L1270">
        <v>0</v>
      </c>
      <c r="M1270">
        <v>1.4104477145640041E-3</v>
      </c>
      <c r="N1270">
        <v>0.13603347116416234</v>
      </c>
      <c r="O1270">
        <v>0.12021229280078326</v>
      </c>
      <c r="P1270">
        <v>1.6146104067983912E-2</v>
      </c>
      <c r="Q1270">
        <v>8.641762864210385E-4</v>
      </c>
      <c r="R1270">
        <v>1.4071986411287373E-3</v>
      </c>
      <c r="S1270">
        <v>0.11086038474437677</v>
      </c>
      <c r="T1270">
        <v>0.85493729550455999</v>
      </c>
      <c r="U1270">
        <v>0</v>
      </c>
      <c r="V1270">
        <v>0.2047637360512311</v>
      </c>
      <c r="W1270">
        <v>8.8545820898543376E-2</v>
      </c>
      <c r="X1270">
        <v>2.8159573759474931E-2</v>
      </c>
      <c r="Y1270">
        <v>3.829930818245046E-3</v>
      </c>
    </row>
    <row r="1271" spans="1:25" x14ac:dyDescent="0.25">
      <c r="A1271" s="1098"/>
      <c r="B1271" s="1457">
        <v>1021</v>
      </c>
      <c r="C1271" s="1102">
        <v>0.99484511794299335</v>
      </c>
      <c r="D1271" s="1102">
        <v>1.0228658651116846</v>
      </c>
      <c r="E1271" s="1102">
        <v>0.97471477570685927</v>
      </c>
      <c r="F1271" s="1102">
        <v>0.96981687517865556</v>
      </c>
      <c r="G1271" s="1102">
        <v>1.0017598660983262</v>
      </c>
      <c r="H1271" s="1102">
        <v>0.98912787012635561</v>
      </c>
      <c r="I1271" s="1102">
        <v>1.025196801658784</v>
      </c>
      <c r="K1271">
        <v>1.5199491368749773</v>
      </c>
      <c r="L1271">
        <v>0</v>
      </c>
      <c r="M1271">
        <v>1.6096010255420804E-3</v>
      </c>
      <c r="N1271">
        <v>0.13720131559633691</v>
      </c>
      <c r="O1271">
        <v>0.11859905475574695</v>
      </c>
      <c r="P1271">
        <v>1.506557168132314E-2</v>
      </c>
      <c r="Q1271">
        <v>8.7199800804183773E-4</v>
      </c>
      <c r="R1271">
        <v>1.6058778489656351E-3</v>
      </c>
      <c r="S1271">
        <v>0.12037991252956227</v>
      </c>
      <c r="T1271">
        <v>0.80196975356433908</v>
      </c>
      <c r="U1271">
        <v>0</v>
      </c>
      <c r="V1271">
        <v>0.2038466638663386</v>
      </c>
      <c r="W1271">
        <v>9.1510523869104868E-2</v>
      </c>
      <c r="X1271">
        <v>2.6137396053364733E-2</v>
      </c>
      <c r="Y1271">
        <v>4.3706701273938204E-3</v>
      </c>
    </row>
    <row r="1272" spans="1:25" x14ac:dyDescent="0.25">
      <c r="A1272" s="1098"/>
      <c r="B1272" s="1457">
        <v>1022</v>
      </c>
      <c r="C1272" s="1102">
        <v>1.0096059846013017</v>
      </c>
      <c r="D1272" s="1102">
        <v>0.95900703018301947</v>
      </c>
      <c r="E1272" s="1102">
        <v>0.98473707548667944</v>
      </c>
      <c r="F1272" s="1102">
        <v>0.98819591863515144</v>
      </c>
      <c r="G1272" s="1102">
        <v>1.0165071578034519</v>
      </c>
      <c r="H1272" s="1102">
        <v>1.0179235121757528</v>
      </c>
      <c r="I1272" s="1102">
        <v>1.0064630526742042</v>
      </c>
      <c r="K1272">
        <v>1.5591737774207268</v>
      </c>
      <c r="L1272">
        <v>0</v>
      </c>
      <c r="M1272">
        <v>1.6623032386569982E-3</v>
      </c>
      <c r="N1272">
        <v>0.14607013452680448</v>
      </c>
      <c r="O1272">
        <v>0.12193441282553591</v>
      </c>
      <c r="P1272">
        <v>1.5451127586505469E-2</v>
      </c>
      <c r="Q1272">
        <v>8.9100427384828957E-4</v>
      </c>
      <c r="R1272">
        <v>1.6586158743588301E-3</v>
      </c>
      <c r="S1272">
        <v>0.12356738429522215</v>
      </c>
      <c r="T1272">
        <v>0.81650763554782158</v>
      </c>
      <c r="U1272">
        <v>0</v>
      </c>
      <c r="V1272">
        <v>0.20617396495435225</v>
      </c>
      <c r="W1272">
        <v>9.6837907386252448E-2</v>
      </c>
      <c r="X1272">
        <v>2.7229687741253932E-2</v>
      </c>
      <c r="Y1272">
        <v>4.5142056474286986E-3</v>
      </c>
    </row>
    <row r="1273" spans="1:25" x14ac:dyDescent="0.25">
      <c r="A1273" s="1098"/>
      <c r="B1273" s="1457">
        <v>1023</v>
      </c>
      <c r="C1273" s="1102">
        <v>0.97770408905032202</v>
      </c>
      <c r="D1273" s="1102">
        <v>0.99718383954427692</v>
      </c>
      <c r="E1273" s="1102">
        <v>1.0318724758766258</v>
      </c>
      <c r="F1273" s="1102">
        <v>0.99642096995390139</v>
      </c>
      <c r="G1273" s="1102">
        <v>1.0090599194191472</v>
      </c>
      <c r="H1273" s="1102">
        <v>1.0186762975681884</v>
      </c>
      <c r="I1273" s="1102">
        <v>0.98327201273068621</v>
      </c>
      <c r="K1273">
        <v>1.5760878026875427</v>
      </c>
      <c r="L1273">
        <v>0</v>
      </c>
      <c r="M1273">
        <v>1.5209364380383687E-3</v>
      </c>
      <c r="N1273">
        <v>0.15408614303332552</v>
      </c>
      <c r="O1273">
        <v>0.12231534261447578</v>
      </c>
      <c r="P1273">
        <v>1.605168641358588E-2</v>
      </c>
      <c r="Q1273">
        <v>9.5098617590422122E-4</v>
      </c>
      <c r="R1273">
        <v>1.5175373445982141E-3</v>
      </c>
      <c r="S1273">
        <v>0.12180263559859597</v>
      </c>
      <c r="T1273">
        <v>0.82021581631745166</v>
      </c>
      <c r="U1273">
        <v>0</v>
      </c>
      <c r="V1273">
        <v>0.20790173269812262</v>
      </c>
      <c r="W1273">
        <v>9.9348082794492878E-2</v>
      </c>
      <c r="X1273">
        <v>2.9288539739082808E-2</v>
      </c>
      <c r="Y1273">
        <v>4.1302363959451402E-3</v>
      </c>
    </row>
    <row r="1274" spans="1:25" x14ac:dyDescent="0.25">
      <c r="A1274" s="1098"/>
      <c r="B1274" s="1457">
        <v>1024</v>
      </c>
      <c r="C1274" s="1102">
        <v>0.99065860132396766</v>
      </c>
      <c r="D1274" s="1102">
        <v>0.99904350843299106</v>
      </c>
      <c r="E1274" s="1102">
        <v>1.0126552477640496</v>
      </c>
      <c r="F1274" s="1102">
        <v>0.99807822186436412</v>
      </c>
      <c r="G1274" s="1102">
        <v>1.0164253722358263</v>
      </c>
      <c r="H1274" s="1102">
        <v>1.0111097968709069</v>
      </c>
      <c r="I1274" s="1102">
        <v>1.0226747086097705</v>
      </c>
      <c r="K1274">
        <v>1.5703024119267759</v>
      </c>
      <c r="L1274">
        <v>0</v>
      </c>
      <c r="M1274">
        <v>1.5507927640588442E-3</v>
      </c>
      <c r="N1274">
        <v>0.14826071356260737</v>
      </c>
      <c r="O1274">
        <v>0.12172888455864317</v>
      </c>
      <c r="P1274">
        <v>1.5887233159813569E-2</v>
      </c>
      <c r="Q1274">
        <v>9.1956516496023775E-4</v>
      </c>
      <c r="R1274">
        <v>1.5473038216643308E-3</v>
      </c>
      <c r="S1274">
        <v>0.12432315999500727</v>
      </c>
      <c r="T1274">
        <v>0.82283237400362996</v>
      </c>
      <c r="U1274">
        <v>0</v>
      </c>
      <c r="V1274">
        <v>0.20710538950625654</v>
      </c>
      <c r="W1274">
        <v>9.6670994050453124E-2</v>
      </c>
      <c r="X1274">
        <v>2.8366335933794638E-2</v>
      </c>
      <c r="Y1274">
        <v>4.2112509340025816E-3</v>
      </c>
    </row>
    <row r="1275" spans="1:25" x14ac:dyDescent="0.25">
      <c r="A1275" s="1098"/>
      <c r="B1275" s="1457">
        <v>1025</v>
      </c>
      <c r="C1275" s="1102">
        <v>1.0478406181712028</v>
      </c>
      <c r="D1275" s="1102">
        <v>0.9695041694064489</v>
      </c>
      <c r="E1275" s="1102">
        <v>0.99793180284199634</v>
      </c>
      <c r="F1275" s="1102">
        <v>0.99657243677158047</v>
      </c>
      <c r="G1275" s="1102">
        <v>0.99160256899076049</v>
      </c>
      <c r="H1275" s="1102">
        <v>1.0419746168596866</v>
      </c>
      <c r="I1275" s="1102">
        <v>0.96801980336598292</v>
      </c>
      <c r="K1275">
        <v>1.5499330555298634</v>
      </c>
      <c r="L1275">
        <v>0</v>
      </c>
      <c r="M1275">
        <v>1.5909440089823656E-3</v>
      </c>
      <c r="N1275">
        <v>0.14549688212913942</v>
      </c>
      <c r="O1275">
        <v>0.12011428171241072</v>
      </c>
      <c r="P1275">
        <v>1.552703645027537E-2</v>
      </c>
      <c r="Q1275">
        <v>8.6659098099294062E-4</v>
      </c>
      <c r="R1275">
        <v>1.5875020073732784E-3</v>
      </c>
      <c r="S1275">
        <v>0.11585330818810924</v>
      </c>
      <c r="T1275">
        <v>0.8225570938036133</v>
      </c>
      <c r="U1275">
        <v>0</v>
      </c>
      <c r="V1275">
        <v>0.20210180011574749</v>
      </c>
      <c r="W1275">
        <v>9.569922021827823E-2</v>
      </c>
      <c r="X1275">
        <v>2.7399626788732579E-2</v>
      </c>
      <c r="Y1275">
        <v>4.3206571441739786E-3</v>
      </c>
    </row>
    <row r="1276" spans="1:25" x14ac:dyDescent="0.25">
      <c r="A1276" s="1098"/>
      <c r="B1276" s="1457">
        <v>1026</v>
      </c>
      <c r="C1276" s="1102">
        <v>1.0137912563429943</v>
      </c>
      <c r="D1276" s="1102">
        <v>1.0069334259051292</v>
      </c>
      <c r="E1276" s="1102">
        <v>0.99460939717747421</v>
      </c>
      <c r="F1276" s="1102">
        <v>0.99994612496038793</v>
      </c>
      <c r="G1276" s="1102">
        <v>1.0123596648799693</v>
      </c>
      <c r="H1276" s="1102">
        <v>1.0359966576332031</v>
      </c>
      <c r="I1276" s="1102">
        <v>0.98934032523132875</v>
      </c>
      <c r="K1276">
        <v>1.5594583474200621</v>
      </c>
      <c r="L1276">
        <v>0</v>
      </c>
      <c r="M1276">
        <v>1.6077294167682165E-3</v>
      </c>
      <c r="N1276">
        <v>0.14555854230809259</v>
      </c>
      <c r="O1276">
        <v>0.1203843179949269</v>
      </c>
      <c r="P1276">
        <v>1.5608826874364446E-2</v>
      </c>
      <c r="Q1276">
        <v>8.7918736273627507E-4</v>
      </c>
      <c r="R1276">
        <v>1.6042010915277894E-3</v>
      </c>
      <c r="S1276">
        <v>0.11900398838045127</v>
      </c>
      <c r="T1276">
        <v>0.82556140317319171</v>
      </c>
      <c r="U1276">
        <v>0</v>
      </c>
      <c r="V1276">
        <v>0.20480788434002428</v>
      </c>
      <c r="W1276">
        <v>9.592957536121155E-2</v>
      </c>
      <c r="X1276">
        <v>2.7362043403912729E-2</v>
      </c>
      <c r="Y1276">
        <v>4.3661065463909444E-3</v>
      </c>
    </row>
    <row r="1277" spans="1:25" x14ac:dyDescent="0.25">
      <c r="A1277" s="1098"/>
      <c r="B1277" s="1457">
        <v>1027</v>
      </c>
      <c r="C1277" s="1102">
        <v>1.0235429292731799</v>
      </c>
      <c r="D1277" s="1102">
        <v>1.0034259776740033</v>
      </c>
      <c r="E1277" s="1102">
        <v>1.0020953755739865</v>
      </c>
      <c r="F1277" s="1102">
        <v>1.0252188086780487</v>
      </c>
      <c r="G1277" s="1102">
        <v>0.9970595125514099</v>
      </c>
      <c r="H1277" s="1102">
        <v>0.99357216520045155</v>
      </c>
      <c r="I1277" s="1102">
        <v>1.0084801969121622</v>
      </c>
      <c r="K1277">
        <v>1.5702415216658443</v>
      </c>
      <c r="L1277">
        <v>0</v>
      </c>
      <c r="M1277">
        <v>1.5104776163930005E-3</v>
      </c>
      <c r="N1277">
        <v>0.13987009363865577</v>
      </c>
      <c r="O1277">
        <v>0.12177277032187066</v>
      </c>
      <c r="P1277">
        <v>1.595011830255752E-2</v>
      </c>
      <c r="Q1277">
        <v>8.7882787272722674E-4</v>
      </c>
      <c r="R1277">
        <v>1.5070319345901356E-3</v>
      </c>
      <c r="S1277">
        <v>0.11730144235299748</v>
      </c>
      <c r="T1277">
        <v>0.84591962856529335</v>
      </c>
      <c r="U1277">
        <v>0</v>
      </c>
      <c r="V1277">
        <v>0.20473551016026043</v>
      </c>
      <c r="W1277">
        <v>9.1770877373364937E-2</v>
      </c>
      <c r="X1277">
        <v>2.7944054626910568E-2</v>
      </c>
      <c r="Y1277">
        <v>4.1016441330106283E-3</v>
      </c>
    </row>
    <row r="1278" spans="1:25" x14ac:dyDescent="0.25">
      <c r="A1278" s="1098"/>
      <c r="B1278" s="1457">
        <v>1028</v>
      </c>
      <c r="C1278" s="1102">
        <v>0.99641495416804093</v>
      </c>
      <c r="D1278" s="1102">
        <v>0.99680516676116437</v>
      </c>
      <c r="E1278" s="1102">
        <v>0.97783867112093714</v>
      </c>
      <c r="F1278" s="1102">
        <v>1.0187139497162918</v>
      </c>
      <c r="G1278" s="1102">
        <v>0.9929590389414894</v>
      </c>
      <c r="H1278" s="1102">
        <v>0.97231591393784667</v>
      </c>
      <c r="I1278" s="1102">
        <v>0.97286603709721486</v>
      </c>
      <c r="K1278">
        <v>1.5639118743708664</v>
      </c>
      <c r="L1278">
        <v>0</v>
      </c>
      <c r="M1278">
        <v>1.5988396834553469E-3</v>
      </c>
      <c r="N1278">
        <v>0.13757574127289118</v>
      </c>
      <c r="O1278">
        <v>0.12307734714298341</v>
      </c>
      <c r="P1278">
        <v>1.5603479248030133E-2</v>
      </c>
      <c r="Q1278">
        <v>8.8254866777696093E-4</v>
      </c>
      <c r="R1278">
        <v>1.5951079676728569E-3</v>
      </c>
      <c r="S1278">
        <v>0.11482189599840002</v>
      </c>
      <c r="T1278">
        <v>0.84219164895134657</v>
      </c>
      <c r="U1278">
        <v>0</v>
      </c>
      <c r="V1278">
        <v>0.20663265374177409</v>
      </c>
      <c r="W1278">
        <v>9.1586824943838935E-2</v>
      </c>
      <c r="X1278">
        <v>2.7202108058802368E-2</v>
      </c>
      <c r="Y1278">
        <v>4.3413580608052914E-3</v>
      </c>
    </row>
    <row r="1279" spans="1:25" x14ac:dyDescent="0.25">
      <c r="A1279" s="1098"/>
      <c r="B1279" s="1457">
        <v>1029</v>
      </c>
      <c r="C1279" s="1102">
        <v>0.99397097370455345</v>
      </c>
      <c r="D1279" s="1102">
        <v>0.98254881554236528</v>
      </c>
      <c r="E1279" s="1102">
        <v>1.0034856103873044</v>
      </c>
      <c r="F1279" s="1102">
        <v>1.0005113436442583</v>
      </c>
      <c r="G1279" s="1102">
        <v>0.99667530374688984</v>
      </c>
      <c r="H1279" s="1102">
        <v>0.98938180056599989</v>
      </c>
      <c r="I1279" s="1102">
        <v>1.0024853635003776</v>
      </c>
      <c r="K1279">
        <v>1.5640636864895583</v>
      </c>
      <c r="L1279">
        <v>0</v>
      </c>
      <c r="M1279">
        <v>1.5567416253752413E-3</v>
      </c>
      <c r="N1279">
        <v>0.1447592111165239</v>
      </c>
      <c r="O1279">
        <v>0.12248617206668656</v>
      </c>
      <c r="P1279">
        <v>1.5761235308241268E-2</v>
      </c>
      <c r="Q1279">
        <v>9.139316714402131E-4</v>
      </c>
      <c r="R1279">
        <v>1.5531737714675764E-3</v>
      </c>
      <c r="S1279">
        <v>0.12093696655370091</v>
      </c>
      <c r="T1279">
        <v>0.82544152322071795</v>
      </c>
      <c r="U1279">
        <v>0</v>
      </c>
      <c r="V1279">
        <v>0.20654169304954148</v>
      </c>
      <c r="W1279">
        <v>9.4900427043037555E-2</v>
      </c>
      <c r="X1279">
        <v>2.8098867311236522E-2</v>
      </c>
      <c r="Y1279">
        <v>4.2272270023385817E-3</v>
      </c>
    </row>
    <row r="1280" spans="1:25" x14ac:dyDescent="0.25">
      <c r="A1280" s="1098"/>
      <c r="B1280" s="1457">
        <v>1030</v>
      </c>
      <c r="C1280" s="1102">
        <v>0.99425403687452785</v>
      </c>
      <c r="D1280" s="1102">
        <v>1.0400728028171522</v>
      </c>
      <c r="E1280" s="1102">
        <v>0.98544089239376942</v>
      </c>
      <c r="F1280" s="1102">
        <v>1.0156179294177063</v>
      </c>
      <c r="G1280" s="1102">
        <v>0.97896631919841315</v>
      </c>
      <c r="H1280" s="1102">
        <v>0.9884575811415991</v>
      </c>
      <c r="I1280" s="1102">
        <v>0.97868148093167961</v>
      </c>
      <c r="K1280">
        <v>1.5559477962987143</v>
      </c>
      <c r="L1280">
        <v>0</v>
      </c>
      <c r="M1280">
        <v>1.564679629363153E-3</v>
      </c>
      <c r="N1280">
        <v>0.13777161486200667</v>
      </c>
      <c r="O1280">
        <v>0.12106625050525172</v>
      </c>
      <c r="P1280">
        <v>1.5616968755365035E-2</v>
      </c>
      <c r="Q1280">
        <v>8.7651026636864366E-4</v>
      </c>
      <c r="R1280">
        <v>1.5610601903692696E-3</v>
      </c>
      <c r="S1280">
        <v>0.11407271787082908</v>
      </c>
      <c r="T1280">
        <v>0.83911783896830805</v>
      </c>
      <c r="U1280">
        <v>0</v>
      </c>
      <c r="V1280">
        <v>0.20476097752012284</v>
      </c>
      <c r="W1280">
        <v>9.1297711474469176E-2</v>
      </c>
      <c r="X1280">
        <v>2.7122134280154551E-2</v>
      </c>
      <c r="Y1280">
        <v>4.2486912348316998E-3</v>
      </c>
    </row>
    <row r="1281" spans="1:25" x14ac:dyDescent="0.25">
      <c r="A1281" s="1098"/>
      <c r="B1281" s="1457">
        <v>1031</v>
      </c>
      <c r="C1281" s="1102">
        <v>1.0342859451228377</v>
      </c>
      <c r="D1281" s="1102">
        <v>0.99285135035625427</v>
      </c>
      <c r="E1281" s="1102">
        <v>1.0107395604208862</v>
      </c>
      <c r="F1281" s="1102">
        <v>1.0188987811010046</v>
      </c>
      <c r="G1281" s="1102">
        <v>0.99732563712238331</v>
      </c>
      <c r="H1281" s="1102">
        <v>0.99443725522653548</v>
      </c>
      <c r="I1281" s="1102">
        <v>0.99206688092318207</v>
      </c>
      <c r="K1281">
        <v>1.5615702495983215</v>
      </c>
      <c r="L1281">
        <v>0</v>
      </c>
      <c r="M1281">
        <v>1.4787998049098617E-3</v>
      </c>
      <c r="N1281">
        <v>0.1405592901584331</v>
      </c>
      <c r="O1281">
        <v>0.12124490034437679</v>
      </c>
      <c r="P1281">
        <v>1.5930248707068433E-2</v>
      </c>
      <c r="Q1281">
        <v>8.8122889380337556E-4</v>
      </c>
      <c r="R1281">
        <v>1.4754363459391108E-3</v>
      </c>
      <c r="S1281">
        <v>0.11502506466311091</v>
      </c>
      <c r="T1281">
        <v>0.84012530587390477</v>
      </c>
      <c r="U1281">
        <v>0</v>
      </c>
      <c r="V1281">
        <v>0.20389071356752231</v>
      </c>
      <c r="W1281">
        <v>9.1752856202400646E-2</v>
      </c>
      <c r="X1281">
        <v>2.8148353290485147E-2</v>
      </c>
      <c r="Y1281">
        <v>4.015651356185538E-3</v>
      </c>
    </row>
    <row r="1282" spans="1:25" x14ac:dyDescent="0.25">
      <c r="A1282" s="1098"/>
      <c r="B1282" s="1457">
        <v>1032</v>
      </c>
      <c r="C1282" s="1102">
        <v>0.97808774553383715</v>
      </c>
      <c r="D1282" s="1102">
        <v>0.95703188722268862</v>
      </c>
      <c r="E1282" s="1102">
        <v>1.0326551747598642</v>
      </c>
      <c r="F1282" s="1102">
        <v>0.99873205177206348</v>
      </c>
      <c r="G1282" s="1102">
        <v>0.99622651099936965</v>
      </c>
      <c r="H1282" s="1102">
        <v>1.0087322753059769</v>
      </c>
      <c r="I1282" s="1102">
        <v>0.98987497775327093</v>
      </c>
      <c r="K1282">
        <v>1.5877881362868258</v>
      </c>
      <c r="L1282">
        <v>0</v>
      </c>
      <c r="M1282">
        <v>1.5386186054721742E-3</v>
      </c>
      <c r="N1282">
        <v>0.15624468960359214</v>
      </c>
      <c r="O1282">
        <v>0.1242903868014554</v>
      </c>
      <c r="P1282">
        <v>1.6139478740965194E-2</v>
      </c>
      <c r="Q1282">
        <v>9.6714101169668174E-4</v>
      </c>
      <c r="R1282">
        <v>1.5351701574334452E-3</v>
      </c>
      <c r="S1282">
        <v>0.12480947740180587</v>
      </c>
      <c r="T1282">
        <v>0.82206742234654828</v>
      </c>
      <c r="U1282">
        <v>0</v>
      </c>
      <c r="V1282">
        <v>0.20867355496528595</v>
      </c>
      <c r="W1282">
        <v>0.10069414197029408</v>
      </c>
      <c r="X1282">
        <v>2.9727064793392058E-2</v>
      </c>
      <c r="Y1282">
        <v>4.1782270998274489E-3</v>
      </c>
    </row>
    <row r="1283" spans="1:25" x14ac:dyDescent="0.25">
      <c r="A1283" s="1098"/>
      <c r="B1283" s="1457">
        <v>1033</v>
      </c>
      <c r="C1283" s="1102">
        <v>1.0136762077369137</v>
      </c>
      <c r="D1283" s="1102">
        <v>0.98633514491352725</v>
      </c>
      <c r="E1283" s="1102">
        <v>1.0055675863522189</v>
      </c>
      <c r="F1283" s="1102">
        <v>1.0233121069416848</v>
      </c>
      <c r="G1283" s="1102">
        <v>1.0323045918482117</v>
      </c>
      <c r="H1283" s="1102">
        <v>0.99109626335925105</v>
      </c>
      <c r="I1283" s="1102">
        <v>0.99455775425287074</v>
      </c>
      <c r="K1283">
        <v>1.5776772057197626</v>
      </c>
      <c r="L1283">
        <v>0</v>
      </c>
      <c r="M1283">
        <v>1.5240538697463895E-3</v>
      </c>
      <c r="N1283">
        <v>0.14261496020796796</v>
      </c>
      <c r="O1283">
        <v>0.12289519407726657</v>
      </c>
      <c r="P1283">
        <v>1.601168758054751E-2</v>
      </c>
      <c r="Q1283">
        <v>8.9671666396456474E-4</v>
      </c>
      <c r="R1283">
        <v>1.5205758144602121E-3</v>
      </c>
      <c r="S1283">
        <v>0.11776390982079661</v>
      </c>
      <c r="T1283">
        <v>0.84411226883925072</v>
      </c>
      <c r="U1283">
        <v>0</v>
      </c>
      <c r="V1283">
        <v>0.20756082445185772</v>
      </c>
      <c r="W1283">
        <v>9.3379503150707685E-2</v>
      </c>
      <c r="X1283">
        <v>2.8307112873408816E-2</v>
      </c>
      <c r="Y1283">
        <v>4.1385061092781769E-3</v>
      </c>
    </row>
    <row r="1284" spans="1:25" x14ac:dyDescent="0.25">
      <c r="A1284" s="1098"/>
      <c r="B1284" s="1457">
        <v>1034</v>
      </c>
      <c r="C1284" s="1102">
        <v>0.97103258872983889</v>
      </c>
      <c r="D1284" s="1102">
        <v>0.97362403572440481</v>
      </c>
      <c r="E1284" s="1102">
        <v>1.0348994174253006</v>
      </c>
      <c r="F1284" s="1102">
        <v>0.99302267121686194</v>
      </c>
      <c r="G1284" s="1102">
        <v>0.99149879501276883</v>
      </c>
      <c r="H1284" s="1102">
        <v>0.96919616074489201</v>
      </c>
      <c r="I1284" s="1102">
        <v>0.99221179695270101</v>
      </c>
      <c r="K1284">
        <v>1.5673013047864441</v>
      </c>
      <c r="L1284">
        <v>0</v>
      </c>
      <c r="M1284">
        <v>1.4663230214591696E-3</v>
      </c>
      <c r="N1284">
        <v>0.14989861592785256</v>
      </c>
      <c r="O1284">
        <v>0.12348548503112587</v>
      </c>
      <c r="P1284">
        <v>1.6044588660842851E-2</v>
      </c>
      <c r="Q1284">
        <v>9.6970683425950434E-4</v>
      </c>
      <c r="R1284">
        <v>1.4628894220279482E-3</v>
      </c>
      <c r="S1284">
        <v>0.1214068979891957</v>
      </c>
      <c r="T1284">
        <v>0.8172232827716347</v>
      </c>
      <c r="U1284">
        <v>0</v>
      </c>
      <c r="V1284">
        <v>0.2082613781305232</v>
      </c>
      <c r="W1284">
        <v>9.6478927890879279E-2</v>
      </c>
      <c r="X1284">
        <v>2.9554352384167346E-2</v>
      </c>
      <c r="Y1284">
        <v>3.9815027653917088E-3</v>
      </c>
    </row>
    <row r="1285" spans="1:25" x14ac:dyDescent="0.25">
      <c r="A1285" s="1098"/>
      <c r="B1285" s="1457">
        <v>1035</v>
      </c>
      <c r="C1285" s="1102">
        <v>0.99009354342983269</v>
      </c>
      <c r="D1285" s="1102">
        <v>0.98837937742503412</v>
      </c>
      <c r="E1285" s="1102">
        <v>1.0070382328587875</v>
      </c>
      <c r="F1285" s="1102">
        <v>1.0002491107283</v>
      </c>
      <c r="G1285" s="1102">
        <v>1.0205832809353959</v>
      </c>
      <c r="H1285" s="1102">
        <v>0.98228124985085141</v>
      </c>
      <c r="I1285" s="1102">
        <v>0.99907425169169151</v>
      </c>
      <c r="K1285">
        <v>1.5628376639063943</v>
      </c>
      <c r="L1285">
        <v>0</v>
      </c>
      <c r="M1285">
        <v>1.534599439632599E-3</v>
      </c>
      <c r="N1285">
        <v>0.14423670134880057</v>
      </c>
      <c r="O1285">
        <v>0.12239916482196636</v>
      </c>
      <c r="P1285">
        <v>1.5800430402670516E-2</v>
      </c>
      <c r="Q1285">
        <v>9.1871029049964679E-4</v>
      </c>
      <c r="R1285">
        <v>1.531052337430112E-3</v>
      </c>
      <c r="S1285">
        <v>0.11998195942423465</v>
      </c>
      <c r="T1285">
        <v>0.82499119834374257</v>
      </c>
      <c r="U1285">
        <v>0</v>
      </c>
      <c r="V1285">
        <v>0.20776693383536762</v>
      </c>
      <c r="W1285">
        <v>9.4359261639688774E-2</v>
      </c>
      <c r="X1285">
        <v>2.8219831150406632E-2</v>
      </c>
      <c r="Y1285">
        <v>4.1670197512173757E-3</v>
      </c>
    </row>
    <row r="1286" spans="1:25" x14ac:dyDescent="0.25">
      <c r="A1286" s="1098"/>
      <c r="B1286" s="1457">
        <v>1036</v>
      </c>
      <c r="C1286" s="1102">
        <v>1.0029257386200683</v>
      </c>
      <c r="D1286" s="1102">
        <v>0.99246440050260165</v>
      </c>
      <c r="E1286" s="1102">
        <v>0.98294680157201542</v>
      </c>
      <c r="F1286" s="1102">
        <v>1.0292905434954851</v>
      </c>
      <c r="G1286" s="1102">
        <v>0.97983867151602166</v>
      </c>
      <c r="H1286" s="1102">
        <v>1.0084212609479903</v>
      </c>
      <c r="I1286" s="1102">
        <v>1.0067374801861657</v>
      </c>
      <c r="K1286">
        <v>1.5884378888802753</v>
      </c>
      <c r="L1286">
        <v>0</v>
      </c>
      <c r="M1286">
        <v>1.6362231141314576E-3</v>
      </c>
      <c r="N1286">
        <v>0.14299795009611063</v>
      </c>
      <c r="O1286">
        <v>0.12365305846710414</v>
      </c>
      <c r="P1286">
        <v>1.5858974973021422E-2</v>
      </c>
      <c r="Q1286">
        <v>8.830647741440771E-4</v>
      </c>
      <c r="R1286">
        <v>1.632548170968763E-3</v>
      </c>
      <c r="S1286">
        <v>0.12135541428703117</v>
      </c>
      <c r="T1286">
        <v>0.85058512269823416</v>
      </c>
      <c r="U1286">
        <v>0</v>
      </c>
      <c r="V1286">
        <v>0.20617423729243409</v>
      </c>
      <c r="W1286">
        <v>9.4903412302820137E-2</v>
      </c>
      <c r="X1286">
        <v>2.758707098052118E-2</v>
      </c>
      <c r="Y1286">
        <v>4.4432579520170485E-3</v>
      </c>
    </row>
    <row r="1287" spans="1:25" x14ac:dyDescent="0.25">
      <c r="A1287" s="1098"/>
      <c r="B1287" s="1457">
        <v>1037</v>
      </c>
      <c r="C1287" s="1102">
        <v>0.99095520444915564</v>
      </c>
      <c r="D1287" s="1102">
        <v>0.96033377998310909</v>
      </c>
      <c r="E1287" s="1102">
        <v>1.0393197567059398</v>
      </c>
      <c r="F1287" s="1102">
        <v>1.0284426948661534</v>
      </c>
      <c r="G1287" s="1102">
        <v>0.98219906890522235</v>
      </c>
      <c r="H1287" s="1102">
        <v>0.9742939810271054</v>
      </c>
      <c r="I1287" s="1102">
        <v>0.99643085434887357</v>
      </c>
      <c r="K1287">
        <v>1.5992740492223205</v>
      </c>
      <c r="L1287">
        <v>0</v>
      </c>
      <c r="M1287">
        <v>1.4485712666675974E-3</v>
      </c>
      <c r="N1287">
        <v>0.15007349447940099</v>
      </c>
      <c r="O1287">
        <v>0.12554838462548862</v>
      </c>
      <c r="P1287">
        <v>1.6499895553446144E-2</v>
      </c>
      <c r="Q1287">
        <v>9.5975302527711269E-4</v>
      </c>
      <c r="R1287">
        <v>1.4452192007985676E-3</v>
      </c>
      <c r="S1287">
        <v>0.12122424812039334</v>
      </c>
      <c r="T1287">
        <v>0.8460780840706299</v>
      </c>
      <c r="U1287">
        <v>0</v>
      </c>
      <c r="V1287">
        <v>0.2083833839020289</v>
      </c>
      <c r="W1287">
        <v>9.634533235174611E-2</v>
      </c>
      <c r="X1287">
        <v>3.023141491158526E-2</v>
      </c>
      <c r="Y1287">
        <v>3.9334102481921977E-3</v>
      </c>
    </row>
    <row r="1288" spans="1:25" x14ac:dyDescent="0.25">
      <c r="A1288" s="1098"/>
      <c r="B1288" s="1457">
        <v>1038</v>
      </c>
      <c r="C1288" s="1102">
        <v>0.98645344632840937</v>
      </c>
      <c r="D1288" s="1102">
        <v>0.99348895543522586</v>
      </c>
      <c r="E1288" s="1102">
        <v>1.0076735618171868</v>
      </c>
      <c r="F1288" s="1102">
        <v>0.98408002349384383</v>
      </c>
      <c r="G1288" s="1102">
        <v>0.99524238627209871</v>
      </c>
      <c r="H1288" s="1102">
        <v>0.99687026109759425</v>
      </c>
      <c r="I1288" s="1102">
        <v>1.0070481457215341</v>
      </c>
      <c r="K1288">
        <v>1.5516649408616183</v>
      </c>
      <c r="L1288">
        <v>0</v>
      </c>
      <c r="M1288">
        <v>1.5541280307897773E-3</v>
      </c>
      <c r="N1288">
        <v>0.14635684758327341</v>
      </c>
      <c r="O1288">
        <v>0.12121275893178578</v>
      </c>
      <c r="P1288">
        <v>1.5628095136768178E-2</v>
      </c>
      <c r="Q1288">
        <v>9.2080448266077994E-4</v>
      </c>
      <c r="R1288">
        <v>1.5505798593484191E-3</v>
      </c>
      <c r="S1288">
        <v>0.12207359172142362</v>
      </c>
      <c r="T1288">
        <v>0.81161404143409599</v>
      </c>
      <c r="U1288">
        <v>0</v>
      </c>
      <c r="V1288">
        <v>0.2059375501752716</v>
      </c>
      <c r="W1288">
        <v>9.5710317302574899E-2</v>
      </c>
      <c r="X1288">
        <v>2.7994315036572737E-2</v>
      </c>
      <c r="Y1288">
        <v>4.2201672286331362E-3</v>
      </c>
    </row>
    <row r="1289" spans="1:25" x14ac:dyDescent="0.25">
      <c r="A1289" s="1098"/>
      <c r="B1289" s="1457">
        <v>1039</v>
      </c>
      <c r="C1289" s="1102">
        <v>1.0218581749587374</v>
      </c>
      <c r="D1289" s="1102">
        <v>1.0152270672746646</v>
      </c>
      <c r="E1289" s="1102">
        <v>1.0043190036330272</v>
      </c>
      <c r="F1289" s="1102">
        <v>0.99330978051376073</v>
      </c>
      <c r="G1289" s="1102">
        <v>1.0043755928122506</v>
      </c>
      <c r="H1289" s="1102">
        <v>1.0046309937332338</v>
      </c>
      <c r="I1289" s="1102">
        <v>1.0253624708516875</v>
      </c>
      <c r="K1289">
        <v>1.5420202646961489</v>
      </c>
      <c r="L1289">
        <v>0</v>
      </c>
      <c r="M1289">
        <v>1.5089681573402626E-3</v>
      </c>
      <c r="N1289">
        <v>0.14067410210380632</v>
      </c>
      <c r="O1289">
        <v>0.11913802269542964</v>
      </c>
      <c r="P1289">
        <v>1.5621356174467258E-2</v>
      </c>
      <c r="Q1289">
        <v>8.7818833818018634E-4</v>
      </c>
      <c r="R1289">
        <v>1.5055487149060339E-3</v>
      </c>
      <c r="S1289">
        <v>0.11931390572295925</v>
      </c>
      <c r="T1289">
        <v>0.81944554880993448</v>
      </c>
      <c r="U1289">
        <v>0</v>
      </c>
      <c r="V1289">
        <v>0.203222796907784</v>
      </c>
      <c r="W1289">
        <v>9.2176806150515933E-2</v>
      </c>
      <c r="X1289">
        <v>2.7455349937533204E-2</v>
      </c>
      <c r="Y1289">
        <v>4.0976072979737399E-3</v>
      </c>
    </row>
    <row r="1290" spans="1:25" x14ac:dyDescent="0.25">
      <c r="A1290" s="1098"/>
      <c r="B1290" s="1457">
        <v>1040</v>
      </c>
      <c r="C1290" s="1102">
        <v>1.0072661934440481</v>
      </c>
      <c r="D1290" s="1102">
        <v>0.98161150215731763</v>
      </c>
      <c r="E1290" s="1102">
        <v>0.99062815992370357</v>
      </c>
      <c r="F1290" s="1102">
        <v>1.0076587001802197</v>
      </c>
      <c r="G1290" s="1102">
        <v>1.0119842133896402</v>
      </c>
      <c r="H1290" s="1102">
        <v>1.0280617578458389</v>
      </c>
      <c r="I1290" s="1102">
        <v>1.0024307784598501</v>
      </c>
      <c r="K1290">
        <v>1.5763786728302427</v>
      </c>
      <c r="L1290">
        <v>0</v>
      </c>
      <c r="M1290">
        <v>1.6428035444051765E-3</v>
      </c>
      <c r="N1290">
        <v>0.14695372459272027</v>
      </c>
      <c r="O1290">
        <v>0.12238731759960103</v>
      </c>
      <c r="P1290">
        <v>1.5723296635742973E-2</v>
      </c>
      <c r="Q1290">
        <v>8.9024681975725505E-4</v>
      </c>
      <c r="R1290">
        <v>1.6391862841991984E-3</v>
      </c>
      <c r="S1290">
        <v>0.12258642739280762</v>
      </c>
      <c r="T1290">
        <v>0.83219473730537308</v>
      </c>
      <c r="U1290">
        <v>0</v>
      </c>
      <c r="V1290">
        <v>0.20648838050850463</v>
      </c>
      <c r="W1290">
        <v>9.7079844835823728E-2</v>
      </c>
      <c r="X1290">
        <v>2.7616989692141752E-2</v>
      </c>
      <c r="Y1290">
        <v>4.4613247079768568E-3</v>
      </c>
    </row>
    <row r="1291" spans="1:25" x14ac:dyDescent="0.25">
      <c r="A1291" s="1098"/>
      <c r="B1291" s="1457">
        <v>1041</v>
      </c>
      <c r="C1291" s="1102">
        <v>0.98746280313258505</v>
      </c>
      <c r="D1291" s="1102">
        <v>0.99326993279953324</v>
      </c>
      <c r="E1291" s="1102">
        <v>0.98741406550590916</v>
      </c>
      <c r="F1291" s="1102">
        <v>0.97332580274176173</v>
      </c>
      <c r="G1291" s="1102">
        <v>1.009834859326076</v>
      </c>
      <c r="H1291" s="1102">
        <v>1.001892139243945</v>
      </c>
      <c r="I1291" s="1102">
        <v>0.97711731978440708</v>
      </c>
      <c r="K1291">
        <v>1.536002941880495</v>
      </c>
      <c r="L1291">
        <v>0</v>
      </c>
      <c r="M1291">
        <v>1.6262222750148823E-3</v>
      </c>
      <c r="N1291">
        <v>0.14405328450302654</v>
      </c>
      <c r="O1291">
        <v>0.12045780790275959</v>
      </c>
      <c r="P1291">
        <v>1.5243957111552407E-2</v>
      </c>
      <c r="Q1291">
        <v>9.0079743923383697E-4</v>
      </c>
      <c r="R1291">
        <v>1.622525332619382E-3</v>
      </c>
      <c r="S1291">
        <v>0.11863355419114714</v>
      </c>
      <c r="T1291">
        <v>0.80404786404074358</v>
      </c>
      <c r="U1291">
        <v>0</v>
      </c>
      <c r="V1291">
        <v>0.20591233851021823</v>
      </c>
      <c r="W1291">
        <v>9.5347321162025073E-2</v>
      </c>
      <c r="X1291">
        <v>2.699373487212681E-2</v>
      </c>
      <c r="Y1291">
        <v>4.415979090057808E-3</v>
      </c>
    </row>
    <row r="1292" spans="1:25" x14ac:dyDescent="0.25">
      <c r="A1292" s="1098"/>
      <c r="B1292" s="1457">
        <v>1042</v>
      </c>
      <c r="C1292" s="1102">
        <v>0.99616070870789153</v>
      </c>
      <c r="D1292" s="1102">
        <v>0.98575168384730194</v>
      </c>
      <c r="E1292" s="1102">
        <v>0.99780493143816262</v>
      </c>
      <c r="F1292" s="1102">
        <v>1.0345971955973066</v>
      </c>
      <c r="G1292" s="1102">
        <v>1.0425379863558328</v>
      </c>
      <c r="H1292" s="1102">
        <v>0.97932382464487056</v>
      </c>
      <c r="I1292" s="1102">
        <v>0.98856810154179631</v>
      </c>
      <c r="K1292">
        <v>1.5923926308681147</v>
      </c>
      <c r="L1292">
        <v>0</v>
      </c>
      <c r="M1292">
        <v>1.5571605795986546E-3</v>
      </c>
      <c r="N1292">
        <v>0.14233175170431978</v>
      </c>
      <c r="O1292">
        <v>0.12463953912054483</v>
      </c>
      <c r="P1292">
        <v>1.6093117312575903E-2</v>
      </c>
      <c r="Q1292">
        <v>9.0538992020954424E-4</v>
      </c>
      <c r="R1292">
        <v>1.5535630530528549E-3</v>
      </c>
      <c r="S1292">
        <v>0.11817013500985024</v>
      </c>
      <c r="T1292">
        <v>0.85395087746040377</v>
      </c>
      <c r="U1292">
        <v>0</v>
      </c>
      <c r="V1292">
        <v>0.2100856747915639</v>
      </c>
      <c r="W1292">
        <v>9.3624456553481283E-2</v>
      </c>
      <c r="X1292">
        <v>2.8367000023222861E-2</v>
      </c>
      <c r="Y1292">
        <v>4.2282864984870706E-3</v>
      </c>
    </row>
    <row r="1293" spans="1:25" x14ac:dyDescent="0.25">
      <c r="A1293" s="1098"/>
      <c r="B1293" s="1457">
        <v>1043</v>
      </c>
      <c r="C1293" s="1102">
        <v>0.9610403456921125</v>
      </c>
      <c r="D1293" s="1102">
        <v>1.020270568686775</v>
      </c>
      <c r="E1293" s="1102">
        <v>0.96346137400437137</v>
      </c>
      <c r="F1293" s="1102">
        <v>0.98985256791900467</v>
      </c>
      <c r="G1293" s="1102">
        <v>0.99320866434919208</v>
      </c>
      <c r="H1293" s="1102">
        <v>1.0228825306659957</v>
      </c>
      <c r="I1293" s="1102">
        <v>1.0089635617267922</v>
      </c>
      <c r="K1293">
        <v>1.5645612671677707</v>
      </c>
      <c r="L1293">
        <v>0</v>
      </c>
      <c r="M1293">
        <v>1.7643709241088551E-3</v>
      </c>
      <c r="N1293">
        <v>0.14536620264828329</v>
      </c>
      <c r="O1293">
        <v>0.12192024302040964</v>
      </c>
      <c r="P1293">
        <v>1.5282007404117176E-2</v>
      </c>
      <c r="Q1293">
        <v>8.9293326531596651E-4</v>
      </c>
      <c r="R1293">
        <v>1.760422198621932E-3</v>
      </c>
      <c r="S1293">
        <v>0.12549072027136424</v>
      </c>
      <c r="T1293">
        <v>0.8192843013464014</v>
      </c>
      <c r="U1293">
        <v>0</v>
      </c>
      <c r="V1293">
        <v>0.20751242655582622</v>
      </c>
      <c r="W1293">
        <v>9.7623179113152644E-2</v>
      </c>
      <c r="X1293">
        <v>2.6401913366758494E-2</v>
      </c>
      <c r="Y1293">
        <v>4.7912889016270884E-3</v>
      </c>
    </row>
    <row r="1294" spans="1:25" x14ac:dyDescent="0.25">
      <c r="A1294" s="1098"/>
      <c r="B1294" s="1457">
        <v>1044</v>
      </c>
      <c r="C1294" s="1102">
        <v>0.99268468823655698</v>
      </c>
      <c r="D1294" s="1102">
        <v>0.99318014846164349</v>
      </c>
      <c r="E1294" s="1102">
        <v>0.99811353056589924</v>
      </c>
      <c r="F1294" s="1102">
        <v>1.0391091665399288</v>
      </c>
      <c r="G1294" s="1102">
        <v>1.015285857197624</v>
      </c>
      <c r="H1294" s="1102">
        <v>0.97486648312596091</v>
      </c>
      <c r="I1294" s="1102">
        <v>1.0050522516468214</v>
      </c>
      <c r="K1294">
        <v>1.5957339538236519</v>
      </c>
      <c r="L1294">
        <v>0</v>
      </c>
      <c r="M1294">
        <v>1.54800758366804E-3</v>
      </c>
      <c r="N1294">
        <v>0.14162523810649516</v>
      </c>
      <c r="O1294">
        <v>0.1248002166560826</v>
      </c>
      <c r="P1294">
        <v>1.6155044261934134E-2</v>
      </c>
      <c r="Q1294">
        <v>9.0612611190053988E-4</v>
      </c>
      <c r="R1294">
        <v>1.544410587504568E-3</v>
      </c>
      <c r="S1294">
        <v>0.11966754885589928</v>
      </c>
      <c r="T1294">
        <v>0.85765384389645916</v>
      </c>
      <c r="U1294">
        <v>0</v>
      </c>
      <c r="V1294">
        <v>0.20916082017734211</v>
      </c>
      <c r="W1294">
        <v>9.314260588664032E-2</v>
      </c>
      <c r="X1294">
        <v>2.8422730362688196E-2</v>
      </c>
      <c r="Y1294">
        <v>4.2033765043740902E-3</v>
      </c>
    </row>
    <row r="1295" spans="1:25" x14ac:dyDescent="0.25">
      <c r="A1295" s="1098"/>
      <c r="B1295" s="1457">
        <v>1045</v>
      </c>
      <c r="C1295" s="1102">
        <v>1.0096563486867127</v>
      </c>
      <c r="D1295" s="1102">
        <v>0.98971992090210481</v>
      </c>
      <c r="E1295" s="1102">
        <v>0.99559448970006748</v>
      </c>
      <c r="F1295" s="1102">
        <v>1.0046670508071118</v>
      </c>
      <c r="G1295" s="1102">
        <v>1.0329817835365154</v>
      </c>
      <c r="H1295" s="1102">
        <v>1.0142401897917916</v>
      </c>
      <c r="I1295" s="1102">
        <v>1.0045238106347676</v>
      </c>
      <c r="K1295">
        <v>1.5672593551079701</v>
      </c>
      <c r="L1295">
        <v>0</v>
      </c>
      <c r="M1295">
        <v>1.5927925538808676E-3</v>
      </c>
      <c r="N1295">
        <v>0.14463031768126197</v>
      </c>
      <c r="O1295">
        <v>0.12167766525670284</v>
      </c>
      <c r="P1295">
        <v>1.5725311474630174E-2</v>
      </c>
      <c r="Q1295">
        <v>8.8980840157568521E-4</v>
      </c>
      <c r="R1295">
        <v>1.5892325358538714E-3</v>
      </c>
      <c r="S1295">
        <v>0.12085915477412391</v>
      </c>
      <c r="T1295">
        <v>0.82939353731469745</v>
      </c>
      <c r="U1295">
        <v>0</v>
      </c>
      <c r="V1295">
        <v>0.20684115341074366</v>
      </c>
      <c r="W1295">
        <v>9.5261826872281449E-2</v>
      </c>
      <c r="X1295">
        <v>2.765877286774834E-2</v>
      </c>
      <c r="Y1295">
        <v>4.3253670722295922E-3</v>
      </c>
    </row>
    <row r="1296" spans="1:25" x14ac:dyDescent="0.25">
      <c r="A1296" s="1098"/>
      <c r="B1296" s="1457">
        <v>1046</v>
      </c>
      <c r="C1296" s="1102">
        <v>1.0220405950376095</v>
      </c>
      <c r="D1296" s="1102">
        <v>1.0055827163981801</v>
      </c>
      <c r="E1296" s="1102">
        <v>1.0212119286807209</v>
      </c>
      <c r="F1296" s="1102">
        <v>0.96308180320108749</v>
      </c>
      <c r="G1296" s="1102">
        <v>1.0214559012472415</v>
      </c>
      <c r="H1296" s="1102">
        <v>1.0219073458200305</v>
      </c>
      <c r="I1296" s="1102">
        <v>0.98033750552753163</v>
      </c>
      <c r="K1296">
        <v>1.5178634862920375</v>
      </c>
      <c r="L1296">
        <v>0</v>
      </c>
      <c r="M1296">
        <v>1.4862779045539309E-3</v>
      </c>
      <c r="N1296">
        <v>0.14581240164054202</v>
      </c>
      <c r="O1296">
        <v>0.11738101188655332</v>
      </c>
      <c r="P1296">
        <v>1.5402581909002767E-2</v>
      </c>
      <c r="Q1296">
        <v>8.9685739249595157E-4</v>
      </c>
      <c r="R1296">
        <v>1.4829643974703013E-3</v>
      </c>
      <c r="S1296">
        <v>0.11586852466615538</v>
      </c>
      <c r="T1296">
        <v>0.79344124225135926</v>
      </c>
      <c r="U1296">
        <v>0</v>
      </c>
      <c r="V1296">
        <v>0.20272137857712308</v>
      </c>
      <c r="W1296">
        <v>9.4598702438973031E-2</v>
      </c>
      <c r="X1296">
        <v>2.7707958806084267E-2</v>
      </c>
      <c r="Y1296">
        <v>4.0361402308319184E-3</v>
      </c>
    </row>
    <row r="1297" spans="1:25" x14ac:dyDescent="0.25">
      <c r="A1297" s="1098"/>
      <c r="B1297" s="1457">
        <v>1047</v>
      </c>
      <c r="C1297" s="1102">
        <v>0.95762523161560875</v>
      </c>
      <c r="D1297" s="1102">
        <v>0.96621520938965211</v>
      </c>
      <c r="E1297" s="1102">
        <v>0.9791155598055058</v>
      </c>
      <c r="F1297" s="1102">
        <v>1.0141041770636803</v>
      </c>
      <c r="G1297" s="1102">
        <v>1.0274092611030177</v>
      </c>
      <c r="H1297" s="1102">
        <v>0.97793903334796439</v>
      </c>
      <c r="I1297" s="1102">
        <v>1.0027556731665999</v>
      </c>
      <c r="K1297">
        <v>1.5952472099934543</v>
      </c>
      <c r="L1297">
        <v>0</v>
      </c>
      <c r="M1297">
        <v>1.6928147472101613E-3</v>
      </c>
      <c r="N1297">
        <v>0.14622852617383142</v>
      </c>
      <c r="O1297">
        <v>0.12623940038048609</v>
      </c>
      <c r="P1297">
        <v>1.5788672850792305E-2</v>
      </c>
      <c r="Q1297">
        <v>9.3106390478654775E-4</v>
      </c>
      <c r="R1297">
        <v>1.6888935256876049E-3</v>
      </c>
      <c r="S1297">
        <v>0.12565807915018326</v>
      </c>
      <c r="T1297">
        <v>0.83829427477545493</v>
      </c>
      <c r="U1297">
        <v>0</v>
      </c>
      <c r="V1297">
        <v>0.21234532895153102</v>
      </c>
      <c r="W1297">
        <v>9.7272032963815064E-2</v>
      </c>
      <c r="X1297">
        <v>2.7897140630774739E-2</v>
      </c>
      <c r="Y1297">
        <v>4.5966114333205474E-3</v>
      </c>
    </row>
    <row r="1298" spans="1:25" x14ac:dyDescent="0.25">
      <c r="A1298" s="1098"/>
      <c r="B1298" s="1457">
        <v>1048</v>
      </c>
      <c r="C1298" s="1102">
        <v>0.99162107616506479</v>
      </c>
      <c r="D1298" s="1102">
        <v>1.0226149754946179</v>
      </c>
      <c r="E1298" s="1102">
        <v>1.0217595098935546</v>
      </c>
      <c r="F1298" s="1102">
        <v>0.98372130587616768</v>
      </c>
      <c r="G1298" s="1102">
        <v>0.99155968237496628</v>
      </c>
      <c r="H1298" s="1102">
        <v>0.99413122419294531</v>
      </c>
      <c r="I1298" s="1102">
        <v>0.99194068892169451</v>
      </c>
      <c r="K1298">
        <v>1.5394523175819488</v>
      </c>
      <c r="L1298">
        <v>0</v>
      </c>
      <c r="M1298">
        <v>1.4736003827321416E-3</v>
      </c>
      <c r="N1298">
        <v>0.14479749124662653</v>
      </c>
      <c r="O1298">
        <v>0.11962242608999737</v>
      </c>
      <c r="P1298">
        <v>1.5689592157881561E-2</v>
      </c>
      <c r="Q1298">
        <v>9.1869598076126558E-4</v>
      </c>
      <c r="R1298">
        <v>1.4702119595437404E-3</v>
      </c>
      <c r="S1298">
        <v>0.11741617900871254</v>
      </c>
      <c r="T1298">
        <v>0.81041004586071097</v>
      </c>
      <c r="U1298">
        <v>0</v>
      </c>
      <c r="V1298">
        <v>0.20447430264670952</v>
      </c>
      <c r="W1298">
        <v>9.3910203944071652E-2</v>
      </c>
      <c r="X1298">
        <v>2.8215336771030351E-2</v>
      </c>
      <c r="Y1298">
        <v>4.0014322986358514E-3</v>
      </c>
    </row>
    <row r="1299" spans="1:25" x14ac:dyDescent="0.25">
      <c r="A1299" s="1098"/>
      <c r="B1299" s="1457">
        <v>1049</v>
      </c>
      <c r="C1299" s="1102">
        <v>0.99053379675651687</v>
      </c>
      <c r="D1299" s="1102">
        <v>1.0120538910100665</v>
      </c>
      <c r="E1299" s="1102">
        <v>1.0215367434519622</v>
      </c>
      <c r="F1299" s="1102">
        <v>1.0103398434619757</v>
      </c>
      <c r="G1299" s="1102">
        <v>0.97440457896955468</v>
      </c>
      <c r="H1299" s="1102">
        <v>0.97210264026786042</v>
      </c>
      <c r="I1299" s="1102">
        <v>1.0042349048541124</v>
      </c>
      <c r="K1299">
        <v>1.563025059747023</v>
      </c>
      <c r="L1299">
        <v>0</v>
      </c>
      <c r="M1299">
        <v>1.4545168411689146E-3</v>
      </c>
      <c r="N1299">
        <v>0.14282008781933819</v>
      </c>
      <c r="O1299">
        <v>0.12199404567050161</v>
      </c>
      <c r="P1299">
        <v>1.6014895581837042E-2</v>
      </c>
      <c r="Q1299">
        <v>9.233205692959945E-4</v>
      </c>
      <c r="R1299">
        <v>1.4511090039180494E-3</v>
      </c>
      <c r="S1299">
        <v>0.11813498765101128</v>
      </c>
      <c r="T1299">
        <v>0.83235365038948983</v>
      </c>
      <c r="U1299">
        <v>0</v>
      </c>
      <c r="V1299">
        <v>0.20548235431261702</v>
      </c>
      <c r="W1299">
        <v>9.2639791836302277E-2</v>
      </c>
      <c r="X1299">
        <v>2.8715893403168734E-2</v>
      </c>
      <c r="Y1299">
        <v>3.9494403507103508E-3</v>
      </c>
    </row>
    <row r="1300" spans="1:25" x14ac:dyDescent="0.25">
      <c r="A1300" s="1098"/>
      <c r="B1300" s="1457">
        <v>1050</v>
      </c>
      <c r="C1300" s="1102">
        <v>1.0184746069512598</v>
      </c>
      <c r="D1300" s="1102">
        <v>0.97611838874965873</v>
      </c>
      <c r="E1300" s="1102">
        <v>0.95654247138045156</v>
      </c>
      <c r="F1300" s="1102">
        <v>0.98560968457877995</v>
      </c>
      <c r="G1300" s="1102">
        <v>0.9846738720143553</v>
      </c>
      <c r="H1300" s="1102">
        <v>0.99816347078801293</v>
      </c>
      <c r="I1300" s="1102">
        <v>0.9826464307301026</v>
      </c>
      <c r="K1300">
        <v>1.5323494346766544</v>
      </c>
      <c r="L1300">
        <v>0</v>
      </c>
      <c r="M1300">
        <v>1.696419211855773E-3</v>
      </c>
      <c r="N1300">
        <v>0.1368638596265804</v>
      </c>
      <c r="O1300">
        <v>0.12060724617862967</v>
      </c>
      <c r="P1300">
        <v>1.4989467203662501E-2</v>
      </c>
      <c r="Q1300">
        <v>8.5135885877616366E-4</v>
      </c>
      <c r="R1300">
        <v>1.6925721712094572E-3</v>
      </c>
      <c r="S1300">
        <v>0.116789342635178</v>
      </c>
      <c r="T1300">
        <v>0.81623150449621651</v>
      </c>
      <c r="U1300">
        <v>0</v>
      </c>
      <c r="V1300">
        <v>0.2032904292146899</v>
      </c>
      <c r="W1300">
        <v>9.2304256142976993E-2</v>
      </c>
      <c r="X1300">
        <v>2.5819193866823898E-2</v>
      </c>
      <c r="Y1300">
        <v>4.606623493765857E-3</v>
      </c>
    </row>
    <row r="1301" spans="1:25" x14ac:dyDescent="0.25">
      <c r="A1301" s="1098"/>
      <c r="B1301" s="1457">
        <v>1051</v>
      </c>
      <c r="C1301" s="1102">
        <v>0.96453025353829591</v>
      </c>
      <c r="D1301" s="1102">
        <v>1.0374257023294915</v>
      </c>
      <c r="E1301" s="1102">
        <v>1.0114339561032615</v>
      </c>
      <c r="F1301" s="1102">
        <v>1.013087783833972</v>
      </c>
      <c r="G1301" s="1102">
        <v>0.99656427018219995</v>
      </c>
      <c r="H1301" s="1102">
        <v>0.99108102800476305</v>
      </c>
      <c r="I1301" s="1102">
        <v>0.98702960306229759</v>
      </c>
      <c r="K1301">
        <v>1.57527981033705</v>
      </c>
      <c r="L1301">
        <v>0</v>
      </c>
      <c r="M1301">
        <v>1.5309756602654081E-3</v>
      </c>
      <c r="N1301">
        <v>0.14581853129674602</v>
      </c>
      <c r="O1301">
        <v>0.12249686373176752</v>
      </c>
      <c r="P1301">
        <v>1.5983081551609973E-2</v>
      </c>
      <c r="Q1301">
        <v>9.2917008914180808E-4</v>
      </c>
      <c r="R1301">
        <v>1.5274368671628238E-3</v>
      </c>
      <c r="S1301">
        <v>0.11884752345271081</v>
      </c>
      <c r="T1301">
        <v>0.83528770402654351</v>
      </c>
      <c r="U1301">
        <v>0</v>
      </c>
      <c r="V1301">
        <v>0.20814471229918388</v>
      </c>
      <c r="W1301">
        <v>9.5146995531287443E-2</v>
      </c>
      <c r="X1301">
        <v>2.8471587518172074E-2</v>
      </c>
      <c r="Y1301">
        <v>4.1571796329892691E-3</v>
      </c>
    </row>
    <row r="1302" spans="1:25" x14ac:dyDescent="0.25">
      <c r="A1302" s="1098"/>
      <c r="B1302" s="1457">
        <v>1052</v>
      </c>
      <c r="C1302" s="1102">
        <v>1.0105741192843092</v>
      </c>
      <c r="D1302" s="1102">
        <v>1.0226867078780129</v>
      </c>
      <c r="E1302" s="1102">
        <v>1.020259347183228</v>
      </c>
      <c r="F1302" s="1102">
        <v>0.99377691746039265</v>
      </c>
      <c r="G1302" s="1102">
        <v>0.97961335525292759</v>
      </c>
      <c r="H1302" s="1102">
        <v>1.0337889432400427</v>
      </c>
      <c r="I1302" s="1102">
        <v>0.99070322464057192</v>
      </c>
      <c r="K1302">
        <v>1.5521010806449438</v>
      </c>
      <c r="L1302">
        <v>0</v>
      </c>
      <c r="M1302">
        <v>1.5115034813430476E-3</v>
      </c>
      <c r="N1302">
        <v>0.14786506182162865</v>
      </c>
      <c r="O1302">
        <v>0.11937030034756042</v>
      </c>
      <c r="P1302">
        <v>1.5777878953682933E-2</v>
      </c>
      <c r="Q1302">
        <v>9.0005534249389064E-4</v>
      </c>
      <c r="R1302">
        <v>1.5081683048526558E-3</v>
      </c>
      <c r="S1302">
        <v>0.11827011600833587</v>
      </c>
      <c r="T1302">
        <v>0.81879147107870487</v>
      </c>
      <c r="U1302">
        <v>0</v>
      </c>
      <c r="V1302">
        <v>0.20286592414233248</v>
      </c>
      <c r="W1302">
        <v>9.5983853669392688E-2</v>
      </c>
      <c r="X1302">
        <v>2.8175017499039466E-2</v>
      </c>
      <c r="Y1302">
        <v>4.1047369582608512E-3</v>
      </c>
    </row>
    <row r="1303" spans="1:25" x14ac:dyDescent="0.25">
      <c r="A1303" s="1098"/>
      <c r="B1303" s="1457">
        <v>1053</v>
      </c>
      <c r="C1303" s="1102">
        <v>1.003233947374315</v>
      </c>
      <c r="D1303" s="1102">
        <v>1.0318992942838232</v>
      </c>
      <c r="E1303" s="1102">
        <v>0.97126922240372737</v>
      </c>
      <c r="F1303" s="1102">
        <v>0.99048600390359032</v>
      </c>
      <c r="G1303" s="1102">
        <v>1.0252371825061433</v>
      </c>
      <c r="H1303" s="1102">
        <v>0.98815979930294029</v>
      </c>
      <c r="I1303" s="1102">
        <v>0.9982328076402881</v>
      </c>
      <c r="K1303">
        <v>1.5312435652295551</v>
      </c>
      <c r="L1303">
        <v>0</v>
      </c>
      <c r="M1303">
        <v>1.6015196921309557E-3</v>
      </c>
      <c r="N1303">
        <v>0.13509590786994313</v>
      </c>
      <c r="O1303">
        <v>0.11925412839084518</v>
      </c>
      <c r="P1303">
        <v>1.5210116788090965E-2</v>
      </c>
      <c r="Q1303">
        <v>8.5855331064742192E-4</v>
      </c>
      <c r="R1303">
        <v>1.5978143342573056E-3</v>
      </c>
      <c r="S1303">
        <v>0.1157127938813045</v>
      </c>
      <c r="T1303">
        <v>0.81928992138019119</v>
      </c>
      <c r="U1303">
        <v>0</v>
      </c>
      <c r="V1303">
        <v>0.20500949775767119</v>
      </c>
      <c r="W1303">
        <v>9.0294968108875787E-2</v>
      </c>
      <c r="X1303">
        <v>2.6172659201365328E-2</v>
      </c>
      <c r="Y1303">
        <v>4.3487238984946577E-3</v>
      </c>
    </row>
    <row r="1304" spans="1:25" x14ac:dyDescent="0.25">
      <c r="A1304" s="1098"/>
      <c r="B1304" s="1457">
        <v>1054</v>
      </c>
      <c r="C1304" s="1102">
        <v>0.99655449160871989</v>
      </c>
      <c r="D1304" s="1102">
        <v>1.0003266941700302</v>
      </c>
      <c r="E1304" s="1102">
        <v>0.97993344960374773</v>
      </c>
      <c r="F1304" s="1102">
        <v>1.0138334545321364</v>
      </c>
      <c r="G1304" s="1102">
        <v>1.0127540415040521</v>
      </c>
      <c r="H1304" s="1102">
        <v>1.0135552174160987</v>
      </c>
      <c r="I1304" s="1102">
        <v>0.97638669463455874</v>
      </c>
      <c r="K1304">
        <v>1.5727675569650017</v>
      </c>
      <c r="L1304">
        <v>0</v>
      </c>
      <c r="M1304">
        <v>1.6553064885446809E-3</v>
      </c>
      <c r="N1304">
        <v>0.1433535968375505</v>
      </c>
      <c r="O1304">
        <v>0.12256118632340998</v>
      </c>
      <c r="P1304">
        <v>1.5624170559798541E-2</v>
      </c>
      <c r="Q1304">
        <v>8.8311884697575007E-4</v>
      </c>
      <c r="R1304">
        <v>1.6515966562311826E-3</v>
      </c>
      <c r="S1304">
        <v>0.11815928282618608</v>
      </c>
      <c r="T1304">
        <v>0.83801519892034493</v>
      </c>
      <c r="U1304">
        <v>0</v>
      </c>
      <c r="V1304">
        <v>0.20715430362382461</v>
      </c>
      <c r="W1304">
        <v>9.5312513389580619E-2</v>
      </c>
      <c r="X1304">
        <v>2.721279382007483E-2</v>
      </c>
      <c r="Y1304">
        <v>4.4951016495698749E-3</v>
      </c>
    </row>
    <row r="1305" spans="1:25" x14ac:dyDescent="0.25">
      <c r="A1305" s="1098"/>
      <c r="B1305" s="1457">
        <v>1055</v>
      </c>
      <c r="C1305" s="1102">
        <v>0.99922183069844417</v>
      </c>
      <c r="D1305" s="1102">
        <v>1.0203506989491982</v>
      </c>
      <c r="E1305" s="1102">
        <v>0.9676496060727684</v>
      </c>
      <c r="F1305" s="1102">
        <v>0.98663783339738187</v>
      </c>
      <c r="G1305" s="1102">
        <v>1.02465722883162</v>
      </c>
      <c r="H1305" s="1102">
        <v>1.0277663445423979</v>
      </c>
      <c r="I1305" s="1102">
        <v>0.98248511209714662</v>
      </c>
      <c r="K1305">
        <v>1.542477603176587</v>
      </c>
      <c r="L1305">
        <v>0</v>
      </c>
      <c r="M1305">
        <v>1.6947330975861268E-3</v>
      </c>
      <c r="N1305">
        <v>0.14141364507764642</v>
      </c>
      <c r="O1305">
        <v>0.11968834416449077</v>
      </c>
      <c r="P1305">
        <v>1.51665278504794E-2</v>
      </c>
      <c r="Q1305">
        <v>8.6259319740097343E-4</v>
      </c>
      <c r="R1305">
        <v>1.690968048757732E-3</v>
      </c>
      <c r="S1305">
        <v>0.11811165089397155</v>
      </c>
      <c r="T1305">
        <v>0.81634614152115459</v>
      </c>
      <c r="U1305">
        <v>0</v>
      </c>
      <c r="V1305">
        <v>0.20544657579758319</v>
      </c>
      <c r="W1305">
        <v>9.4726140253802632E-2</v>
      </c>
      <c r="X1305">
        <v>2.6117491867632136E-2</v>
      </c>
      <c r="Y1305">
        <v>4.6022576012510865E-3</v>
      </c>
    </row>
    <row r="1306" spans="1:25" x14ac:dyDescent="0.25">
      <c r="A1306" s="1098"/>
      <c r="B1306" s="1457">
        <v>1056</v>
      </c>
      <c r="C1306" s="1102">
        <v>0.99941609823943944</v>
      </c>
      <c r="D1306" s="1102">
        <v>1.0171913046909056</v>
      </c>
      <c r="E1306" s="1102">
        <v>0.99225838593543958</v>
      </c>
      <c r="F1306" s="1102">
        <v>1.0334815669676674</v>
      </c>
      <c r="G1306" s="1102">
        <v>0.98329379151611751</v>
      </c>
      <c r="H1306" s="1102">
        <v>0.98783005869331075</v>
      </c>
      <c r="I1306" s="1102">
        <v>0.98282603740211261</v>
      </c>
      <c r="K1306">
        <v>1.5790881592572648</v>
      </c>
      <c r="L1306">
        <v>0</v>
      </c>
      <c r="M1306">
        <v>1.5558646004207508E-3</v>
      </c>
      <c r="N1306">
        <v>0.13985031067669337</v>
      </c>
      <c r="O1306">
        <v>0.12299363912136627</v>
      </c>
      <c r="P1306">
        <v>1.5929895892748E-2</v>
      </c>
      <c r="Q1306">
        <v>8.8605475801864476E-4</v>
      </c>
      <c r="R1306">
        <v>1.5522825984221147E-3</v>
      </c>
      <c r="S1306">
        <v>0.11557944204858399</v>
      </c>
      <c r="T1306">
        <v>0.85340937269228578</v>
      </c>
      <c r="U1306">
        <v>0</v>
      </c>
      <c r="V1306">
        <v>0.20611007729852363</v>
      </c>
      <c r="W1306">
        <v>9.2297143658152031E-2</v>
      </c>
      <c r="X1306">
        <v>2.7811003589805504E-2</v>
      </c>
      <c r="Y1306">
        <v>4.2248015230839514E-3</v>
      </c>
    </row>
    <row r="1307" spans="1:25" x14ac:dyDescent="0.25">
      <c r="A1307" s="1098"/>
      <c r="B1307" s="1457">
        <v>1057</v>
      </c>
      <c r="C1307" s="1102">
        <v>1.0065955498987205</v>
      </c>
      <c r="D1307" s="1102">
        <v>1.0175803825219354</v>
      </c>
      <c r="E1307" s="1102">
        <v>0.97318081085661812</v>
      </c>
      <c r="F1307" s="1102">
        <v>1.0353186678610453</v>
      </c>
      <c r="G1307" s="1102">
        <v>1.0073857274483911</v>
      </c>
      <c r="H1307" s="1102">
        <v>1.0101460418399795</v>
      </c>
      <c r="I1307" s="1102">
        <v>0.98560481083459617</v>
      </c>
      <c r="K1307">
        <v>1.5831952659681221</v>
      </c>
      <c r="L1307">
        <v>0</v>
      </c>
      <c r="M1307">
        <v>1.6439285176687124E-3</v>
      </c>
      <c r="N1307">
        <v>0.13948702388155096</v>
      </c>
      <c r="O1307">
        <v>0.12278906430825991</v>
      </c>
      <c r="P1307">
        <v>1.5762148950296682E-2</v>
      </c>
      <c r="Q1307">
        <v>8.6221494063261123E-4</v>
      </c>
      <c r="R1307">
        <v>1.640229466906667E-3</v>
      </c>
      <c r="S1307">
        <v>0.11678531217780062</v>
      </c>
      <c r="T1307">
        <v>0.85624126384597754</v>
      </c>
      <c r="U1307">
        <v>0</v>
      </c>
      <c r="V1307">
        <v>0.20664264006010605</v>
      </c>
      <c r="W1307">
        <v>9.3121673499823726E-2</v>
      </c>
      <c r="X1307">
        <v>2.7043459447014601E-2</v>
      </c>
      <c r="Y1307">
        <v>4.4641639074214975E-3</v>
      </c>
    </row>
    <row r="1308" spans="1:25" x14ac:dyDescent="0.25">
      <c r="A1308" s="1098"/>
      <c r="B1308" s="1457">
        <v>1058</v>
      </c>
      <c r="C1308" s="1102">
        <v>0.9767651155427951</v>
      </c>
      <c r="D1308" s="1102">
        <v>1.0012279659085515</v>
      </c>
      <c r="E1308" s="1102">
        <v>0.98839037813280883</v>
      </c>
      <c r="F1308" s="1102">
        <v>0.99331457344304686</v>
      </c>
      <c r="G1308" s="1102">
        <v>1.0063895702743619</v>
      </c>
      <c r="H1308" s="1102">
        <v>1.0310235517906798</v>
      </c>
      <c r="I1308" s="1102">
        <v>1.0030449968314534</v>
      </c>
      <c r="K1308">
        <v>1.571888236485725</v>
      </c>
      <c r="L1308">
        <v>0</v>
      </c>
      <c r="M1308">
        <v>1.6821523710478696E-3</v>
      </c>
      <c r="N1308">
        <v>0.14945766743195676</v>
      </c>
      <c r="O1308">
        <v>0.12209141611744616</v>
      </c>
      <c r="P1308">
        <v>1.5584556266361332E-2</v>
      </c>
      <c r="Q1308">
        <v>9.0868620353226734E-4</v>
      </c>
      <c r="R1308">
        <v>1.6784343729923197E-3</v>
      </c>
      <c r="S1308">
        <v>0.12496144747630661</v>
      </c>
      <c r="T1308">
        <v>0.82049584873657122</v>
      </c>
      <c r="U1308">
        <v>0</v>
      </c>
      <c r="V1308">
        <v>0.20750146989233773</v>
      </c>
      <c r="W1308">
        <v>9.8866487016236487E-2</v>
      </c>
      <c r="X1308">
        <v>2.7456230275486958E-2</v>
      </c>
      <c r="Y1308">
        <v>4.5681450675427379E-3</v>
      </c>
    </row>
    <row r="1309" spans="1:25" x14ac:dyDescent="0.25">
      <c r="A1309" s="1098"/>
      <c r="B1309" s="1457">
        <v>1059</v>
      </c>
      <c r="C1309" s="1102">
        <v>0.9958308156968394</v>
      </c>
      <c r="D1309" s="1102">
        <v>1.0094344242550266</v>
      </c>
      <c r="E1309" s="1102">
        <v>0.990227835964965</v>
      </c>
      <c r="F1309" s="1102">
        <v>0.99840722535192894</v>
      </c>
      <c r="G1309" s="1102">
        <v>0.99780594042246762</v>
      </c>
      <c r="H1309" s="1102">
        <v>0.98399743815384055</v>
      </c>
      <c r="I1309" s="1102">
        <v>0.9734424325808424</v>
      </c>
      <c r="K1309">
        <v>1.5460490840136381</v>
      </c>
      <c r="L1309">
        <v>0</v>
      </c>
      <c r="M1309">
        <v>1.5643362163435817E-3</v>
      </c>
      <c r="N1309">
        <v>0.13974950670848446</v>
      </c>
      <c r="O1309">
        <v>0.12109047860959089</v>
      </c>
      <c r="P1309">
        <v>1.5497870498527008E-2</v>
      </c>
      <c r="Q1309">
        <v>8.900872061114967E-4</v>
      </c>
      <c r="R1309">
        <v>1.5607150943579705E-3</v>
      </c>
      <c r="S1309">
        <v>0.11490035901613381</v>
      </c>
      <c r="T1309">
        <v>0.82458073347848737</v>
      </c>
      <c r="U1309">
        <v>0</v>
      </c>
      <c r="V1309">
        <v>0.20548921103318232</v>
      </c>
      <c r="W1309">
        <v>9.2342765289733522E-2</v>
      </c>
      <c r="X1309">
        <v>2.7263941298123057E-2</v>
      </c>
      <c r="Y1309">
        <v>4.2477519972498124E-3</v>
      </c>
    </row>
    <row r="1310" spans="1:25" x14ac:dyDescent="0.25">
      <c r="A1310" s="1098"/>
      <c r="B1310" s="1457">
        <v>1060</v>
      </c>
      <c r="C1310" s="1102">
        <v>1.0307837642797604</v>
      </c>
      <c r="D1310" s="1102">
        <v>1.0068384061745073</v>
      </c>
      <c r="E1310" s="1102">
        <v>0.98078954186958323</v>
      </c>
      <c r="F1310" s="1102">
        <v>0.98944474339951238</v>
      </c>
      <c r="G1310" s="1102">
        <v>1.0245695542293971</v>
      </c>
      <c r="H1310" s="1102">
        <v>0.98822920410149551</v>
      </c>
      <c r="I1310" s="1102">
        <v>0.98152130308624175</v>
      </c>
      <c r="K1310">
        <v>1.5237484047481631</v>
      </c>
      <c r="L1310">
        <v>0</v>
      </c>
      <c r="M1310">
        <v>1.5527993121608916E-3</v>
      </c>
      <c r="N1310">
        <v>0.13481708070283074</v>
      </c>
      <c r="O1310">
        <v>0.11885418786409943</v>
      </c>
      <c r="P1310">
        <v>1.5236822323229038E-2</v>
      </c>
      <c r="Q1310">
        <v>8.5234420731828309E-4</v>
      </c>
      <c r="R1310">
        <v>1.5492282964892881E-3</v>
      </c>
      <c r="S1310">
        <v>0.11253323718964131</v>
      </c>
      <c r="T1310">
        <v>0.81779950574172144</v>
      </c>
      <c r="U1310">
        <v>0</v>
      </c>
      <c r="V1310">
        <v>0.20341928604610127</v>
      </c>
      <c r="W1310">
        <v>8.9590469347710491E-2</v>
      </c>
      <c r="X1310">
        <v>2.6432553621109824E-2</v>
      </c>
      <c r="Y1310">
        <v>4.21648872007316E-3</v>
      </c>
    </row>
    <row r="1311" spans="1:25" x14ac:dyDescent="0.25">
      <c r="A1311" s="1098"/>
      <c r="B1311" s="1457">
        <v>1061</v>
      </c>
      <c r="C1311" s="1102">
        <v>0.99660793384265678</v>
      </c>
      <c r="D1311" s="1102">
        <v>0.96605620541635728</v>
      </c>
      <c r="E1311" s="1102">
        <v>0.988586866079187</v>
      </c>
      <c r="F1311" s="1102">
        <v>0.96085126530214027</v>
      </c>
      <c r="G1311" s="1102">
        <v>0.97592046107379737</v>
      </c>
      <c r="H1311" s="1102">
        <v>1.0070591111470535</v>
      </c>
      <c r="I1311" s="1102">
        <v>1.0199396316677478</v>
      </c>
      <c r="K1311">
        <v>1.5327228221031224</v>
      </c>
      <c r="L1311">
        <v>0</v>
      </c>
      <c r="M1311">
        <v>1.6406152922787314E-3</v>
      </c>
      <c r="N1311">
        <v>0.14584763994315303</v>
      </c>
      <c r="O1311">
        <v>0.12029699879327314</v>
      </c>
      <c r="P1311">
        <v>1.5176340922831641E-2</v>
      </c>
      <c r="Q1311">
        <v>9.0360990961957464E-4</v>
      </c>
      <c r="R1311">
        <v>1.6369203258225231E-3</v>
      </c>
      <c r="S1311">
        <v>0.12514164416234552</v>
      </c>
      <c r="T1311">
        <v>0.79366803424228138</v>
      </c>
      <c r="U1311">
        <v>0</v>
      </c>
      <c r="V1311">
        <v>0.20377626428471007</v>
      </c>
      <c r="W1311">
        <v>9.646707880962728E-2</v>
      </c>
      <c r="X1311">
        <v>2.6993748485486902E-2</v>
      </c>
      <c r="Y1311">
        <v>4.4551575162485235E-3</v>
      </c>
    </row>
    <row r="1312" spans="1:25" x14ac:dyDescent="0.25">
      <c r="A1312" s="1098"/>
      <c r="B1312" s="1457">
        <v>1062</v>
      </c>
      <c r="C1312" s="1102">
        <v>0.99904727088332257</v>
      </c>
      <c r="D1312" s="1102">
        <v>1.0103316768363657</v>
      </c>
      <c r="E1312" s="1102">
        <v>1.0206792595978142</v>
      </c>
      <c r="F1312" s="1102">
        <v>1.0264547343791486</v>
      </c>
      <c r="G1312" s="1102">
        <v>1.001592995672179</v>
      </c>
      <c r="H1312" s="1102">
        <v>1.0057636861581918</v>
      </c>
      <c r="I1312" s="1102">
        <v>0.96766162030206082</v>
      </c>
      <c r="K1312">
        <v>1.5831307589058761</v>
      </c>
      <c r="L1312">
        <v>0</v>
      </c>
      <c r="M1312">
        <v>1.4988585873501423E-3</v>
      </c>
      <c r="N1312">
        <v>0.14680607395369186</v>
      </c>
      <c r="O1312">
        <v>0.12274866213460281</v>
      </c>
      <c r="P1312">
        <v>1.6174551560539763E-2</v>
      </c>
      <c r="Q1312">
        <v>9.1527128504547577E-4</v>
      </c>
      <c r="R1312">
        <v>1.4954714489441589E-3</v>
      </c>
      <c r="S1312">
        <v>0.11568479823991597</v>
      </c>
      <c r="T1312">
        <v>0.84568716992981641</v>
      </c>
      <c r="U1312">
        <v>0</v>
      </c>
      <c r="V1312">
        <v>0.20686224292556069</v>
      </c>
      <c r="W1312">
        <v>9.5273031335012387E-2</v>
      </c>
      <c r="X1312">
        <v>2.8912164378100708E-2</v>
      </c>
      <c r="Y1312">
        <v>4.0701803019953476E-3</v>
      </c>
    </row>
    <row r="1313" spans="1:25" x14ac:dyDescent="0.25">
      <c r="A1313" s="1098"/>
      <c r="B1313" s="1457">
        <v>1063</v>
      </c>
      <c r="C1313" s="1102">
        <v>0.97020452753985897</v>
      </c>
      <c r="D1313" s="1102">
        <v>1.0015292959705857</v>
      </c>
      <c r="E1313" s="1102">
        <v>1.0369492193716423</v>
      </c>
      <c r="F1313" s="1102">
        <v>0.956376528728905</v>
      </c>
      <c r="G1313" s="1102">
        <v>1.0244038200510999</v>
      </c>
      <c r="H1313" s="1102">
        <v>0.99350279195550928</v>
      </c>
      <c r="I1313" s="1102">
        <v>0.99375138275858454</v>
      </c>
      <c r="K1313">
        <v>1.532787540324543</v>
      </c>
      <c r="L1313">
        <v>0</v>
      </c>
      <c r="M1313">
        <v>1.4698347303941292E-3</v>
      </c>
      <c r="N1313">
        <v>0.15119458448068926</v>
      </c>
      <c r="O1313">
        <v>0.11964298197309765</v>
      </c>
      <c r="P1313">
        <v>1.5626679964291731E-2</v>
      </c>
      <c r="Q1313">
        <v>9.6162907900935644E-4</v>
      </c>
      <c r="R1313">
        <v>1.4664513210540346E-3</v>
      </c>
      <c r="S1313">
        <v>0.12139598517051546</v>
      </c>
      <c r="T1313">
        <v>0.78693763930613214</v>
      </c>
      <c r="U1313">
        <v>0</v>
      </c>
      <c r="V1313">
        <v>0.20702275476411447</v>
      </c>
      <c r="W1313">
        <v>9.719786534065325E-2</v>
      </c>
      <c r="X1313">
        <v>2.8819606575019627E-2</v>
      </c>
      <c r="Y1313">
        <v>3.9911970803610175E-3</v>
      </c>
    </row>
    <row r="1314" spans="1:25" x14ac:dyDescent="0.25">
      <c r="A1314" s="1098"/>
      <c r="B1314" s="1457">
        <v>1064</v>
      </c>
      <c r="C1314" s="1102">
        <v>0.99835951606647955</v>
      </c>
      <c r="D1314" s="1102">
        <v>1.0002647955025499</v>
      </c>
      <c r="E1314" s="1102">
        <v>0.99976715143138362</v>
      </c>
      <c r="F1314" s="1102">
        <v>0.996156891230075</v>
      </c>
      <c r="G1314" s="1102">
        <v>0.98566680802391227</v>
      </c>
      <c r="H1314" s="1102">
        <v>0.98157654288168938</v>
      </c>
      <c r="I1314" s="1102">
        <v>1.0000158134030048</v>
      </c>
      <c r="K1314">
        <v>1.5484278329912129</v>
      </c>
      <c r="L1314">
        <v>0</v>
      </c>
      <c r="M1314">
        <v>1.5339829232998059E-3</v>
      </c>
      <c r="N1314">
        <v>0.14104603271632415</v>
      </c>
      <c r="O1314">
        <v>0.12117615215324758</v>
      </c>
      <c r="P1314">
        <v>1.5612346900419939E-2</v>
      </c>
      <c r="Q1314">
        <v>8.9996006014585672E-4</v>
      </c>
      <c r="R1314">
        <v>1.5304287375689674E-3</v>
      </c>
      <c r="S1314">
        <v>0.11820792831439221</v>
      </c>
      <c r="T1314">
        <v>0.82209334710672033</v>
      </c>
      <c r="U1314">
        <v>0</v>
      </c>
      <c r="V1314">
        <v>0.20490062722865673</v>
      </c>
      <c r="W1314">
        <v>9.2670480495080532E-2</v>
      </c>
      <c r="X1314">
        <v>2.7659189683989518E-2</v>
      </c>
      <c r="Y1314">
        <v>4.1653225179649773E-3</v>
      </c>
    </row>
    <row r="1315" spans="1:25" x14ac:dyDescent="0.25">
      <c r="A1315" s="1098"/>
      <c r="B1315" s="1457">
        <v>1065</v>
      </c>
      <c r="C1315" s="1102">
        <v>0.99059973417477798</v>
      </c>
      <c r="D1315" s="1102">
        <v>0.96836514724494349</v>
      </c>
      <c r="E1315" s="1102">
        <v>1.0217779947756578</v>
      </c>
      <c r="F1315" s="1102">
        <v>1.0107032519888492</v>
      </c>
      <c r="G1315" s="1102">
        <v>1.0431550848029889</v>
      </c>
      <c r="H1315" s="1102">
        <v>1.0158755365388175</v>
      </c>
      <c r="I1315" s="1102">
        <v>1.036395418302962</v>
      </c>
      <c r="K1315">
        <v>1.5984449345345468</v>
      </c>
      <c r="L1315">
        <v>0</v>
      </c>
      <c r="M1315">
        <v>1.5576359412254254E-3</v>
      </c>
      <c r="N1315">
        <v>0.15307478296749327</v>
      </c>
      <c r="O1315">
        <v>0.12398528390827178</v>
      </c>
      <c r="P1315">
        <v>1.6232319233723425E-2</v>
      </c>
      <c r="Q1315">
        <v>9.3993275657037057E-4</v>
      </c>
      <c r="R1315">
        <v>1.5541693895517537E-3</v>
      </c>
      <c r="S1315">
        <v>0.12886813556222151</v>
      </c>
      <c r="T1315">
        <v>0.83263711336161217</v>
      </c>
      <c r="U1315">
        <v>0</v>
      </c>
      <c r="V1315">
        <v>0.2099411411321194</v>
      </c>
      <c r="W1315">
        <v>9.9277471707478693E-2</v>
      </c>
      <c r="X1315">
        <v>2.9262283710170332E-2</v>
      </c>
      <c r="Y1315">
        <v>4.2299367465582997E-3</v>
      </c>
    </row>
    <row r="1316" spans="1:25" x14ac:dyDescent="0.25">
      <c r="A1316" s="1098"/>
      <c r="B1316" s="1457">
        <v>1066</v>
      </c>
      <c r="C1316" s="1102">
        <v>1.0210740703806442</v>
      </c>
      <c r="D1316" s="1102">
        <v>0.97431716429798143</v>
      </c>
      <c r="E1316" s="1102">
        <v>0.99528615556254951</v>
      </c>
      <c r="F1316" s="1102">
        <v>0.97406208200352851</v>
      </c>
      <c r="G1316" s="1102">
        <v>0.98945383430896428</v>
      </c>
      <c r="H1316" s="1102">
        <v>0.9669554520621062</v>
      </c>
      <c r="I1316" s="1102">
        <v>1.0140274351705225</v>
      </c>
      <c r="K1316">
        <v>1.5195619357171706</v>
      </c>
      <c r="L1316">
        <v>0</v>
      </c>
      <c r="M1316">
        <v>1.5135461788025276E-3</v>
      </c>
      <c r="N1316">
        <v>0.13729179570655412</v>
      </c>
      <c r="O1316">
        <v>0.11962841432219712</v>
      </c>
      <c r="P1316">
        <v>1.5283301277475382E-2</v>
      </c>
      <c r="Q1316">
        <v>8.8511243863894262E-4</v>
      </c>
      <c r="R1316">
        <v>1.5100015490218579E-3</v>
      </c>
      <c r="S1316">
        <v>0.11786911721626518</v>
      </c>
      <c r="T1316">
        <v>0.80414776070433025</v>
      </c>
      <c r="U1316">
        <v>0</v>
      </c>
      <c r="V1316">
        <v>0.2028103883173846</v>
      </c>
      <c r="W1316">
        <v>9.0444888099736095E-2</v>
      </c>
      <c r="X1316">
        <v>2.7094975819806983E-2</v>
      </c>
      <c r="Y1316">
        <v>4.1097264445606411E-3</v>
      </c>
    </row>
    <row r="1317" spans="1:25" x14ac:dyDescent="0.25">
      <c r="A1317" s="1098"/>
      <c r="B1317" s="1457">
        <v>1067</v>
      </c>
      <c r="C1317" s="1102">
        <v>0.99262469522313734</v>
      </c>
      <c r="D1317" s="1102">
        <v>1.0345325551650171</v>
      </c>
      <c r="E1317" s="1102">
        <v>0.98539780913828356</v>
      </c>
      <c r="F1317" s="1102">
        <v>0.96288702223067624</v>
      </c>
      <c r="G1317" s="1102">
        <v>1.0171495313161758</v>
      </c>
      <c r="H1317" s="1102">
        <v>0.99203162673034828</v>
      </c>
      <c r="I1317" s="1102">
        <v>1.0105306661821178</v>
      </c>
      <c r="K1317">
        <v>1.5122356736622453</v>
      </c>
      <c r="L1317">
        <v>0</v>
      </c>
      <c r="M1317">
        <v>1.5713855857016716E-3</v>
      </c>
      <c r="N1317">
        <v>0.13834418499981063</v>
      </c>
      <c r="O1317">
        <v>0.11770684246575365</v>
      </c>
      <c r="P1317">
        <v>1.5076876548563932E-2</v>
      </c>
      <c r="Q1317">
        <v>8.7978706963229259E-4</v>
      </c>
      <c r="R1317">
        <v>1.5677521280496268E-3</v>
      </c>
      <c r="S1317">
        <v>0.11831736551851087</v>
      </c>
      <c r="T1317">
        <v>0.7955535787722956</v>
      </c>
      <c r="U1317">
        <v>0</v>
      </c>
      <c r="V1317">
        <v>0.20405442363785481</v>
      </c>
      <c r="W1317">
        <v>9.1679513766855653E-2</v>
      </c>
      <c r="X1317">
        <v>2.6359829857417832E-2</v>
      </c>
      <c r="Y1317">
        <v>4.2669044832009681E-3</v>
      </c>
    </row>
    <row r="1318" spans="1:25" x14ac:dyDescent="0.25">
      <c r="A1318" s="1098"/>
      <c r="B1318" s="1457">
        <v>1068</v>
      </c>
      <c r="C1318" s="1102">
        <v>1.0028680964176591</v>
      </c>
      <c r="D1318" s="1102">
        <v>1.0187922903993625</v>
      </c>
      <c r="E1318" s="1102">
        <v>1.0033257236284505</v>
      </c>
      <c r="F1318" s="1102">
        <v>1.00389832975375</v>
      </c>
      <c r="G1318" s="1102">
        <v>1.034325601058981</v>
      </c>
      <c r="H1318" s="1102">
        <v>0.98325219461288815</v>
      </c>
      <c r="I1318" s="1102">
        <v>0.95466185534967352</v>
      </c>
      <c r="K1318">
        <v>1.5466000277270568</v>
      </c>
      <c r="L1318">
        <v>0</v>
      </c>
      <c r="M1318">
        <v>1.5041088087629963E-3</v>
      </c>
      <c r="N1318">
        <v>0.13979377300824006</v>
      </c>
      <c r="O1318">
        <v>0.12067437439970183</v>
      </c>
      <c r="P1318">
        <v>1.5666498010601552E-2</v>
      </c>
      <c r="Q1318">
        <v>8.9264575848689402E-4</v>
      </c>
      <c r="R1318">
        <v>1.5006223185068028E-3</v>
      </c>
      <c r="S1318">
        <v>0.11131369058709158</v>
      </c>
      <c r="T1318">
        <v>0.82824643159887557</v>
      </c>
      <c r="U1318">
        <v>0</v>
      </c>
      <c r="V1318">
        <v>0.20657609380340175</v>
      </c>
      <c r="W1318">
        <v>9.1653899028167632E-2</v>
      </c>
      <c r="X1318">
        <v>2.7701908751784441E-2</v>
      </c>
      <c r="Y1318">
        <v>4.0841992709611695E-3</v>
      </c>
    </row>
    <row r="1319" spans="1:25" x14ac:dyDescent="0.25">
      <c r="A1319" s="1098"/>
      <c r="B1319" s="1457">
        <v>1069</v>
      </c>
      <c r="C1319" s="1102">
        <v>0.98189059043011517</v>
      </c>
      <c r="D1319" s="1102">
        <v>1.0102815167968329</v>
      </c>
      <c r="E1319" s="1102">
        <v>1.0146379626070963</v>
      </c>
      <c r="F1319" s="1102">
        <v>1.0150597345148187</v>
      </c>
      <c r="G1319" s="1102">
        <v>1.0230217016662511</v>
      </c>
      <c r="H1319" s="1102">
        <v>0.99906006274512693</v>
      </c>
      <c r="I1319" s="1102">
        <v>1.0176956519738274</v>
      </c>
      <c r="K1319">
        <v>1.5843618112003623</v>
      </c>
      <c r="L1319">
        <v>0</v>
      </c>
      <c r="M1319">
        <v>1.5308960584098112E-3</v>
      </c>
      <c r="N1319">
        <v>0.14723257747304716</v>
      </c>
      <c r="O1319">
        <v>0.12287630739011564</v>
      </c>
      <c r="P1319">
        <v>1.6106333184201641E-2</v>
      </c>
      <c r="Q1319">
        <v>9.2552156836514044E-4</v>
      </c>
      <c r="R1319">
        <v>1.5274060890415166E-3</v>
      </c>
      <c r="S1319">
        <v>0.12306524543219528</v>
      </c>
      <c r="T1319">
        <v>0.8367002460538866</v>
      </c>
      <c r="U1319">
        <v>0</v>
      </c>
      <c r="V1319">
        <v>0.20870800720889351</v>
      </c>
      <c r="W1319">
        <v>9.5888761642798817E-2</v>
      </c>
      <c r="X1319">
        <v>2.8705205351135993E-2</v>
      </c>
      <c r="Y1319">
        <v>4.1570958650890763E-3</v>
      </c>
    </row>
    <row r="1320" spans="1:25" x14ac:dyDescent="0.25">
      <c r="A1320" s="1098"/>
      <c r="B1320" s="1457">
        <v>1070</v>
      </c>
      <c r="C1320" s="1102">
        <v>1.0118838365104317</v>
      </c>
      <c r="D1320" s="1102">
        <v>1.0183849472253212</v>
      </c>
      <c r="E1320" s="1102">
        <v>0.99043607984985083</v>
      </c>
      <c r="F1320" s="1102">
        <v>1.0148939397809835</v>
      </c>
      <c r="G1320" s="1102">
        <v>0.99455875433069818</v>
      </c>
      <c r="H1320" s="1102">
        <v>0.97457731017269178</v>
      </c>
      <c r="I1320" s="1102">
        <v>0.98568237433785977</v>
      </c>
      <c r="K1320">
        <v>1.5507448139644269</v>
      </c>
      <c r="L1320">
        <v>0</v>
      </c>
      <c r="M1320">
        <v>1.5200986478039115E-3</v>
      </c>
      <c r="N1320">
        <v>0.13588031631923292</v>
      </c>
      <c r="O1320">
        <v>0.12103001701023991</v>
      </c>
      <c r="P1320">
        <v>1.5651203730814748E-2</v>
      </c>
      <c r="Q1320">
        <v>8.7306819935729202E-4</v>
      </c>
      <c r="R1320">
        <v>1.516549065926376E-3</v>
      </c>
      <c r="S1320">
        <v>0.11335400947780573</v>
      </c>
      <c r="T1320">
        <v>0.83818303053076881</v>
      </c>
      <c r="U1320">
        <v>0</v>
      </c>
      <c r="V1320">
        <v>0.20458650296922795</v>
      </c>
      <c r="W1320">
        <v>8.977490971757203E-2</v>
      </c>
      <c r="X1320">
        <v>2.7287758964098376E-2</v>
      </c>
      <c r="Y1320">
        <v>4.1275466271863724E-3</v>
      </c>
    </row>
    <row r="1321" spans="1:25" x14ac:dyDescent="0.25">
      <c r="A1321" s="1098"/>
      <c r="B1321" s="1457">
        <v>1071</v>
      </c>
      <c r="C1321" s="1102">
        <v>1.0023579898173562</v>
      </c>
      <c r="D1321" s="1102">
        <v>0.99477731418780846</v>
      </c>
      <c r="E1321" s="1102">
        <v>1.0057521342088867</v>
      </c>
      <c r="F1321" s="1102">
        <v>1.0271829127420455</v>
      </c>
      <c r="G1321" s="1102">
        <v>1.0020215609061356</v>
      </c>
      <c r="H1321" s="1102">
        <v>0.98784923514106049</v>
      </c>
      <c r="I1321" s="1102">
        <v>0.98719205115931352</v>
      </c>
      <c r="K1321">
        <v>1.5811978785489522</v>
      </c>
      <c r="L1321">
        <v>0</v>
      </c>
      <c r="M1321">
        <v>1.5273985091075748E-3</v>
      </c>
      <c r="N1321">
        <v>0.14300589838814412</v>
      </c>
      <c r="O1321">
        <v>0.12336803004063528</v>
      </c>
      <c r="P1321">
        <v>1.6044761650667878E-2</v>
      </c>
      <c r="Q1321">
        <v>9.0392820810152009E-4</v>
      </c>
      <c r="R1321">
        <v>1.523894494284211E-3</v>
      </c>
      <c r="S1321">
        <v>0.11731491300919956</v>
      </c>
      <c r="T1321">
        <v>0.84729274961535495</v>
      </c>
      <c r="U1321">
        <v>0</v>
      </c>
      <c r="V1321">
        <v>0.20708563506912336</v>
      </c>
      <c r="W1321">
        <v>9.3625252289769437E-2</v>
      </c>
      <c r="X1321">
        <v>2.8412675831021476E-2</v>
      </c>
      <c r="Y1321">
        <v>4.1475384617565931E-3</v>
      </c>
    </row>
    <row r="1322" spans="1:25" x14ac:dyDescent="0.25">
      <c r="A1322" s="1098"/>
      <c r="B1322" s="1457">
        <v>1072</v>
      </c>
      <c r="C1322" s="1102">
        <v>0.97798861129044801</v>
      </c>
      <c r="D1322" s="1102">
        <v>0.97863547244339677</v>
      </c>
      <c r="E1322" s="1102">
        <v>1.0425898318048448</v>
      </c>
      <c r="F1322" s="1102">
        <v>1.0021129148844772</v>
      </c>
      <c r="G1322" s="1102">
        <v>1.0040861333347748</v>
      </c>
      <c r="H1322" s="1102">
        <v>1.0275778056731186</v>
      </c>
      <c r="I1322" s="1102">
        <v>1.0237482845320434</v>
      </c>
      <c r="K1322">
        <v>1.5971368770065253</v>
      </c>
      <c r="L1322">
        <v>0</v>
      </c>
      <c r="M1322">
        <v>1.5165616066382752E-3</v>
      </c>
      <c r="N1322">
        <v>0.15868953602935154</v>
      </c>
      <c r="O1322">
        <v>0.12351165836599745</v>
      </c>
      <c r="P1322">
        <v>1.6343146809489024E-2</v>
      </c>
      <c r="Q1322">
        <v>9.6836940550484992E-4</v>
      </c>
      <c r="R1322">
        <v>1.5132135780822713E-3</v>
      </c>
      <c r="S1322">
        <v>0.12901399773146485</v>
      </c>
      <c r="T1322">
        <v>0.82420514067541484</v>
      </c>
      <c r="U1322">
        <v>0</v>
      </c>
      <c r="V1322">
        <v>0.20854634995819671</v>
      </c>
      <c r="W1322">
        <v>0.10168517595252188</v>
      </c>
      <c r="X1322">
        <v>3.0058381578320508E-2</v>
      </c>
      <c r="Y1322">
        <v>4.1184685288179904E-3</v>
      </c>
    </row>
    <row r="1323" spans="1:25" x14ac:dyDescent="0.25">
      <c r="A1323" s="1098"/>
      <c r="B1323" s="1457">
        <v>1073</v>
      </c>
      <c r="C1323" s="1102">
        <v>1.0035726156247922</v>
      </c>
      <c r="D1323" s="1102">
        <v>0.95596165999135263</v>
      </c>
      <c r="E1323" s="1102">
        <v>1.0336800953133354</v>
      </c>
      <c r="F1323" s="1102">
        <v>1.0436229688529408</v>
      </c>
      <c r="G1323" s="1102">
        <v>1.0066246680522046</v>
      </c>
      <c r="H1323" s="1102">
        <v>0.99693586473429519</v>
      </c>
      <c r="I1323" s="1102">
        <v>1.0019757622640844</v>
      </c>
      <c r="K1323">
        <v>1.6181307297082481</v>
      </c>
      <c r="L1323">
        <v>0</v>
      </c>
      <c r="M1323">
        <v>1.487868148444791E-3</v>
      </c>
      <c r="N1323">
        <v>0.15155639341289584</v>
      </c>
      <c r="O1323">
        <v>0.1261667534847952</v>
      </c>
      <c r="P1323">
        <v>1.6646264586574665E-2</v>
      </c>
      <c r="Q1323">
        <v>9.4398836606153752E-4</v>
      </c>
      <c r="R1323">
        <v>1.4845129430388043E-3</v>
      </c>
      <c r="S1323">
        <v>0.12269640748349805</v>
      </c>
      <c r="T1323">
        <v>0.85894816965469201</v>
      </c>
      <c r="U1323">
        <v>0</v>
      </c>
      <c r="V1323">
        <v>0.20931804408872334</v>
      </c>
      <c r="W1323">
        <v>9.7614753786858452E-2</v>
      </c>
      <c r="X1323">
        <v>3.0202955188163377E-2</v>
      </c>
      <c r="Y1323">
        <v>4.0403548613914741E-3</v>
      </c>
    </row>
    <row r="1324" spans="1:25" x14ac:dyDescent="0.25">
      <c r="A1324" s="1098"/>
      <c r="B1324" s="1457">
        <v>1074</v>
      </c>
      <c r="C1324" s="1102">
        <v>0.99449217240685095</v>
      </c>
      <c r="D1324" s="1102">
        <v>1.0061860052359024</v>
      </c>
      <c r="E1324" s="1102">
        <v>1.0284082439236226</v>
      </c>
      <c r="F1324" s="1102">
        <v>1.0009057586807397</v>
      </c>
      <c r="G1324" s="1102">
        <v>0.98527051369042051</v>
      </c>
      <c r="H1324" s="1102">
        <v>0.99099728635864992</v>
      </c>
      <c r="I1324" s="1102">
        <v>1.0281439948567268</v>
      </c>
      <c r="K1324">
        <v>1.5640073843916114</v>
      </c>
      <c r="L1324">
        <v>0</v>
      </c>
      <c r="M1324">
        <v>1.4600936968909781E-3</v>
      </c>
      <c r="N1324">
        <v>0.14637632171326614</v>
      </c>
      <c r="O1324">
        <v>0.12136760843710362</v>
      </c>
      <c r="P1324">
        <v>1.6038492316929009E-2</v>
      </c>
      <c r="Q1324">
        <v>9.2829054153161579E-4</v>
      </c>
      <c r="R1324">
        <v>1.456739851370745E-3</v>
      </c>
      <c r="S1324">
        <v>0.1224085814317486</v>
      </c>
      <c r="T1324">
        <v>0.8241330415747089</v>
      </c>
      <c r="U1324">
        <v>0</v>
      </c>
      <c r="V1324">
        <v>0.20533268017654802</v>
      </c>
      <c r="W1324">
        <v>9.4567076609126874E-2</v>
      </c>
      <c r="X1324">
        <v>2.889387977490001E-2</v>
      </c>
      <c r="Y1324">
        <v>3.9647656612682236E-3</v>
      </c>
    </row>
    <row r="1325" spans="1:25" x14ac:dyDescent="0.25">
      <c r="A1325" s="1098"/>
      <c r="B1325" s="1457">
        <v>1075</v>
      </c>
      <c r="C1325" s="1102">
        <v>0.99329670289715999</v>
      </c>
      <c r="D1325" s="1102">
        <v>1.0183251250469159</v>
      </c>
      <c r="E1325" s="1102">
        <v>1.0130784361415941</v>
      </c>
      <c r="F1325" s="1102">
        <v>1.0376442646556552</v>
      </c>
      <c r="G1325" s="1102">
        <v>1.008688539882781</v>
      </c>
      <c r="H1325" s="1102">
        <v>0.97961398890164197</v>
      </c>
      <c r="I1325" s="1102">
        <v>0.99639769864312977</v>
      </c>
      <c r="K1325">
        <v>1.5889625215962699</v>
      </c>
      <c r="L1325">
        <v>0</v>
      </c>
      <c r="M1325">
        <v>1.4856440424662854E-3</v>
      </c>
      <c r="N1325">
        <v>0.14220348890967355</v>
      </c>
      <c r="O1325">
        <v>0.12349068946323921</v>
      </c>
      <c r="P1325">
        <v>1.6254857365929277E-2</v>
      </c>
      <c r="Q1325">
        <v>9.1053356959695645E-4</v>
      </c>
      <c r="R1325">
        <v>1.4821939081055859E-3</v>
      </c>
      <c r="S1325">
        <v>0.11719962757959486</v>
      </c>
      <c r="T1325">
        <v>0.85542247572465036</v>
      </c>
      <c r="U1325">
        <v>0</v>
      </c>
      <c r="V1325">
        <v>0.20799452618157629</v>
      </c>
      <c r="W1325">
        <v>9.2698395907625186E-2</v>
      </c>
      <c r="X1325">
        <v>2.8757333815972397E-2</v>
      </c>
      <c r="Y1325">
        <v>4.0340432127729123E-3</v>
      </c>
    </row>
    <row r="1326" spans="1:25" x14ac:dyDescent="0.25">
      <c r="A1326" s="1098"/>
      <c r="B1326" s="1457">
        <v>1076</v>
      </c>
      <c r="C1326" s="1102">
        <v>1.0031032271192457</v>
      </c>
      <c r="D1326" s="1102">
        <v>0.97551514704987441</v>
      </c>
      <c r="E1326" s="1102">
        <v>0.98412671976774835</v>
      </c>
      <c r="F1326" s="1102">
        <v>0.96478117679192987</v>
      </c>
      <c r="G1326" s="1102">
        <v>0.99399601817219174</v>
      </c>
      <c r="H1326" s="1102">
        <v>0.98901779998933836</v>
      </c>
      <c r="I1326" s="1102">
        <v>0.99475570287392434</v>
      </c>
      <c r="K1326">
        <v>1.521804357169553</v>
      </c>
      <c r="L1326">
        <v>0</v>
      </c>
      <c r="M1326">
        <v>1.6081342871230302E-3</v>
      </c>
      <c r="N1326">
        <v>0.1410387034710216</v>
      </c>
      <c r="O1326">
        <v>0.1198400459530049</v>
      </c>
      <c r="P1326">
        <v>1.5094878688875378E-2</v>
      </c>
      <c r="Q1326">
        <v>8.9011078135045715E-4</v>
      </c>
      <c r="R1326">
        <v>1.6044436108926786E-3</v>
      </c>
      <c r="S1326">
        <v>0.11918434723819815</v>
      </c>
      <c r="T1326">
        <v>0.79720011914211109</v>
      </c>
      <c r="U1326">
        <v>0</v>
      </c>
      <c r="V1326">
        <v>0.20395264630880128</v>
      </c>
      <c r="W1326">
        <v>9.3536641165142168E-2</v>
      </c>
      <c r="X1326">
        <v>2.6703788493123538E-2</v>
      </c>
      <c r="Y1326">
        <v>4.366766604155684E-3</v>
      </c>
    </row>
    <row r="1327" spans="1:25" x14ac:dyDescent="0.25">
      <c r="A1327" s="1098"/>
      <c r="B1327" s="1457">
        <v>1077</v>
      </c>
      <c r="C1327" s="1102">
        <v>1.0080977432213847</v>
      </c>
      <c r="D1327" s="1102">
        <v>0.99992349873023012</v>
      </c>
      <c r="E1327" s="1102">
        <v>0.97858813301436409</v>
      </c>
      <c r="F1327" s="1102">
        <v>0.98113975028100198</v>
      </c>
      <c r="G1327" s="1102">
        <v>1.0293283606480712</v>
      </c>
      <c r="H1327" s="1102">
        <v>0.95255978275251618</v>
      </c>
      <c r="I1327" s="1102">
        <v>1.0122863784039302</v>
      </c>
      <c r="K1327">
        <v>1.5200662440868919</v>
      </c>
      <c r="L1327">
        <v>0</v>
      </c>
      <c r="M1327">
        <v>1.5399490315296173E-3</v>
      </c>
      <c r="N1327">
        <v>0.13280196957879706</v>
      </c>
      <c r="O1327">
        <v>0.11969661276021692</v>
      </c>
      <c r="P1327">
        <v>1.5194184466741015E-2</v>
      </c>
      <c r="Q1327">
        <v>8.7191686590982359E-4</v>
      </c>
      <c r="R1327">
        <v>1.5362708707385851E-3</v>
      </c>
      <c r="S1327">
        <v>0.11614359816406407</v>
      </c>
      <c r="T1327">
        <v>0.81107923120759506</v>
      </c>
      <c r="U1327">
        <v>0</v>
      </c>
      <c r="V1327">
        <v>0.20524388086851025</v>
      </c>
      <c r="W1327">
        <v>8.8368776641787689E-2</v>
      </c>
      <c r="X1327">
        <v>2.6488528815467569E-2</v>
      </c>
      <c r="Y1327">
        <v>4.1812228785939962E-3</v>
      </c>
    </row>
    <row r="1328" spans="1:25" x14ac:dyDescent="0.25">
      <c r="A1328" s="1098"/>
      <c r="B1328" s="1457">
        <v>1078</v>
      </c>
      <c r="C1328" s="1102">
        <v>0.98207753049106117</v>
      </c>
      <c r="D1328" s="1102">
        <v>0.99071606713086302</v>
      </c>
      <c r="E1328" s="1102">
        <v>0.9686743345430241</v>
      </c>
      <c r="F1328" s="1102">
        <v>0.98450516553058043</v>
      </c>
      <c r="G1328" s="1102">
        <v>0.98806323214895864</v>
      </c>
      <c r="H1328" s="1102">
        <v>0.98560804649613543</v>
      </c>
      <c r="I1328" s="1102">
        <v>1.0200253859175696</v>
      </c>
      <c r="K1328">
        <v>1.5468900916455686</v>
      </c>
      <c r="L1328">
        <v>0</v>
      </c>
      <c r="M1328">
        <v>1.6753364621735095E-3</v>
      </c>
      <c r="N1328">
        <v>0.14021736204256668</v>
      </c>
      <c r="O1328">
        <v>0.12170012384311758</v>
      </c>
      <c r="P1328">
        <v>1.5231944506758089E-2</v>
      </c>
      <c r="Q1328">
        <v>8.8902016723508312E-4</v>
      </c>
      <c r="R1328">
        <v>1.6714684451750047E-3</v>
      </c>
      <c r="S1328">
        <v>0.12337180079777611</v>
      </c>
      <c r="T1328">
        <v>0.81451393345931444</v>
      </c>
      <c r="U1328">
        <v>0</v>
      </c>
      <c r="V1328">
        <v>0.20602763728359896</v>
      </c>
      <c r="W1328">
        <v>9.3866161628980899E-2</v>
      </c>
      <c r="X1328">
        <v>2.6526789824877568E-2</v>
      </c>
      <c r="Y1328">
        <v>4.5491861083414957E-3</v>
      </c>
    </row>
    <row r="1329" spans="1:25" x14ac:dyDescent="0.25">
      <c r="A1329" s="1098"/>
      <c r="B1329" s="1457">
        <v>1079</v>
      </c>
      <c r="C1329" s="1102">
        <v>0.98620315762187261</v>
      </c>
      <c r="D1329" s="1102">
        <v>0.97006233595348867</v>
      </c>
      <c r="E1329" s="1102">
        <v>1.0162938628219513</v>
      </c>
      <c r="F1329" s="1102">
        <v>1.0315833450967076</v>
      </c>
      <c r="G1329" s="1102">
        <v>0.97512089408182834</v>
      </c>
      <c r="H1329" s="1102">
        <v>0.99537585379784177</v>
      </c>
      <c r="I1329" s="1102">
        <v>0.99819233663930951</v>
      </c>
      <c r="K1329">
        <v>1.605338712322081</v>
      </c>
      <c r="L1329">
        <v>0</v>
      </c>
      <c r="M1329">
        <v>1.5510272048186889E-3</v>
      </c>
      <c r="N1329">
        <v>0.14991754298871299</v>
      </c>
      <c r="O1329">
        <v>0.12563194297462518</v>
      </c>
      <c r="P1329">
        <v>1.6305036510091627E-2</v>
      </c>
      <c r="Q1329">
        <v>9.3816639014802081E-4</v>
      </c>
      <c r="R1329">
        <v>1.5475077114498069E-3</v>
      </c>
      <c r="S1329">
        <v>0.12295908968526074</v>
      </c>
      <c r="T1329">
        <v>0.85020852697247096</v>
      </c>
      <c r="U1329">
        <v>0</v>
      </c>
      <c r="V1329">
        <v>0.20828376398992479</v>
      </c>
      <c r="W1329">
        <v>9.7542528139296147E-2</v>
      </c>
      <c r="X1329">
        <v>2.9343828310132668E-2</v>
      </c>
      <c r="Y1329">
        <v>4.2118058547863961E-3</v>
      </c>
    </row>
    <row r="1330" spans="1:25" x14ac:dyDescent="0.25">
      <c r="A1330" s="1098"/>
      <c r="B1330" s="1457">
        <v>1080</v>
      </c>
      <c r="C1330" s="1102">
        <v>0.96782429350127375</v>
      </c>
      <c r="D1330" s="1102">
        <v>0.98202036252738756</v>
      </c>
      <c r="E1330" s="1102">
        <v>1.0304278423886508</v>
      </c>
      <c r="F1330" s="1102">
        <v>1.0158205733481978</v>
      </c>
      <c r="G1330" s="1102">
        <v>0.9753135236404612</v>
      </c>
      <c r="H1330" s="1102">
        <v>1.0092350375857688</v>
      </c>
      <c r="I1330" s="1102">
        <v>0.99885020756165388</v>
      </c>
      <c r="K1330">
        <v>1.6024185072836572</v>
      </c>
      <c r="L1330">
        <v>0</v>
      </c>
      <c r="M1330">
        <v>1.5412282484898088E-3</v>
      </c>
      <c r="N1330">
        <v>0.15546134154429561</v>
      </c>
      <c r="O1330">
        <v>0.1249145072227964</v>
      </c>
      <c r="P1330">
        <v>1.6321091362192723E-2</v>
      </c>
      <c r="Q1330">
        <v>9.651774897402089E-4</v>
      </c>
      <c r="R1330">
        <v>1.5377629273303787E-3</v>
      </c>
      <c r="S1330">
        <v>0.12542084361769409</v>
      </c>
      <c r="T1330">
        <v>0.83628022904048027</v>
      </c>
      <c r="U1330">
        <v>0</v>
      </c>
      <c r="V1330">
        <v>0.20874707358860872</v>
      </c>
      <c r="W1330">
        <v>0.10031876502857194</v>
      </c>
      <c r="X1330">
        <v>2.9807659945655728E-2</v>
      </c>
      <c r="Y1330">
        <v>4.1852837647805346E-3</v>
      </c>
    </row>
    <row r="1331" spans="1:25" x14ac:dyDescent="0.25">
      <c r="A1331" s="1098"/>
      <c r="B1331" s="1457">
        <v>1081</v>
      </c>
      <c r="C1331" s="1102">
        <v>0.99333525195402217</v>
      </c>
      <c r="D1331" s="1102">
        <v>1.0026896482235508</v>
      </c>
      <c r="E1331" s="1102">
        <v>0.99807020603176522</v>
      </c>
      <c r="F1331" s="1102">
        <v>1.0133683032702512</v>
      </c>
      <c r="G1331" s="1102">
        <v>1.0001360708941971</v>
      </c>
      <c r="H1331" s="1102">
        <v>1.0126642430940032</v>
      </c>
      <c r="I1331" s="1102">
        <v>1.0074812028684401</v>
      </c>
      <c r="K1331">
        <v>1.5788545802184026</v>
      </c>
      <c r="L1331">
        <v>0</v>
      </c>
      <c r="M1331">
        <v>1.5954912295501648E-3</v>
      </c>
      <c r="N1331">
        <v>0.14596190544829246</v>
      </c>
      <c r="O1331">
        <v>0.12254268453433995</v>
      </c>
      <c r="P1331">
        <v>1.5866182146077355E-2</v>
      </c>
      <c r="Q1331">
        <v>9.020470535375558E-4</v>
      </c>
      <c r="R1331">
        <v>1.5919099430394689E-3</v>
      </c>
      <c r="S1331">
        <v>0.12208766681894309</v>
      </c>
      <c r="T1331">
        <v>0.83641090175309274</v>
      </c>
      <c r="U1331">
        <v>0</v>
      </c>
      <c r="V1331">
        <v>0.20679943915131477</v>
      </c>
      <c r="W1331">
        <v>9.5997175520289454E-2</v>
      </c>
      <c r="X1331">
        <v>2.7957504987043569E-2</v>
      </c>
      <c r="Y1331">
        <v>4.3326540919817469E-3</v>
      </c>
    </row>
    <row r="1332" spans="1:25" x14ac:dyDescent="0.25">
      <c r="A1332" s="1098"/>
      <c r="B1332" s="1457">
        <v>1082</v>
      </c>
      <c r="C1332" s="1102">
        <v>0.99825321763128205</v>
      </c>
      <c r="D1332" s="1102">
        <v>0.96673752155269033</v>
      </c>
      <c r="E1332" s="1102">
        <v>1.0000601772644602</v>
      </c>
      <c r="F1332" s="1102">
        <v>0.97195026355832859</v>
      </c>
      <c r="G1332" s="1102">
        <v>1.0338174224998193</v>
      </c>
      <c r="H1332" s="1102">
        <v>1.0040727124772721</v>
      </c>
      <c r="I1332" s="1102">
        <v>1.0085379847583922</v>
      </c>
      <c r="K1332">
        <v>1.5448755366291507</v>
      </c>
      <c r="L1332">
        <v>0</v>
      </c>
      <c r="M1332">
        <v>1.595734126920651E-3</v>
      </c>
      <c r="N1332">
        <v>0.14686272191172914</v>
      </c>
      <c r="O1332">
        <v>0.12095316801875711</v>
      </c>
      <c r="P1332">
        <v>1.5439814078759981E-2</v>
      </c>
      <c r="Q1332">
        <v>9.1269147100684917E-4</v>
      </c>
      <c r="R1332">
        <v>1.5921329458881827E-3</v>
      </c>
      <c r="S1332">
        <v>0.12335323392098142</v>
      </c>
      <c r="T1332">
        <v>0.80209766417923301</v>
      </c>
      <c r="U1332">
        <v>0</v>
      </c>
      <c r="V1332">
        <v>0.20683587708208881</v>
      </c>
      <c r="W1332">
        <v>9.6475374173564499E-2</v>
      </c>
      <c r="X1332">
        <v>2.7615331941838017E-2</v>
      </c>
      <c r="Y1332">
        <v>4.3332610322230755E-3</v>
      </c>
    </row>
    <row r="1333" spans="1:25" x14ac:dyDescent="0.25">
      <c r="A1333" s="1098"/>
      <c r="B1333" s="1457">
        <v>1083</v>
      </c>
      <c r="C1333" s="1102">
        <v>0.96626479250925901</v>
      </c>
      <c r="D1333" s="1102">
        <v>0.97051705292460677</v>
      </c>
      <c r="E1333" s="1102">
        <v>0.97140383543341613</v>
      </c>
      <c r="F1333" s="1102">
        <v>1.0269425136946422</v>
      </c>
      <c r="G1333" s="1102">
        <v>1.0106749658498233</v>
      </c>
      <c r="H1333" s="1102">
        <v>1.0169580323100165</v>
      </c>
      <c r="I1333" s="1102">
        <v>1.005945866392651</v>
      </c>
      <c r="K1333">
        <v>1.6139082865919927</v>
      </c>
      <c r="L1333">
        <v>0</v>
      </c>
      <c r="M1333">
        <v>1.7711982089650402E-3</v>
      </c>
      <c r="N1333">
        <v>0.14948323958294221</v>
      </c>
      <c r="O1333">
        <v>0.12649920473624601</v>
      </c>
      <c r="P1333">
        <v>1.5862177004651191E-2</v>
      </c>
      <c r="Q1333">
        <v>9.1366826096048854E-4</v>
      </c>
      <c r="R1333">
        <v>1.7672566396957519E-3</v>
      </c>
      <c r="S1333">
        <v>0.12799574907958286</v>
      </c>
      <c r="T1333">
        <v>0.84943601668951429</v>
      </c>
      <c r="U1333">
        <v>0</v>
      </c>
      <c r="V1333">
        <v>0.21132339392135902</v>
      </c>
      <c r="W1333">
        <v>9.9902949877488822E-2</v>
      </c>
      <c r="X1333">
        <v>2.7685939011259743E-2</v>
      </c>
      <c r="Y1333">
        <v>4.8098899972571314E-3</v>
      </c>
    </row>
    <row r="1334" spans="1:25" x14ac:dyDescent="0.25">
      <c r="A1334" s="1098"/>
      <c r="B1334" s="1457">
        <v>1084</v>
      </c>
      <c r="C1334" s="1102">
        <v>1.0058190487532537</v>
      </c>
      <c r="D1334" s="1102">
        <v>1.0305455516975013</v>
      </c>
      <c r="E1334" s="1102">
        <v>1.0389191059290093</v>
      </c>
      <c r="F1334" s="1102">
        <v>1.0054038307936373</v>
      </c>
      <c r="G1334" s="1102">
        <v>1.0126755179082501</v>
      </c>
      <c r="H1334" s="1102">
        <v>0.9821888432860072</v>
      </c>
      <c r="I1334" s="1102">
        <v>1.0336372104664993</v>
      </c>
      <c r="K1334">
        <v>1.5564413676735538</v>
      </c>
      <c r="L1334">
        <v>0</v>
      </c>
      <c r="M1334">
        <v>1.3825262196868085E-3</v>
      </c>
      <c r="N1334">
        <v>0.14305692601355499</v>
      </c>
      <c r="O1334">
        <v>0.12002199606448732</v>
      </c>
      <c r="P1334">
        <v>1.615802372084555E-2</v>
      </c>
      <c r="Q1334">
        <v>9.1888033641691924E-4</v>
      </c>
      <c r="R1334">
        <v>1.3793129159226738E-3</v>
      </c>
      <c r="S1334">
        <v>0.1193557663036043</v>
      </c>
      <c r="T1334">
        <v>0.82715057941092296</v>
      </c>
      <c r="U1334">
        <v>0</v>
      </c>
      <c r="V1334">
        <v>0.20515123342970673</v>
      </c>
      <c r="W1334">
        <v>9.1861991472335897E-2</v>
      </c>
      <c r="X1334">
        <v>2.9015149158683046E-2</v>
      </c>
      <c r="Y1334">
        <v>3.7540350667609854E-3</v>
      </c>
    </row>
    <row r="1335" spans="1:25" x14ac:dyDescent="0.25">
      <c r="A1335" s="1098"/>
      <c r="B1335" s="1457">
        <v>1085</v>
      </c>
      <c r="C1335" s="1102">
        <v>1.0089929491384102</v>
      </c>
      <c r="D1335" s="1102">
        <v>1.0117006082373858</v>
      </c>
      <c r="E1335" s="1102">
        <v>1.022882429044603</v>
      </c>
      <c r="F1335" s="1102">
        <v>1.0013151159343723</v>
      </c>
      <c r="G1335" s="1102">
        <v>1.009783195322248</v>
      </c>
      <c r="H1335" s="1102">
        <v>0.98552148140773344</v>
      </c>
      <c r="I1335" s="1102">
        <v>0.97256283948462197</v>
      </c>
      <c r="K1335">
        <v>1.5476269963448996</v>
      </c>
      <c r="L1335">
        <v>0</v>
      </c>
      <c r="M1335">
        <v>1.444806303921402E-3</v>
      </c>
      <c r="N1335">
        <v>0.14244839894956404</v>
      </c>
      <c r="O1335">
        <v>0.12043526963922284</v>
      </c>
      <c r="P1335">
        <v>1.5855063548189306E-2</v>
      </c>
      <c r="Q1335">
        <v>9.0780622440071246E-4</v>
      </c>
      <c r="R1335">
        <v>1.4414697029630091E-3</v>
      </c>
      <c r="S1335">
        <v>0.11341041350987707</v>
      </c>
      <c r="T1335">
        <v>0.82483077706174379</v>
      </c>
      <c r="U1335">
        <v>0</v>
      </c>
      <c r="V1335">
        <v>0.20506869125767191</v>
      </c>
      <c r="W1335">
        <v>9.2326106552719708E-2</v>
      </c>
      <c r="X1335">
        <v>2.8424600851362274E-2</v>
      </c>
      <c r="Y1335">
        <v>3.923205351105438E-3</v>
      </c>
    </row>
    <row r="1336" spans="1:25" x14ac:dyDescent="0.25">
      <c r="A1336" s="1098"/>
      <c r="B1336" s="1457">
        <v>1086</v>
      </c>
      <c r="C1336" s="1102">
        <v>0.98790858618863786</v>
      </c>
      <c r="D1336" s="1102">
        <v>0.99350915987143074</v>
      </c>
      <c r="E1336" s="1102">
        <v>0.97590079525685347</v>
      </c>
      <c r="F1336" s="1102">
        <v>0.97207573545878612</v>
      </c>
      <c r="G1336" s="1102">
        <v>1.0119497383334981</v>
      </c>
      <c r="H1336" s="1102">
        <v>1.0319458305604237</v>
      </c>
      <c r="I1336" s="1102">
        <v>0.97876626607069783</v>
      </c>
      <c r="K1336">
        <v>1.5427394460392256</v>
      </c>
      <c r="L1336">
        <v>0</v>
      </c>
      <c r="M1336">
        <v>1.7142546470630571E-3</v>
      </c>
      <c r="N1336">
        <v>0.14666294583914555</v>
      </c>
      <c r="O1336">
        <v>0.12037018340316114</v>
      </c>
      <c r="P1336">
        <v>1.5140030050083056E-2</v>
      </c>
      <c r="Q1336">
        <v>8.8951661549080462E-4</v>
      </c>
      <c r="R1336">
        <v>1.7104706848339983E-3</v>
      </c>
      <c r="S1336">
        <v>0.12109699533910938</v>
      </c>
      <c r="T1336">
        <v>0.80376064454724294</v>
      </c>
      <c r="U1336">
        <v>0</v>
      </c>
      <c r="V1336">
        <v>0.2058786574947789</v>
      </c>
      <c r="W1336">
        <v>9.7750951133648942E-2</v>
      </c>
      <c r="X1336">
        <v>2.6537968231183439E-2</v>
      </c>
      <c r="Y1336">
        <v>4.6553373476084271E-3</v>
      </c>
    </row>
    <row r="1337" spans="1:25" x14ac:dyDescent="0.25">
      <c r="A1337" s="1098"/>
      <c r="B1337" s="1457">
        <v>1087</v>
      </c>
      <c r="C1337" s="1102">
        <v>0.98985201823555635</v>
      </c>
      <c r="D1337" s="1102">
        <v>0.98139540264626235</v>
      </c>
      <c r="E1337" s="1102">
        <v>0.99188485560987194</v>
      </c>
      <c r="F1337" s="1102">
        <v>1.0069828774781349</v>
      </c>
      <c r="G1337" s="1102">
        <v>0.98726586223099677</v>
      </c>
      <c r="H1337" s="1102">
        <v>1.0123495449758311</v>
      </c>
      <c r="I1337" s="1102">
        <v>1.0072159943860144</v>
      </c>
      <c r="K1337">
        <v>1.5789689589852813</v>
      </c>
      <c r="L1337">
        <v>0</v>
      </c>
      <c r="M1337">
        <v>1.6398593903231347E-3</v>
      </c>
      <c r="N1337">
        <v>0.14724324730305086</v>
      </c>
      <c r="O1337">
        <v>0.12324750192571303</v>
      </c>
      <c r="P1337">
        <v>1.5752744576821194E-2</v>
      </c>
      <c r="Q1337">
        <v>9.0717520652288893E-4</v>
      </c>
      <c r="R1337">
        <v>1.6361877390853278E-3</v>
      </c>
      <c r="S1337">
        <v>0.12396351625210103</v>
      </c>
      <c r="T1337">
        <v>0.83155269969875134</v>
      </c>
      <c r="U1337">
        <v>0</v>
      </c>
      <c r="V1337">
        <v>0.20682646859391618</v>
      </c>
      <c r="W1337">
        <v>9.7197978839191068E-2</v>
      </c>
      <c r="X1337">
        <v>2.7828134583802795E-2</v>
      </c>
      <c r="Y1337">
        <v>4.4531636566470315E-3</v>
      </c>
    </row>
    <row r="1338" spans="1:25" x14ac:dyDescent="0.25">
      <c r="A1338" s="1098"/>
      <c r="B1338" s="1457">
        <v>1088</v>
      </c>
      <c r="C1338" s="1102">
        <v>0.96288555984757762</v>
      </c>
      <c r="D1338" s="1102">
        <v>1.0116386151598638</v>
      </c>
      <c r="E1338" s="1102">
        <v>0.97316079519977283</v>
      </c>
      <c r="F1338" s="1102">
        <v>0.97187330238627379</v>
      </c>
      <c r="G1338" s="1102">
        <v>1.0161748112840405</v>
      </c>
      <c r="H1338" s="1102">
        <v>1.0100906774753877</v>
      </c>
      <c r="I1338" s="1102">
        <v>0.98835385889522176</v>
      </c>
      <c r="K1338">
        <v>1.5437792531645571</v>
      </c>
      <c r="L1338">
        <v>0</v>
      </c>
      <c r="M1338">
        <v>1.7104464689258342E-3</v>
      </c>
      <c r="N1338">
        <v>0.14511992991134012</v>
      </c>
      <c r="O1338">
        <v>0.12087943515364803</v>
      </c>
      <c r="P1338">
        <v>1.5147655464571832E-2</v>
      </c>
      <c r="Q1338">
        <v>9.0344988005766982E-4</v>
      </c>
      <c r="R1338">
        <v>1.7065702713162092E-3</v>
      </c>
      <c r="S1338">
        <v>0.12219608576998522</v>
      </c>
      <c r="T1338">
        <v>0.80377124213412954</v>
      </c>
      <c r="U1338">
        <v>0</v>
      </c>
      <c r="V1338">
        <v>0.2077067359103639</v>
      </c>
      <c r="W1338">
        <v>9.6883384349365775E-2</v>
      </c>
      <c r="X1338">
        <v>2.6530489080920577E-2</v>
      </c>
      <c r="Y1338">
        <v>4.6447217077839765E-3</v>
      </c>
    </row>
    <row r="1339" spans="1:25" x14ac:dyDescent="0.25">
      <c r="A1339" s="1098"/>
      <c r="B1339" s="1457">
        <v>1089</v>
      </c>
      <c r="C1339" s="1102">
        <v>1.0013956259633137</v>
      </c>
      <c r="D1339" s="1102">
        <v>1.0024707961708355</v>
      </c>
      <c r="E1339" s="1102">
        <v>1.0079266260568196</v>
      </c>
      <c r="F1339" s="1102">
        <v>1.0057489970194942</v>
      </c>
      <c r="G1339" s="1102">
        <v>0.98097227646165019</v>
      </c>
      <c r="H1339" s="1102">
        <v>1.0182905426239082</v>
      </c>
      <c r="I1339" s="1102">
        <v>0.98473452099565073</v>
      </c>
      <c r="K1339">
        <v>1.5669201813948872</v>
      </c>
      <c r="L1339">
        <v>0</v>
      </c>
      <c r="M1339">
        <v>1.5594292063401238E-3</v>
      </c>
      <c r="N1339">
        <v>0.14697583775324449</v>
      </c>
      <c r="O1339">
        <v>0.1215708509493785</v>
      </c>
      <c r="P1339">
        <v>1.5816962556519928E-2</v>
      </c>
      <c r="Q1339">
        <v>9.0404142681087631E-4</v>
      </c>
      <c r="R1339">
        <v>1.5559483686257117E-3</v>
      </c>
      <c r="S1339">
        <v>0.11884402172791811</v>
      </c>
      <c r="T1339">
        <v>0.82946865844296225</v>
      </c>
      <c r="U1339">
        <v>0</v>
      </c>
      <c r="V1339">
        <v>0.20487772163901324</v>
      </c>
      <c r="W1339">
        <v>9.6100740329831874E-2</v>
      </c>
      <c r="X1339">
        <v>2.8130048865764427E-2</v>
      </c>
      <c r="Y1339">
        <v>4.2347785411573193E-3</v>
      </c>
    </row>
    <row r="1340" spans="1:25" x14ac:dyDescent="0.25">
      <c r="A1340" s="1098"/>
      <c r="B1340" s="1457">
        <v>1090</v>
      </c>
      <c r="C1340" s="1102">
        <v>1.0087162674479599</v>
      </c>
      <c r="D1340" s="1102">
        <v>0.9804319211617516</v>
      </c>
      <c r="E1340" s="1102">
        <v>0.99743339000636255</v>
      </c>
      <c r="F1340" s="1102">
        <v>0.99155200662166221</v>
      </c>
      <c r="G1340" s="1102">
        <v>1.0058379569812486</v>
      </c>
      <c r="H1340" s="1102">
        <v>1.0101309621304015</v>
      </c>
      <c r="I1340" s="1102">
        <v>0.99752057025102736</v>
      </c>
      <c r="K1340">
        <v>1.5542001620127248</v>
      </c>
      <c r="L1340">
        <v>0</v>
      </c>
      <c r="M1340">
        <v>1.5885242985751342E-3</v>
      </c>
      <c r="N1340">
        <v>0.14504539208278572</v>
      </c>
      <c r="O1340">
        <v>0.12121132631612033</v>
      </c>
      <c r="P1340">
        <v>1.5570750817397875E-2</v>
      </c>
      <c r="Q1340">
        <v>8.9571235118178559E-4</v>
      </c>
      <c r="R1340">
        <v>1.5849611083575688E-3</v>
      </c>
      <c r="S1340">
        <v>0.12039673032610411</v>
      </c>
      <c r="T1340">
        <v>0.81844596154844707</v>
      </c>
      <c r="U1340">
        <v>0</v>
      </c>
      <c r="V1340">
        <v>0.20529928763283387</v>
      </c>
      <c r="W1340">
        <v>9.543057375108803E-2</v>
      </c>
      <c r="X1340">
        <v>2.759424872232099E-2</v>
      </c>
      <c r="Y1340">
        <v>4.3137416546603522E-3</v>
      </c>
    </row>
    <row r="1341" spans="1:25" x14ac:dyDescent="0.25">
      <c r="A1341" s="1098"/>
      <c r="B1341" s="1457">
        <v>1091</v>
      </c>
      <c r="C1341" s="1102">
        <v>1.0034913391413409</v>
      </c>
      <c r="D1341" s="1102">
        <v>0.98511731190511931</v>
      </c>
      <c r="E1341" s="1102">
        <v>1.0125345456072772</v>
      </c>
      <c r="F1341" s="1102">
        <v>0.99931854727270519</v>
      </c>
      <c r="G1341" s="1102">
        <v>0.976795249433702</v>
      </c>
      <c r="H1341" s="1102">
        <v>1.0008192278800399</v>
      </c>
      <c r="I1341" s="1102">
        <v>1.0059512183335506</v>
      </c>
      <c r="K1341">
        <v>1.5620282521371256</v>
      </c>
      <c r="L1341">
        <v>0</v>
      </c>
      <c r="M1341">
        <v>1.5294442625511703E-3</v>
      </c>
      <c r="N1341">
        <v>0.14616419868526684</v>
      </c>
      <c r="O1341">
        <v>0.12176886305414385</v>
      </c>
      <c r="P1341">
        <v>1.5821274155695411E-2</v>
      </c>
      <c r="Q1341">
        <v>9.1280390775387544E-4</v>
      </c>
      <c r="R1341">
        <v>1.5259796736327303E-3</v>
      </c>
      <c r="S1341">
        <v>0.12100027486285271</v>
      </c>
      <c r="T1341">
        <v>0.82386283254080428</v>
      </c>
      <c r="U1341">
        <v>0</v>
      </c>
      <c r="V1341">
        <v>0.20471259593930261</v>
      </c>
      <c r="W1341">
        <v>9.5310765190999472E-2</v>
      </c>
      <c r="X1341">
        <v>2.8324894756660342E-2</v>
      </c>
      <c r="Y1341">
        <v>4.1532136325640725E-3</v>
      </c>
    </row>
    <row r="1342" spans="1:25" x14ac:dyDescent="0.25">
      <c r="A1342" s="1098"/>
      <c r="B1342" s="1457">
        <v>1092</v>
      </c>
      <c r="C1342" s="1102">
        <v>0.98314471021919292</v>
      </c>
      <c r="D1342" s="1102">
        <v>0.99895644161902308</v>
      </c>
      <c r="E1342" s="1102">
        <v>0.96572486725781559</v>
      </c>
      <c r="F1342" s="1102">
        <v>1.0002978218036522</v>
      </c>
      <c r="G1342" s="1102">
        <v>0.9711425109505476</v>
      </c>
      <c r="H1342" s="1102">
        <v>0.99348070997352389</v>
      </c>
      <c r="I1342" s="1102">
        <v>1.0054159095162725</v>
      </c>
      <c r="K1342">
        <v>1.5593594063649234</v>
      </c>
      <c r="L1342">
        <v>0</v>
      </c>
      <c r="M1342">
        <v>1.6915136147058606E-3</v>
      </c>
      <c r="N1342">
        <v>0.1403149179407723</v>
      </c>
      <c r="O1342">
        <v>0.12241042568520388</v>
      </c>
      <c r="P1342">
        <v>1.5346417207981357E-2</v>
      </c>
      <c r="Q1342">
        <v>8.8236729688710171E-4</v>
      </c>
      <c r="R1342">
        <v>1.6876390670307136E-3</v>
      </c>
      <c r="S1342">
        <v>0.12161249256362452</v>
      </c>
      <c r="T1342">
        <v>0.8277776098739339</v>
      </c>
      <c r="U1342">
        <v>0</v>
      </c>
      <c r="V1342">
        <v>0.20574388590823797</v>
      </c>
      <c r="W1342">
        <v>9.4100616990859087E-2</v>
      </c>
      <c r="X1342">
        <v>2.658135023470953E-2</v>
      </c>
      <c r="Y1342">
        <v>4.5931972103886729E-3</v>
      </c>
    </row>
    <row r="1343" spans="1:25" x14ac:dyDescent="0.25">
      <c r="A1343" s="1098"/>
      <c r="B1343" s="1457">
        <v>1093</v>
      </c>
      <c r="C1343" s="1102">
        <v>1.0014569804968769</v>
      </c>
      <c r="D1343" s="1102">
        <v>0.97458575806309378</v>
      </c>
      <c r="E1343" s="1102">
        <v>0.99630534984425811</v>
      </c>
      <c r="F1343" s="1102">
        <v>1.0159863950135641</v>
      </c>
      <c r="G1343" s="1102">
        <v>1.0411107239297352</v>
      </c>
      <c r="H1343" s="1102">
        <v>0.9887456859723559</v>
      </c>
      <c r="I1343" s="1102">
        <v>1.005220635632486</v>
      </c>
      <c r="K1343">
        <v>1.5793902399955497</v>
      </c>
      <c r="L1343">
        <v>0</v>
      </c>
      <c r="M1343">
        <v>1.5772884996820115E-3</v>
      </c>
      <c r="N1343">
        <v>0.14352316142329249</v>
      </c>
      <c r="O1343">
        <v>0.12357260221442903</v>
      </c>
      <c r="P1343">
        <v>1.589096844936283E-2</v>
      </c>
      <c r="Q1343">
        <v>9.0330717891518313E-4</v>
      </c>
      <c r="R1343">
        <v>1.5736824608581935E-3</v>
      </c>
      <c r="S1343">
        <v>0.12102165053146809</v>
      </c>
      <c r="T1343">
        <v>0.83869034519362418</v>
      </c>
      <c r="U1343">
        <v>0</v>
      </c>
      <c r="V1343">
        <v>0.20894963766072738</v>
      </c>
      <c r="W1343">
        <v>9.4492531079743536E-2</v>
      </c>
      <c r="X1343">
        <v>2.8066597408638705E-2</v>
      </c>
      <c r="Y1343">
        <v>4.2830448941722022E-3</v>
      </c>
    </row>
    <row r="1344" spans="1:25" x14ac:dyDescent="0.25">
      <c r="A1344" s="1098"/>
      <c r="B1344" s="1457">
        <v>1094</v>
      </c>
      <c r="C1344" s="1102">
        <v>1.0030253053882392</v>
      </c>
      <c r="D1344" s="1102">
        <v>0.98764128707031773</v>
      </c>
      <c r="E1344" s="1102">
        <v>1.0003602491699806</v>
      </c>
      <c r="F1344" s="1102">
        <v>0.99820052611019672</v>
      </c>
      <c r="G1344" s="1102">
        <v>0.97839389425716916</v>
      </c>
      <c r="H1344" s="1102">
        <v>0.99595690952923432</v>
      </c>
      <c r="I1344" s="1102">
        <v>0.99685776898697953</v>
      </c>
      <c r="K1344">
        <v>1.5559622132061235</v>
      </c>
      <c r="L1344">
        <v>0</v>
      </c>
      <c r="M1344">
        <v>1.5592628714620124E-3</v>
      </c>
      <c r="N1344">
        <v>0.14363326859305478</v>
      </c>
      <c r="O1344">
        <v>0.12164116042124885</v>
      </c>
      <c r="P1344">
        <v>1.5654319254922174E-2</v>
      </c>
      <c r="Q1344">
        <v>9.008897733105227E-4</v>
      </c>
      <c r="R1344">
        <v>1.5557115728918841E-3</v>
      </c>
      <c r="S1344">
        <v>0.11936065172179196</v>
      </c>
      <c r="T1344">
        <v>0.82374080617186685</v>
      </c>
      <c r="U1344">
        <v>0</v>
      </c>
      <c r="V1344">
        <v>0.20467051090124935</v>
      </c>
      <c r="W1344">
        <v>9.4337095373903779E-2</v>
      </c>
      <c r="X1344">
        <v>2.779292823211427E-2</v>
      </c>
      <c r="Y1344">
        <v>4.2341340612295341E-3</v>
      </c>
    </row>
    <row r="1345" spans="1:25" x14ac:dyDescent="0.25">
      <c r="A1345" s="1098"/>
      <c r="B1345" s="1457">
        <v>1095</v>
      </c>
      <c r="C1345" s="1102">
        <v>1.0047071655750173</v>
      </c>
      <c r="D1345" s="1102">
        <v>0.97966436716609473</v>
      </c>
      <c r="E1345" s="1102">
        <v>0.99865789793972948</v>
      </c>
      <c r="F1345" s="1102">
        <v>1.0061121841242697</v>
      </c>
      <c r="G1345" s="1102">
        <v>0.9908460191182078</v>
      </c>
      <c r="H1345" s="1102">
        <v>0.98859407226438811</v>
      </c>
      <c r="I1345" s="1102">
        <v>1.0031598170360108</v>
      </c>
      <c r="K1345">
        <v>1.564124244541887</v>
      </c>
      <c r="L1345">
        <v>0</v>
      </c>
      <c r="M1345">
        <v>1.5588894994306433E-3</v>
      </c>
      <c r="N1345">
        <v>0.1428604453703704</v>
      </c>
      <c r="O1345">
        <v>0.12247175477762999</v>
      </c>
      <c r="P1345">
        <v>1.574765835260766E-2</v>
      </c>
      <c r="Q1345">
        <v>9.0071228121207947E-4</v>
      </c>
      <c r="R1345">
        <v>1.5553200452648464E-3</v>
      </c>
      <c r="S1345">
        <v>0.11996112058275811</v>
      </c>
      <c r="T1345">
        <v>0.83038280350790727</v>
      </c>
      <c r="U1345">
        <v>0</v>
      </c>
      <c r="V1345">
        <v>0.20574160527855484</v>
      </c>
      <c r="W1345">
        <v>9.3924531851383747E-2</v>
      </c>
      <c r="X1345">
        <v>2.7904113541534166E-2</v>
      </c>
      <c r="Y1345">
        <v>4.2330684520957848E-3</v>
      </c>
    </row>
    <row r="1346" spans="1:25" x14ac:dyDescent="0.25">
      <c r="A1346" s="1098"/>
      <c r="B1346" s="1457">
        <v>1096</v>
      </c>
      <c r="C1346" s="1102">
        <v>1.0149005288402797</v>
      </c>
      <c r="D1346" s="1102">
        <v>1.0353702489056218</v>
      </c>
      <c r="E1346" s="1102">
        <v>0.98283284998042053</v>
      </c>
      <c r="F1346" s="1102">
        <v>1.0092541200117322</v>
      </c>
      <c r="G1346" s="1102">
        <v>0.98042846220787927</v>
      </c>
      <c r="H1346" s="1102">
        <v>1.011600732528434</v>
      </c>
      <c r="I1346" s="1102">
        <v>1.0200085174138955</v>
      </c>
      <c r="K1346">
        <v>1.552948674386333</v>
      </c>
      <c r="L1346">
        <v>0</v>
      </c>
      <c r="M1346">
        <v>1.5828143708739037E-3</v>
      </c>
      <c r="N1346">
        <v>0.13828116793568246</v>
      </c>
      <c r="O1346">
        <v>0.11978452168012402</v>
      </c>
      <c r="P1346">
        <v>1.5554688022504794E-2</v>
      </c>
      <c r="Q1346">
        <v>8.5789429668712191E-4</v>
      </c>
      <c r="R1346">
        <v>1.5792429091005295E-3</v>
      </c>
      <c r="S1346">
        <v>0.11866692602490818</v>
      </c>
      <c r="T1346">
        <v>0.8340350785295898</v>
      </c>
      <c r="U1346">
        <v>0</v>
      </c>
      <c r="V1346">
        <v>0.20290800265345399</v>
      </c>
      <c r="W1346">
        <v>9.1779327080456594E-2</v>
      </c>
      <c r="X1346">
        <v>2.6786461023412513E-2</v>
      </c>
      <c r="Y1346">
        <v>4.2981786012865697E-3</v>
      </c>
    </row>
    <row r="1347" spans="1:25" x14ac:dyDescent="0.25">
      <c r="A1347" s="1098"/>
      <c r="B1347" s="1457">
        <v>1097</v>
      </c>
      <c r="C1347" s="1102">
        <v>1.0112703117515123</v>
      </c>
      <c r="D1347" s="1102">
        <v>0.99242887343810571</v>
      </c>
      <c r="E1347" s="1102">
        <v>0.98916733949656976</v>
      </c>
      <c r="F1347" s="1102">
        <v>0.97385040632235476</v>
      </c>
      <c r="G1347" s="1102">
        <v>1.0107456496254674</v>
      </c>
      <c r="H1347" s="1102">
        <v>1.0211867906066165</v>
      </c>
      <c r="I1347" s="1102">
        <v>0.97227001854526485</v>
      </c>
      <c r="K1347">
        <v>1.5310968539861591</v>
      </c>
      <c r="L1347">
        <v>0</v>
      </c>
      <c r="M1347">
        <v>1.6163909975480627E-3</v>
      </c>
      <c r="N1347">
        <v>0.14395035538393766</v>
      </c>
      <c r="O1347">
        <v>0.11932043385666555</v>
      </c>
      <c r="P1347">
        <v>1.5219759379588095E-2</v>
      </c>
      <c r="Q1347">
        <v>8.814997623588747E-4</v>
      </c>
      <c r="R1347">
        <v>1.612792951079179E-3</v>
      </c>
      <c r="S1347">
        <v>0.11694281292206354</v>
      </c>
      <c r="T1347">
        <v>0.80436787049478353</v>
      </c>
      <c r="U1347">
        <v>0</v>
      </c>
      <c r="V1347">
        <v>0.20400517658123277</v>
      </c>
      <c r="W1347">
        <v>9.5179037290430007E-2</v>
      </c>
      <c r="X1347">
        <v>2.6844015605783127E-2</v>
      </c>
      <c r="Y1347">
        <v>4.3894907557840883E-3</v>
      </c>
    </row>
    <row r="1348" spans="1:25" x14ac:dyDescent="0.25">
      <c r="A1348" s="1098"/>
      <c r="B1348" s="1457">
        <v>1098</v>
      </c>
      <c r="C1348" s="1102">
        <v>1.0038509740198853</v>
      </c>
      <c r="D1348" s="1102">
        <v>0.95564574117394763</v>
      </c>
      <c r="E1348" s="1102">
        <v>1.0099864311758948</v>
      </c>
      <c r="F1348" s="1102">
        <v>0.99552490779366642</v>
      </c>
      <c r="G1348" s="1102">
        <v>1.0141154694684043</v>
      </c>
      <c r="H1348" s="1102">
        <v>1.0186696013242165</v>
      </c>
      <c r="I1348" s="1102">
        <v>0.99887062679835181</v>
      </c>
      <c r="K1348">
        <v>1.5735048916868704</v>
      </c>
      <c r="L1348">
        <v>0</v>
      </c>
      <c r="M1348">
        <v>1.5911090255297869E-3</v>
      </c>
      <c r="N1348">
        <v>0.15089976526561186</v>
      </c>
      <c r="O1348">
        <v>0.1228318267393945</v>
      </c>
      <c r="P1348">
        <v>1.5820804830413041E-2</v>
      </c>
      <c r="Q1348">
        <v>9.2120815556245915E-4</v>
      </c>
      <c r="R1348">
        <v>1.5875847327400194E-3</v>
      </c>
      <c r="S1348">
        <v>0.12371944306705171</v>
      </c>
      <c r="T1348">
        <v>0.8209017985602246</v>
      </c>
      <c r="U1348">
        <v>0</v>
      </c>
      <c r="V1348">
        <v>0.20708277402358358</v>
      </c>
      <c r="W1348">
        <v>9.8546548337545906E-2</v>
      </c>
      <c r="X1348">
        <v>2.8463364704919371E-2</v>
      </c>
      <c r="Y1348">
        <v>4.3208822953518375E-3</v>
      </c>
    </row>
    <row r="1349" spans="1:25" x14ac:dyDescent="0.25">
      <c r="A1349" s="1098"/>
      <c r="B1349" s="1457">
        <v>1099</v>
      </c>
      <c r="C1349" s="1102">
        <v>1.0265715694833299</v>
      </c>
      <c r="D1349" s="1102">
        <v>0.98752823646357069</v>
      </c>
      <c r="E1349" s="1102">
        <v>1.0034793517421541</v>
      </c>
      <c r="F1349" s="1102">
        <v>1.0188028546803498</v>
      </c>
      <c r="G1349" s="1102">
        <v>0.9860432271949805</v>
      </c>
      <c r="H1349" s="1102">
        <v>1.0065610000445167</v>
      </c>
      <c r="I1349" s="1102">
        <v>0.97745126308615049</v>
      </c>
      <c r="K1349">
        <v>1.5671910398378921</v>
      </c>
      <c r="L1349">
        <v>0</v>
      </c>
      <c r="M1349">
        <v>1.5348622537596183E-3</v>
      </c>
      <c r="N1349">
        <v>0.14272851375811058</v>
      </c>
      <c r="O1349">
        <v>0.12188294892604776</v>
      </c>
      <c r="P1349">
        <v>1.5859176637736012E-2</v>
      </c>
      <c r="Q1349">
        <v>8.8311493621575287E-4</v>
      </c>
      <c r="R1349">
        <v>1.5314146367110786E-3</v>
      </c>
      <c r="S1349">
        <v>0.11542125840762454</v>
      </c>
      <c r="T1349">
        <v>0.84053279954906668</v>
      </c>
      <c r="U1349">
        <v>0</v>
      </c>
      <c r="V1349">
        <v>0.20414719724693295</v>
      </c>
      <c r="W1349">
        <v>9.3569501027390506E-2</v>
      </c>
      <c r="X1349">
        <v>2.8001971155384667E-2</v>
      </c>
      <c r="Y1349">
        <v>4.1680058104282408E-3</v>
      </c>
    </row>
    <row r="1350" spans="1:25" x14ac:dyDescent="0.25">
      <c r="A1350" s="1098"/>
      <c r="B1350" s="1457">
        <v>1100</v>
      </c>
      <c r="C1350" s="1102">
        <v>0.9700401236056243</v>
      </c>
      <c r="D1350" s="1102">
        <v>1.0096710178641048</v>
      </c>
      <c r="E1350" s="1102">
        <v>1.0203998686597899</v>
      </c>
      <c r="F1350" s="1102">
        <v>0.99182790674929266</v>
      </c>
      <c r="G1350" s="1102">
        <v>0.99493381439548212</v>
      </c>
      <c r="H1350" s="1102">
        <v>0.99877094042280867</v>
      </c>
      <c r="I1350" s="1102">
        <v>0.99648262279887312</v>
      </c>
      <c r="K1350">
        <v>1.5642357113944205</v>
      </c>
      <c r="L1350">
        <v>0</v>
      </c>
      <c r="M1350">
        <v>1.5271352800171685E-3</v>
      </c>
      <c r="N1350">
        <v>0.14944567253548657</v>
      </c>
      <c r="O1350">
        <v>0.12188170568644048</v>
      </c>
      <c r="P1350">
        <v>1.5867418783385503E-2</v>
      </c>
      <c r="Q1350">
        <v>9.4261722184563895E-4</v>
      </c>
      <c r="R1350">
        <v>1.5236439138558288E-3</v>
      </c>
      <c r="S1350">
        <v>0.1217882827490942</v>
      </c>
      <c r="T1350">
        <v>0.81717653550380476</v>
      </c>
      <c r="U1350">
        <v>0</v>
      </c>
      <c r="V1350">
        <v>0.20730685004905228</v>
      </c>
      <c r="W1350">
        <v>9.7001904672769715E-2</v>
      </c>
      <c r="X1350">
        <v>2.8681359094267268E-2</v>
      </c>
      <c r="Y1350">
        <v>4.1468564644343512E-3</v>
      </c>
    </row>
    <row r="1351" spans="1:25" x14ac:dyDescent="0.25">
      <c r="A1351" s="1098"/>
      <c r="B1351" s="1457">
        <v>1101</v>
      </c>
      <c r="C1351" s="1102">
        <v>0.99250576142411395</v>
      </c>
      <c r="D1351" s="1102">
        <v>0.98861619706252724</v>
      </c>
      <c r="E1351" s="1102">
        <v>1.0071360693136131</v>
      </c>
      <c r="F1351" s="1102">
        <v>0.99458371602143125</v>
      </c>
      <c r="G1351" s="1102">
        <v>0.97521745978307428</v>
      </c>
      <c r="H1351" s="1102">
        <v>0.99091597445281177</v>
      </c>
      <c r="I1351" s="1102">
        <v>1.0203924341418524</v>
      </c>
      <c r="K1351">
        <v>1.5592946370497982</v>
      </c>
      <c r="L1351">
        <v>0</v>
      </c>
      <c r="M1351">
        <v>1.543400215708861E-3</v>
      </c>
      <c r="N1351">
        <v>0.14510957635339058</v>
      </c>
      <c r="O1351">
        <v>0.12186100228200603</v>
      </c>
      <c r="P1351">
        <v>1.5742620617535424E-2</v>
      </c>
      <c r="Q1351">
        <v>9.1648221624684816E-4</v>
      </c>
      <c r="R1351">
        <v>1.5398627923283244E-3</v>
      </c>
      <c r="S1351">
        <v>0.12291366308796244</v>
      </c>
      <c r="T1351">
        <v>0.82031206027843473</v>
      </c>
      <c r="U1351">
        <v>0</v>
      </c>
      <c r="V1351">
        <v>0.20521094850110158</v>
      </c>
      <c r="W1351">
        <v>9.4924804987289321E-2</v>
      </c>
      <c r="X1351">
        <v>2.811601724412828E-2</v>
      </c>
      <c r="Y1351">
        <v>4.1909989050846327E-3</v>
      </c>
    </row>
    <row r="1352" spans="1:25" x14ac:dyDescent="0.25">
      <c r="A1352" s="1098"/>
      <c r="B1352" s="1457">
        <v>1102</v>
      </c>
      <c r="C1352" s="1102">
        <v>0.97361963937652363</v>
      </c>
      <c r="D1352" s="1102">
        <v>1.0243377575024233</v>
      </c>
      <c r="E1352" s="1102">
        <v>1.0057018660006136</v>
      </c>
      <c r="F1352" s="1102">
        <v>1.0026068451126213</v>
      </c>
      <c r="G1352" s="1102">
        <v>0.98866605852098832</v>
      </c>
      <c r="H1352" s="1102">
        <v>0.98346598460976342</v>
      </c>
      <c r="I1352" s="1102">
        <v>0.98644286907186995</v>
      </c>
      <c r="K1352">
        <v>1.5601267386688769</v>
      </c>
      <c r="L1352">
        <v>0</v>
      </c>
      <c r="M1352">
        <v>1.5338477912614499E-3</v>
      </c>
      <c r="N1352">
        <v>0.14358351700479177</v>
      </c>
      <c r="O1352">
        <v>0.12185305928459053</v>
      </c>
      <c r="P1352">
        <v>1.5771416672659973E-2</v>
      </c>
      <c r="Q1352">
        <v>9.1972497706724581E-4</v>
      </c>
      <c r="R1352">
        <v>1.5302819839854843E-3</v>
      </c>
      <c r="S1352">
        <v>0.11793921653754326</v>
      </c>
      <c r="T1352">
        <v>0.82702399734595589</v>
      </c>
      <c r="U1352">
        <v>0</v>
      </c>
      <c r="V1352">
        <v>0.20680490098267282</v>
      </c>
      <c r="W1352">
        <v>9.4006212220955884E-2</v>
      </c>
      <c r="X1352">
        <v>2.8063336346827499E-2</v>
      </c>
      <c r="Y1352">
        <v>4.1649231030880434E-3</v>
      </c>
    </row>
    <row r="1353" spans="1:25" x14ac:dyDescent="0.25">
      <c r="A1353" s="1098"/>
      <c r="B1353" s="1457">
        <v>1103</v>
      </c>
      <c r="C1353" s="1102">
        <v>0.97446877351626693</v>
      </c>
      <c r="D1353" s="1102">
        <v>1.0126264761875983</v>
      </c>
      <c r="E1353" s="1102">
        <v>1.005826210169618</v>
      </c>
      <c r="F1353" s="1102">
        <v>0.99493625083026305</v>
      </c>
      <c r="G1353" s="1102">
        <v>1.0009967507642255</v>
      </c>
      <c r="H1353" s="1102">
        <v>0.95996336730530252</v>
      </c>
      <c r="I1353" s="1102">
        <v>0.99296130722596543</v>
      </c>
      <c r="K1353">
        <v>1.5490072398274159</v>
      </c>
      <c r="L1353">
        <v>0</v>
      </c>
      <c r="M1353">
        <v>1.504452909014092E-3</v>
      </c>
      <c r="N1353">
        <v>0.14087717799816599</v>
      </c>
      <c r="O1353">
        <v>0.12177640214275208</v>
      </c>
      <c r="P1353">
        <v>1.5686108661939695E-2</v>
      </c>
      <c r="Q1353">
        <v>9.2327857730583197E-4</v>
      </c>
      <c r="R1353">
        <v>1.5008747081989068E-3</v>
      </c>
      <c r="S1353">
        <v>0.11750844322264781</v>
      </c>
      <c r="T1353">
        <v>0.82068858214996487</v>
      </c>
      <c r="U1353">
        <v>0</v>
      </c>
      <c r="V1353">
        <v>0.20723354403524077</v>
      </c>
      <c r="W1353">
        <v>9.2227547552678202E-2</v>
      </c>
      <c r="X1353">
        <v>2.8004847495031276E-2</v>
      </c>
      <c r="Y1353">
        <v>4.084886192502836E-3</v>
      </c>
    </row>
    <row r="1354" spans="1:25" x14ac:dyDescent="0.25">
      <c r="A1354" s="1098"/>
      <c r="B1354" s="1457">
        <v>1104</v>
      </c>
      <c r="C1354" s="1102">
        <v>0.96418494129507848</v>
      </c>
      <c r="D1354" s="1102">
        <v>0.99154612504747019</v>
      </c>
      <c r="E1354" s="1102">
        <v>0.97445226510422189</v>
      </c>
      <c r="F1354" s="1102">
        <v>0.99984310740885796</v>
      </c>
      <c r="G1354" s="1102">
        <v>0.96523524955977225</v>
      </c>
      <c r="H1354" s="1102">
        <v>0.97088098306447035</v>
      </c>
      <c r="I1354" s="1102">
        <v>1.0053230278966572</v>
      </c>
      <c r="K1354">
        <v>1.564187786957814</v>
      </c>
      <c r="L1354">
        <v>0</v>
      </c>
      <c r="M1354">
        <v>1.659920925152196E-3</v>
      </c>
      <c r="N1354">
        <v>0.14137371298681675</v>
      </c>
      <c r="O1354">
        <v>0.12369668692694417</v>
      </c>
      <c r="P1354">
        <v>1.547128887518418E-2</v>
      </c>
      <c r="Q1354">
        <v>9.1073726505163505E-4</v>
      </c>
      <c r="R1354">
        <v>1.6560291601773326E-3</v>
      </c>
      <c r="S1354">
        <v>0.12256634051926028</v>
      </c>
      <c r="T1354">
        <v>0.82681685936867755</v>
      </c>
      <c r="U1354">
        <v>0</v>
      </c>
      <c r="V1354">
        <v>0.20737643423713853</v>
      </c>
      <c r="W1354">
        <v>9.4308441180043515E-2</v>
      </c>
      <c r="X1354">
        <v>2.7164011899535524E-2</v>
      </c>
      <c r="Y1354">
        <v>4.5071654641367625E-3</v>
      </c>
    </row>
    <row r="1355" spans="1:25" x14ac:dyDescent="0.25">
      <c r="A1355" s="1098"/>
      <c r="B1355" s="1457">
        <v>1105</v>
      </c>
      <c r="C1355" s="1102">
        <v>0.98535904073176528</v>
      </c>
      <c r="D1355" s="1102">
        <v>0.98418116114603016</v>
      </c>
      <c r="E1355" s="1102">
        <v>1.0184169068312585</v>
      </c>
      <c r="F1355" s="1102">
        <v>0.96253513474068997</v>
      </c>
      <c r="G1355" s="1102">
        <v>1.0108048079709377</v>
      </c>
      <c r="H1355" s="1102">
        <v>1.0045801743891416</v>
      </c>
      <c r="I1355" s="1102">
        <v>1.0297896334224967</v>
      </c>
      <c r="K1355">
        <v>1.5411323001526127</v>
      </c>
      <c r="L1355">
        <v>0</v>
      </c>
      <c r="M1355">
        <v>1.5385700951891406E-3</v>
      </c>
      <c r="N1355">
        <v>0.14966962819455351</v>
      </c>
      <c r="O1355">
        <v>0.12010349486978261</v>
      </c>
      <c r="P1355">
        <v>1.5553824749340025E-2</v>
      </c>
      <c r="Q1355">
        <v>9.35596902197191E-4</v>
      </c>
      <c r="R1355">
        <v>1.5350833178652159E-3</v>
      </c>
      <c r="S1355">
        <v>0.12618101302806467</v>
      </c>
      <c r="T1355">
        <v>0.79316674157127165</v>
      </c>
      <c r="U1355">
        <v>0</v>
      </c>
      <c r="V1355">
        <v>0.205896087057999</v>
      </c>
      <c r="W1355">
        <v>9.7260091521678693E-2</v>
      </c>
      <c r="X1355">
        <v>2.8191318283898929E-2</v>
      </c>
      <c r="Y1355">
        <v>4.1779907511493844E-3</v>
      </c>
    </row>
    <row r="1356" spans="1:25" x14ac:dyDescent="0.25">
      <c r="A1356" s="1098"/>
      <c r="B1356" s="1457">
        <v>1106</v>
      </c>
      <c r="C1356" s="1102">
        <v>0.98435440356461634</v>
      </c>
      <c r="D1356" s="1102">
        <v>1.037624007250191</v>
      </c>
      <c r="E1356" s="1102">
        <v>1.0067991670375547</v>
      </c>
      <c r="F1356" s="1102">
        <v>1.0209655722236604</v>
      </c>
      <c r="G1356" s="1102">
        <v>0.96854981685188246</v>
      </c>
      <c r="H1356" s="1102">
        <v>0.97704412607488456</v>
      </c>
      <c r="I1356" s="1102">
        <v>1.007372149390249</v>
      </c>
      <c r="K1356">
        <v>1.5690254239646149</v>
      </c>
      <c r="L1356">
        <v>0</v>
      </c>
      <c r="M1356">
        <v>1.4960411562272532E-3</v>
      </c>
      <c r="N1356">
        <v>0.14050711245106962</v>
      </c>
      <c r="O1356">
        <v>0.12199218651759554</v>
      </c>
      <c r="P1356">
        <v>1.5972255986390311E-2</v>
      </c>
      <c r="Q1356">
        <v>9.0604451569659638E-4</v>
      </c>
      <c r="R1356">
        <v>1.4925403545976378E-3</v>
      </c>
      <c r="S1356">
        <v>0.1178738736850484</v>
      </c>
      <c r="T1356">
        <v>0.8420938983073557</v>
      </c>
      <c r="U1356">
        <v>0</v>
      </c>
      <c r="V1356">
        <v>0.20552309196634158</v>
      </c>
      <c r="W1356">
        <v>9.1932365053215323E-2</v>
      </c>
      <c r="X1356">
        <v>2.8165893454112207E-2</v>
      </c>
      <c r="Y1356">
        <v>4.0622028294191089E-3</v>
      </c>
    </row>
    <row r="1357" spans="1:25" x14ac:dyDescent="0.25">
      <c r="A1357" s="1098"/>
      <c r="B1357" s="1457">
        <v>1107</v>
      </c>
      <c r="C1357" s="1102">
        <v>0.98577699763736581</v>
      </c>
      <c r="D1357" s="1102">
        <v>0.97524761546228711</v>
      </c>
      <c r="E1357" s="1102">
        <v>1.0004532803897912</v>
      </c>
      <c r="F1357" s="1102">
        <v>1.0153742982761962</v>
      </c>
      <c r="G1357" s="1102">
        <v>0.99652590402205199</v>
      </c>
      <c r="H1357" s="1102">
        <v>0.9696289503306339</v>
      </c>
      <c r="I1357" s="1102">
        <v>1.0099615034185372</v>
      </c>
      <c r="K1357">
        <v>1.5791377769163542</v>
      </c>
      <c r="L1357">
        <v>0</v>
      </c>
      <c r="M1357">
        <v>1.5554278152564516E-3</v>
      </c>
      <c r="N1357">
        <v>0.14331210341284151</v>
      </c>
      <c r="O1357">
        <v>0.1243128673961055</v>
      </c>
      <c r="P1357">
        <v>1.5930776124071729E-2</v>
      </c>
      <c r="Q1357">
        <v>9.213836123954306E-4</v>
      </c>
      <c r="R1357">
        <v>1.5517967812277642E-3</v>
      </c>
      <c r="S1357">
        <v>0.12180960528223546</v>
      </c>
      <c r="T1357">
        <v>0.8379068111268182</v>
      </c>
      <c r="U1357">
        <v>0</v>
      </c>
      <c r="V1357">
        <v>0.20824386058852223</v>
      </c>
      <c r="W1357">
        <v>9.4120954175071894E-2</v>
      </c>
      <c r="X1357">
        <v>2.8359566943491364E-2</v>
      </c>
      <c r="Y1357">
        <v>4.2234792888305233E-3</v>
      </c>
    </row>
    <row r="1358" spans="1:25" x14ac:dyDescent="0.25">
      <c r="A1358" s="1098"/>
      <c r="B1358" s="1457">
        <v>1108</v>
      </c>
      <c r="C1358" s="1102">
        <v>0.99138836448352352</v>
      </c>
      <c r="D1358" s="1102">
        <v>0.95189779173492817</v>
      </c>
      <c r="E1358" s="1102">
        <v>1.019478809474871</v>
      </c>
      <c r="F1358" s="1102">
        <v>1.0171493470021462</v>
      </c>
      <c r="G1358" s="1102">
        <v>1.0021525591689247</v>
      </c>
      <c r="H1358" s="1102">
        <v>0.98889509288674116</v>
      </c>
      <c r="I1358" s="1102">
        <v>1.0057194470814748</v>
      </c>
      <c r="K1358">
        <v>1.5944463691035109</v>
      </c>
      <c r="L1358">
        <v>0</v>
      </c>
      <c r="M1358">
        <v>1.5380355212963721E-3</v>
      </c>
      <c r="N1358">
        <v>0.15009589719058417</v>
      </c>
      <c r="O1358">
        <v>0.12517682785213666</v>
      </c>
      <c r="P1358">
        <v>1.6199218064173734E-2</v>
      </c>
      <c r="Q1358">
        <v>9.43423557694081E-4</v>
      </c>
      <c r="R1358">
        <v>1.5345311558632E-3</v>
      </c>
      <c r="S1358">
        <v>0.12404823826926499</v>
      </c>
      <c r="T1358">
        <v>0.83810035527266047</v>
      </c>
      <c r="U1358">
        <v>0</v>
      </c>
      <c r="V1358">
        <v>0.20888677361124516</v>
      </c>
      <c r="W1358">
        <v>9.7476466572248122E-2</v>
      </c>
      <c r="X1358">
        <v>2.9346185130736533E-2</v>
      </c>
      <c r="Y1358">
        <v>4.1764879482000519E-3</v>
      </c>
    </row>
    <row r="1359" spans="1:25" x14ac:dyDescent="0.25">
      <c r="A1359" s="1098"/>
      <c r="B1359" s="1457">
        <v>1109</v>
      </c>
      <c r="C1359" s="1102">
        <v>0.99975746923797892</v>
      </c>
      <c r="D1359" s="1102">
        <v>1.0216329817362457</v>
      </c>
      <c r="E1359" s="1102">
        <v>0.97752404629073542</v>
      </c>
      <c r="F1359" s="1102">
        <v>0.99846597916652013</v>
      </c>
      <c r="G1359" s="1102">
        <v>0.96355043453905265</v>
      </c>
      <c r="H1359" s="1102">
        <v>0.96073774966184222</v>
      </c>
      <c r="I1359" s="1102">
        <v>1.0014333263144755</v>
      </c>
      <c r="K1359">
        <v>1.5334331373124583</v>
      </c>
      <c r="L1359">
        <v>0</v>
      </c>
      <c r="M1359">
        <v>1.5517392503354068E-3</v>
      </c>
      <c r="N1359">
        <v>0.13339034536506797</v>
      </c>
      <c r="O1359">
        <v>0.12040448432743191</v>
      </c>
      <c r="P1359">
        <v>1.5333501907803878E-2</v>
      </c>
      <c r="Q1359">
        <v>8.7069695300195688E-4</v>
      </c>
      <c r="R1359">
        <v>1.548054036220678E-3</v>
      </c>
      <c r="S1359">
        <v>0.11507353222613752</v>
      </c>
      <c r="T1359">
        <v>0.82547320179978245</v>
      </c>
      <c r="U1359">
        <v>0</v>
      </c>
      <c r="V1359">
        <v>0.20323669600982186</v>
      </c>
      <c r="W1359">
        <v>8.8817428926775632E-2</v>
      </c>
      <c r="X1359">
        <v>2.6623642240030602E-2</v>
      </c>
      <c r="Y1359">
        <v>4.2132927707167955E-3</v>
      </c>
    </row>
    <row r="1360" spans="1:25" x14ac:dyDescent="0.25">
      <c r="A1360" s="1098"/>
      <c r="B1360" s="1457">
        <v>1110</v>
      </c>
      <c r="C1360" s="1102">
        <v>0.98475089732141252</v>
      </c>
      <c r="D1360" s="1102">
        <v>0.99223930056607901</v>
      </c>
      <c r="E1360" s="1102">
        <v>1.0304611991091248</v>
      </c>
      <c r="F1360" s="1102">
        <v>1.0062201183382795</v>
      </c>
      <c r="G1360" s="1102">
        <v>1.0025553225298083</v>
      </c>
      <c r="H1360" s="1102">
        <v>1.0090744378184551</v>
      </c>
      <c r="I1360" s="1102">
        <v>0.9959957844523939</v>
      </c>
      <c r="K1360">
        <v>1.5816200252760586</v>
      </c>
      <c r="L1360">
        <v>0</v>
      </c>
      <c r="M1360">
        <v>1.5063952508230969E-3</v>
      </c>
      <c r="N1360">
        <v>0.15196262037001521</v>
      </c>
      <c r="O1360">
        <v>0.12285988341556581</v>
      </c>
      <c r="P1360">
        <v>1.6150891609408698E-2</v>
      </c>
      <c r="Q1360">
        <v>9.4469958624182799E-4</v>
      </c>
      <c r="R1360">
        <v>1.5030038036016624E-3</v>
      </c>
      <c r="S1360">
        <v>0.12218931091361832</v>
      </c>
      <c r="T1360">
        <v>0.82837441560858927</v>
      </c>
      <c r="U1360">
        <v>0</v>
      </c>
      <c r="V1360">
        <v>0.20765213320118414</v>
      </c>
      <c r="W1360">
        <v>9.805915207477553E-2</v>
      </c>
      <c r="X1360">
        <v>2.93396290555476E-2</v>
      </c>
      <c r="Y1360">
        <v>4.0906808883330271E-3</v>
      </c>
    </row>
    <row r="1361" spans="1:25" x14ac:dyDescent="0.25">
      <c r="A1361" s="1098"/>
      <c r="B1361" s="1457">
        <v>1111</v>
      </c>
      <c r="C1361" s="1102">
        <v>1.0254083744090972</v>
      </c>
      <c r="D1361" s="1102">
        <v>1.0136308528415052</v>
      </c>
      <c r="E1361" s="1102">
        <v>1.0106411636148886</v>
      </c>
      <c r="F1361" s="1102">
        <v>0.99584574906974721</v>
      </c>
      <c r="G1361" s="1102">
        <v>1.0134558634665556</v>
      </c>
      <c r="H1361" s="1102">
        <v>0.99639306860471222</v>
      </c>
      <c r="I1361" s="1102">
        <v>1.0426081169745718</v>
      </c>
      <c r="K1361">
        <v>1.5440621543614701</v>
      </c>
      <c r="L1361">
        <v>0</v>
      </c>
      <c r="M1361">
        <v>1.4739182518738346E-3</v>
      </c>
      <c r="N1361">
        <v>0.14005246195201349</v>
      </c>
      <c r="O1361">
        <v>0.11918964868222837</v>
      </c>
      <c r="P1361">
        <v>1.5737064958148968E-2</v>
      </c>
      <c r="Q1361">
        <v>8.8143481580783964E-4</v>
      </c>
      <c r="R1361">
        <v>1.4705529777269968E-3</v>
      </c>
      <c r="S1361">
        <v>0.1204017331085955</v>
      </c>
      <c r="T1361">
        <v>0.82112353691837237</v>
      </c>
      <c r="U1361">
        <v>0</v>
      </c>
      <c r="V1361">
        <v>0.20353381837702839</v>
      </c>
      <c r="W1361">
        <v>9.1427315848201796E-2</v>
      </c>
      <c r="X1361">
        <v>2.7716144537505066E-2</v>
      </c>
      <c r="Y1361">
        <v>4.0023604377140629E-3</v>
      </c>
    </row>
    <row r="1362" spans="1:25" x14ac:dyDescent="0.25">
      <c r="A1362" s="1098"/>
      <c r="B1362" s="1457">
        <v>1112</v>
      </c>
      <c r="C1362" s="1102">
        <v>0.98538671442219772</v>
      </c>
      <c r="D1362" s="1102">
        <v>1.0229718873597275</v>
      </c>
      <c r="E1362" s="1102">
        <v>1.0219205218483103</v>
      </c>
      <c r="F1362" s="1102">
        <v>1.0150417482123548</v>
      </c>
      <c r="G1362" s="1102">
        <v>1.0017412180368241</v>
      </c>
      <c r="H1362" s="1102">
        <v>0.98748868627820052</v>
      </c>
      <c r="I1362" s="1102">
        <v>0.98085048387321661</v>
      </c>
      <c r="K1362">
        <v>1.5706823989032639</v>
      </c>
      <c r="L1362">
        <v>0</v>
      </c>
      <c r="M1362">
        <v>1.4750410487261421E-3</v>
      </c>
      <c r="N1362">
        <v>0.14500783608711293</v>
      </c>
      <c r="O1362">
        <v>0.12211762622735825</v>
      </c>
      <c r="P1362">
        <v>1.6071429797425815E-2</v>
      </c>
      <c r="Q1362">
        <v>9.2453191239840219E-4</v>
      </c>
      <c r="R1362">
        <v>1.4716328058379138E-3</v>
      </c>
      <c r="S1362">
        <v>0.11644392469158078</v>
      </c>
      <c r="T1362">
        <v>0.83620180325324955</v>
      </c>
      <c r="U1362">
        <v>0</v>
      </c>
      <c r="V1362">
        <v>0.20708162815298639</v>
      </c>
      <c r="W1362">
        <v>9.4037779671042085E-2</v>
      </c>
      <c r="X1362">
        <v>2.8793947979129379E-2</v>
      </c>
      <c r="Y1362">
        <v>4.0052993738667365E-3</v>
      </c>
    </row>
    <row r="1363" spans="1:25" x14ac:dyDescent="0.25">
      <c r="A1363" s="1098"/>
      <c r="B1363" s="1457">
        <v>1113</v>
      </c>
      <c r="C1363" s="1102">
        <v>1.0135350554598195</v>
      </c>
      <c r="D1363" s="1102">
        <v>0.99377471473611068</v>
      </c>
      <c r="E1363" s="1102">
        <v>1.0206444086035167</v>
      </c>
      <c r="F1363" s="1102">
        <v>1.0076062388293654</v>
      </c>
      <c r="G1363" s="1102">
        <v>0.97395362975914346</v>
      </c>
      <c r="H1363" s="1102">
        <v>0.99487559096918232</v>
      </c>
      <c r="I1363" s="1102">
        <v>1.0317289059139756</v>
      </c>
      <c r="K1363">
        <v>1.5650775761400857</v>
      </c>
      <c r="L1363">
        <v>0</v>
      </c>
      <c r="M1363">
        <v>1.4748128470066968E-3</v>
      </c>
      <c r="N1363">
        <v>0.14443294385868832</v>
      </c>
      <c r="O1363">
        <v>0.12143316943070957</v>
      </c>
      <c r="P1363">
        <v>1.6004417497899843E-2</v>
      </c>
      <c r="Q1363">
        <v>9.0813829622741744E-4</v>
      </c>
      <c r="R1363">
        <v>1.4714517417530782E-3</v>
      </c>
      <c r="S1363">
        <v>0.12187557690538997</v>
      </c>
      <c r="T1363">
        <v>0.83016035232377283</v>
      </c>
      <c r="U1363">
        <v>0</v>
      </c>
      <c r="V1363">
        <v>0.2039318130592237</v>
      </c>
      <c r="W1363">
        <v>9.3734846562377142E-2</v>
      </c>
      <c r="X1363">
        <v>2.859487273393406E-2</v>
      </c>
      <c r="Y1363">
        <v>4.0048065771155729E-3</v>
      </c>
    </row>
    <row r="1364" spans="1:25" x14ac:dyDescent="0.25">
      <c r="A1364" s="1098"/>
      <c r="B1364" s="1457">
        <v>1114</v>
      </c>
      <c r="C1364" s="1102">
        <v>0.97072839409351364</v>
      </c>
      <c r="D1364" s="1102">
        <v>0.99883493028177717</v>
      </c>
      <c r="E1364" s="1102">
        <v>1.004714482375167</v>
      </c>
      <c r="F1364" s="1102">
        <v>1.0374319692304466</v>
      </c>
      <c r="G1364" s="1102">
        <v>0.98299194040489557</v>
      </c>
      <c r="H1364" s="1102">
        <v>1.0032973873607054</v>
      </c>
      <c r="I1364" s="1102">
        <v>0.99493538699639572</v>
      </c>
      <c r="K1364">
        <v>1.6111470616991908</v>
      </c>
      <c r="L1364">
        <v>0</v>
      </c>
      <c r="M1364">
        <v>1.599057432107901E-3</v>
      </c>
      <c r="N1364">
        <v>0.14925119817910273</v>
      </c>
      <c r="O1364">
        <v>0.12558366439084356</v>
      </c>
      <c r="P1364">
        <v>1.6257218626834897E-2</v>
      </c>
      <c r="Q1364">
        <v>9.3086347670244291E-4</v>
      </c>
      <c r="R1364">
        <v>1.5954373413882138E-3</v>
      </c>
      <c r="S1364">
        <v>0.12291896599165121</v>
      </c>
      <c r="T1364">
        <v>0.85581777437723272</v>
      </c>
      <c r="U1364">
        <v>0</v>
      </c>
      <c r="V1364">
        <v>0.20938296791871608</v>
      </c>
      <c r="W1364">
        <v>9.7774051703688927E-2</v>
      </c>
      <c r="X1364">
        <v>2.8891722617657611E-2</v>
      </c>
      <c r="Y1364">
        <v>4.3422545074804772E-3</v>
      </c>
    </row>
    <row r="1365" spans="1:25" x14ac:dyDescent="0.25">
      <c r="A1365" s="1098"/>
      <c r="B1365" s="1457">
        <v>1115</v>
      </c>
      <c r="C1365" s="1102">
        <v>0.99142596389035176</v>
      </c>
      <c r="D1365" s="1102">
        <v>1.0192249799038715</v>
      </c>
      <c r="E1365" s="1102">
        <v>1.0120221142028847</v>
      </c>
      <c r="F1365" s="1102">
        <v>1.0177311165560718</v>
      </c>
      <c r="G1365" s="1102">
        <v>1.046710519735524</v>
      </c>
      <c r="H1365" s="1102">
        <v>1.0260804682706239</v>
      </c>
      <c r="I1365" s="1102">
        <v>0.99506854136500766</v>
      </c>
      <c r="K1365">
        <v>1.5863653659068522</v>
      </c>
      <c r="L1365">
        <v>0</v>
      </c>
      <c r="M1365">
        <v>1.5592582737957747E-3</v>
      </c>
      <c r="N1365">
        <v>0.14878972810353097</v>
      </c>
      <c r="O1365">
        <v>0.12217872678154143</v>
      </c>
      <c r="P1365">
        <v>1.6077472483663001E-2</v>
      </c>
      <c r="Q1365">
        <v>9.1093786095883136E-4</v>
      </c>
      <c r="R1365">
        <v>1.5557952560999893E-3</v>
      </c>
      <c r="S1365">
        <v>0.12074045549693201</v>
      </c>
      <c r="T1365">
        <v>0.83907682894690816</v>
      </c>
      <c r="U1365">
        <v>0</v>
      </c>
      <c r="V1365">
        <v>0.20881854011899104</v>
      </c>
      <c r="W1365">
        <v>9.7052089767569585E-2</v>
      </c>
      <c r="X1365">
        <v>2.8489687545114675E-2</v>
      </c>
      <c r="Y1365">
        <v>4.2343618193358343E-3</v>
      </c>
    </row>
    <row r="1366" spans="1:25" x14ac:dyDescent="0.25">
      <c r="A1366" s="1098"/>
      <c r="B1366" s="1457">
        <v>1116</v>
      </c>
      <c r="C1366" s="1102">
        <v>0.99916991043283487</v>
      </c>
      <c r="D1366" s="1102">
        <v>0.99712712989102281</v>
      </c>
      <c r="E1366" s="1102">
        <v>1.0234872678907017</v>
      </c>
      <c r="F1366" s="1102">
        <v>0.97958833829792169</v>
      </c>
      <c r="G1366" s="1102">
        <v>0.96131028544821273</v>
      </c>
      <c r="H1366" s="1102">
        <v>0.99744150761983108</v>
      </c>
      <c r="I1366" s="1102">
        <v>0.97451548943181454</v>
      </c>
      <c r="K1366">
        <v>1.53681276789924</v>
      </c>
      <c r="L1366">
        <v>0</v>
      </c>
      <c r="M1366">
        <v>1.4834035419654444E-3</v>
      </c>
      <c r="N1366">
        <v>0.14652493620060961</v>
      </c>
      <c r="O1366">
        <v>0.12003671060935986</v>
      </c>
      <c r="P1366">
        <v>1.562750394784913E-2</v>
      </c>
      <c r="Q1366">
        <v>9.2263844095846954E-4</v>
      </c>
      <c r="R1366">
        <v>1.4800187900763258E-3</v>
      </c>
      <c r="S1366">
        <v>0.11649345654940967</v>
      </c>
      <c r="T1366">
        <v>0.80689473030537817</v>
      </c>
      <c r="U1366">
        <v>0</v>
      </c>
      <c r="V1366">
        <v>0.20300702144692334</v>
      </c>
      <c r="W1366">
        <v>9.4934746195745157E-2</v>
      </c>
      <c r="X1366">
        <v>2.8346285696368684E-2</v>
      </c>
      <c r="Y1366">
        <v>4.0281232585247335E-3</v>
      </c>
    </row>
    <row r="1367" spans="1:25" x14ac:dyDescent="0.25">
      <c r="A1367" s="1098"/>
      <c r="B1367" s="1457">
        <v>1117</v>
      </c>
      <c r="C1367" s="1102">
        <v>0.99795905366143856</v>
      </c>
      <c r="D1367" s="1102">
        <v>0.99061862095695163</v>
      </c>
      <c r="E1367" s="1102">
        <v>1.000049954405712</v>
      </c>
      <c r="F1367" s="1102">
        <v>0.99354454481173238</v>
      </c>
      <c r="G1367" s="1102">
        <v>0.97529439485113933</v>
      </c>
      <c r="H1367" s="1102">
        <v>1.0344184424565948</v>
      </c>
      <c r="I1367" s="1102">
        <v>1.0099478521307976</v>
      </c>
      <c r="K1367">
        <v>1.5668876154540274</v>
      </c>
      <c r="L1367">
        <v>0</v>
      </c>
      <c r="M1367">
        <v>1.6247686260629768E-3</v>
      </c>
      <c r="N1367">
        <v>0.14953944805482819</v>
      </c>
      <c r="O1367">
        <v>0.12143747695092311</v>
      </c>
      <c r="P1367">
        <v>1.5666214866165516E-2</v>
      </c>
      <c r="Q1367">
        <v>9.0408282799461076E-4</v>
      </c>
      <c r="R1367">
        <v>1.621201298456168E-3</v>
      </c>
      <c r="S1367">
        <v>0.12436373562030362</v>
      </c>
      <c r="T1367">
        <v>0.81991891993047183</v>
      </c>
      <c r="U1367">
        <v>0</v>
      </c>
      <c r="V1367">
        <v>0.20462208573044496</v>
      </c>
      <c r="W1367">
        <v>9.8234335233654019E-2</v>
      </c>
      <c r="X1367">
        <v>2.7792508061313233E-2</v>
      </c>
      <c r="Y1367">
        <v>4.4123755055332833E-3</v>
      </c>
    </row>
    <row r="1368" spans="1:25" x14ac:dyDescent="0.25">
      <c r="A1368" s="1098"/>
      <c r="B1368" s="1457">
        <v>1118</v>
      </c>
      <c r="C1368" s="1102">
        <v>0.99669276129162265</v>
      </c>
      <c r="D1368" s="1102">
        <v>1.0174863826762406</v>
      </c>
      <c r="E1368" s="1102">
        <v>0.97302877287100564</v>
      </c>
      <c r="F1368" s="1102">
        <v>0.96786653304219028</v>
      </c>
      <c r="G1368" s="1102">
        <v>0.99500075373504138</v>
      </c>
      <c r="H1368" s="1102">
        <v>0.95722709447732923</v>
      </c>
      <c r="I1368" s="1102">
        <v>0.99103428139819139</v>
      </c>
      <c r="K1368">
        <v>1.5038978519200983</v>
      </c>
      <c r="L1368">
        <v>0</v>
      </c>
      <c r="M1368">
        <v>1.5648401107534909E-3</v>
      </c>
      <c r="N1368">
        <v>0.13269692901460131</v>
      </c>
      <c r="O1368">
        <v>0.11859704656580325</v>
      </c>
      <c r="P1368">
        <v>1.4935673881051005E-2</v>
      </c>
      <c r="Q1368">
        <v>8.7067453585892081E-4</v>
      </c>
      <c r="R1368">
        <v>1.5611029960786327E-3</v>
      </c>
      <c r="S1368">
        <v>0.11403102606485357</v>
      </c>
      <c r="T1368">
        <v>0.80046605806767412</v>
      </c>
      <c r="U1368">
        <v>0</v>
      </c>
      <c r="V1368">
        <v>0.20343438053982227</v>
      </c>
      <c r="W1368">
        <v>8.8596777302899929E-2</v>
      </c>
      <c r="X1368">
        <v>2.6024215324344593E-2</v>
      </c>
      <c r="Y1368">
        <v>4.248807737861687E-3</v>
      </c>
    </row>
    <row r="1369" spans="1:25" x14ac:dyDescent="0.25">
      <c r="A1369" s="1098"/>
      <c r="B1369" s="1457">
        <v>1119</v>
      </c>
      <c r="C1369" s="1102">
        <v>0.97164225209313149</v>
      </c>
      <c r="D1369" s="1102">
        <v>0.99909774193816814</v>
      </c>
      <c r="E1369" s="1102">
        <v>1.0075627244125949</v>
      </c>
      <c r="F1369" s="1102">
        <v>0.95412184276852352</v>
      </c>
      <c r="G1369" s="1102">
        <v>1.0086813509417452</v>
      </c>
      <c r="H1369" s="1102">
        <v>0.95733043040635624</v>
      </c>
      <c r="I1369" s="1102">
        <v>0.99536422038062189</v>
      </c>
      <c r="K1369">
        <v>1.5133594303025724</v>
      </c>
      <c r="L1369">
        <v>0</v>
      </c>
      <c r="M1369">
        <v>1.5053548683670785E-3</v>
      </c>
      <c r="N1369">
        <v>0.14170137333745464</v>
      </c>
      <c r="O1369">
        <v>0.11958735657358301</v>
      </c>
      <c r="P1369">
        <v>1.5242578720889107E-2</v>
      </c>
      <c r="Q1369">
        <v>9.3263121685210957E-4</v>
      </c>
      <c r="R1369">
        <v>1.5017598857783626E-3</v>
      </c>
      <c r="S1369">
        <v>0.11860192843646633</v>
      </c>
      <c r="T1369">
        <v>0.78691316838023961</v>
      </c>
      <c r="U1369">
        <v>0</v>
      </c>
      <c r="V1369">
        <v>0.20608405834038224</v>
      </c>
      <c r="W1369">
        <v>9.2671929799241118E-2</v>
      </c>
      <c r="X1369">
        <v>2.7540705125977033E-2</v>
      </c>
      <c r="Y1369">
        <v>4.0872953540754056E-3</v>
      </c>
    </row>
    <row r="1370" spans="1:25" x14ac:dyDescent="0.25">
      <c r="A1370" s="1098"/>
      <c r="B1370" s="1457">
        <v>1120</v>
      </c>
      <c r="C1370" s="1102">
        <v>1.0050361602233246</v>
      </c>
      <c r="D1370" s="1102">
        <v>1.008838086678189</v>
      </c>
      <c r="E1370" s="1102">
        <v>1.0136633018379972</v>
      </c>
      <c r="F1370" s="1102">
        <v>0.98409866251458455</v>
      </c>
      <c r="G1370" s="1102">
        <v>0.99842354764092334</v>
      </c>
      <c r="H1370" s="1102">
        <v>0.99949143694554288</v>
      </c>
      <c r="I1370" s="1102">
        <v>1.0156957132692852</v>
      </c>
      <c r="K1370">
        <v>1.5409640922097001</v>
      </c>
      <c r="L1370">
        <v>0</v>
      </c>
      <c r="M1370">
        <v>1.4995496255931159E-3</v>
      </c>
      <c r="N1370">
        <v>0.14379425774020135</v>
      </c>
      <c r="O1370">
        <v>0.11958010093289043</v>
      </c>
      <c r="P1370">
        <v>1.563895729980716E-2</v>
      </c>
      <c r="Q1370">
        <v>9.0381750974924456E-4</v>
      </c>
      <c r="R1370">
        <v>1.4961311589655763E-3</v>
      </c>
      <c r="S1370">
        <v>0.12007739284263838</v>
      </c>
      <c r="T1370">
        <v>0.81124232568523102</v>
      </c>
      <c r="U1370">
        <v>0</v>
      </c>
      <c r="V1370">
        <v>0.20406042686862708</v>
      </c>
      <c r="W1370">
        <v>9.3703136386211791E-2</v>
      </c>
      <c r="X1370">
        <v>2.7895119595770183E-2</v>
      </c>
      <c r="Y1370">
        <v>4.0719758152002955E-3</v>
      </c>
    </row>
    <row r="1371" spans="1:25" x14ac:dyDescent="0.25">
      <c r="A1371" s="1098"/>
      <c r="B1371" s="1457">
        <v>1121</v>
      </c>
      <c r="C1371" s="1102">
        <v>1.0057879346598315</v>
      </c>
      <c r="D1371" s="1102">
        <v>0.99191221019447839</v>
      </c>
      <c r="E1371" s="1102">
        <v>1.0056044661942336</v>
      </c>
      <c r="F1371" s="1102">
        <v>0.99711227854660811</v>
      </c>
      <c r="G1371" s="1102">
        <v>1.0150018389147724</v>
      </c>
      <c r="H1371" s="1102">
        <v>1.0108397596026719</v>
      </c>
      <c r="I1371" s="1102">
        <v>0.98428680372395849</v>
      </c>
      <c r="K1371">
        <v>1.5580088878406659</v>
      </c>
      <c r="L1371">
        <v>0</v>
      </c>
      <c r="M1371">
        <v>1.5575063132636533E-3</v>
      </c>
      <c r="N1371">
        <v>0.14576690971484585</v>
      </c>
      <c r="O1371">
        <v>0.12121673376789158</v>
      </c>
      <c r="P1371">
        <v>1.5702499065335048E-2</v>
      </c>
      <c r="Q1371">
        <v>9.0174789598558905E-4</v>
      </c>
      <c r="R1371">
        <v>1.5540091446729074E-3</v>
      </c>
      <c r="S1371">
        <v>0.11840871738368372</v>
      </c>
      <c r="T1371">
        <v>0.82249806746321685</v>
      </c>
      <c r="U1371">
        <v>0</v>
      </c>
      <c r="V1371">
        <v>0.2059106596097483</v>
      </c>
      <c r="W1371">
        <v>9.5441211371439461E-2</v>
      </c>
      <c r="X1371">
        <v>2.7936338124285462E-2</v>
      </c>
      <c r="Y1371">
        <v>4.2295006128227905E-3</v>
      </c>
    </row>
    <row r="1372" spans="1:25" x14ac:dyDescent="0.25">
      <c r="A1372" s="1098"/>
      <c r="B1372" s="1457">
        <v>1122</v>
      </c>
      <c r="C1372" s="1102">
        <v>0.96732282253027957</v>
      </c>
      <c r="D1372" s="1102">
        <v>0.99780691769849206</v>
      </c>
      <c r="E1372" s="1102">
        <v>0.98531182739328949</v>
      </c>
      <c r="F1372" s="1102">
        <v>0.9601361463386836</v>
      </c>
      <c r="G1372" s="1102">
        <v>1.0023305194049317</v>
      </c>
      <c r="H1372" s="1102">
        <v>0.95085650351169182</v>
      </c>
      <c r="I1372" s="1102">
        <v>0.97322281769634067</v>
      </c>
      <c r="K1372">
        <v>1.5135847000184848</v>
      </c>
      <c r="L1372">
        <v>0</v>
      </c>
      <c r="M1372">
        <v>1.5741492060336066E-3</v>
      </c>
      <c r="N1372">
        <v>0.13853878792218433</v>
      </c>
      <c r="O1372">
        <v>0.12036768675393517</v>
      </c>
      <c r="P1372">
        <v>1.5047436314574728E-2</v>
      </c>
      <c r="Q1372">
        <v>9.1586456619044095E-4</v>
      </c>
      <c r="R1372">
        <v>1.5703657378654656E-3</v>
      </c>
      <c r="S1372">
        <v>0.11602757824663222</v>
      </c>
      <c r="T1372">
        <v>0.79328624724779606</v>
      </c>
      <c r="U1372">
        <v>0</v>
      </c>
      <c r="V1372">
        <v>0.20650005720016237</v>
      </c>
      <c r="W1372">
        <v>9.1813221904927508E-2</v>
      </c>
      <c r="X1372">
        <v>2.6817585462704446E-2</v>
      </c>
      <c r="Y1372">
        <v>4.274017867543437E-3</v>
      </c>
    </row>
    <row r="1373" spans="1:25" x14ac:dyDescent="0.25">
      <c r="A1373" s="1098"/>
      <c r="B1373" s="1457">
        <v>1123</v>
      </c>
      <c r="C1373" s="1102">
        <v>0.98537422067021574</v>
      </c>
      <c r="D1373" s="1102">
        <v>0.97647890378624613</v>
      </c>
      <c r="E1373" s="1102">
        <v>0.9866703774858353</v>
      </c>
      <c r="F1373" s="1102">
        <v>1.0015565152146431</v>
      </c>
      <c r="G1373" s="1102">
        <v>1.0443140228936869</v>
      </c>
      <c r="H1373" s="1102">
        <v>0.97839399785867764</v>
      </c>
      <c r="I1373" s="1102">
        <v>0.97914102109261114</v>
      </c>
      <c r="K1373">
        <v>1.5644063529130059</v>
      </c>
      <c r="L1373">
        <v>0</v>
      </c>
      <c r="M1373">
        <v>1.6126752586597516E-3</v>
      </c>
      <c r="N1373">
        <v>0.14252617827429426</v>
      </c>
      <c r="O1373">
        <v>0.12333379167740134</v>
      </c>
      <c r="P1373">
        <v>1.5601266748808972E-2</v>
      </c>
      <c r="Q1373">
        <v>9.0817861426166794E-4</v>
      </c>
      <c r="R1373">
        <v>1.6089393813726381E-3</v>
      </c>
      <c r="S1373">
        <v>0.1186384734779503</v>
      </c>
      <c r="T1373">
        <v>0.82741825653962531</v>
      </c>
      <c r="U1373">
        <v>0</v>
      </c>
      <c r="V1373">
        <v>0.20964468750137233</v>
      </c>
      <c r="W1373">
        <v>9.4378682134852732E-2</v>
      </c>
      <c r="X1373">
        <v>2.7581571212354845E-2</v>
      </c>
      <c r="Y1373">
        <v>4.379002609371796E-3</v>
      </c>
    </row>
    <row r="1374" spans="1:25" x14ac:dyDescent="0.25">
      <c r="A1374" s="1098"/>
      <c r="B1374" s="1457">
        <v>1124</v>
      </c>
      <c r="C1374" s="1102">
        <v>0.98526441405870457</v>
      </c>
      <c r="D1374" s="1102">
        <v>1.0308884332133081</v>
      </c>
      <c r="E1374" s="1102">
        <v>1.0197811803846819</v>
      </c>
      <c r="F1374" s="1102">
        <v>1.0240753018183482</v>
      </c>
      <c r="G1374" s="1102">
        <v>0.98896647553804584</v>
      </c>
      <c r="H1374" s="1102">
        <v>1.0129129649800834</v>
      </c>
      <c r="I1374" s="1102">
        <v>0.99751977196521802</v>
      </c>
      <c r="K1374">
        <v>1.5869121701238575</v>
      </c>
      <c r="L1374">
        <v>0</v>
      </c>
      <c r="M1374">
        <v>1.5142962412094472E-3</v>
      </c>
      <c r="N1374">
        <v>0.14791768043860892</v>
      </c>
      <c r="O1374">
        <v>0.1224088215079174</v>
      </c>
      <c r="P1374">
        <v>1.6194981343400083E-2</v>
      </c>
      <c r="Q1374">
        <v>9.1977994591959809E-4</v>
      </c>
      <c r="R1374">
        <v>1.5108829082379949E-3</v>
      </c>
      <c r="S1374">
        <v>0.11994713144513637</v>
      </c>
      <c r="T1374">
        <v>0.8437868880577063</v>
      </c>
      <c r="U1374">
        <v>0</v>
      </c>
      <c r="V1374">
        <v>0.20674211531048281</v>
      </c>
      <c r="W1374">
        <v>9.6044874716989997E-2</v>
      </c>
      <c r="X1374">
        <v>2.884118547685759E-2</v>
      </c>
      <c r="Y1374">
        <v>4.1121252138069777E-3</v>
      </c>
    </row>
    <row r="1375" spans="1:25" x14ac:dyDescent="0.25">
      <c r="A1375" s="1098"/>
      <c r="B1375" s="1457">
        <v>1125</v>
      </c>
      <c r="C1375" s="1102">
        <v>0.97932945832075058</v>
      </c>
      <c r="D1375" s="1102">
        <v>0.9938983725469277</v>
      </c>
      <c r="E1375" s="1102">
        <v>0.99735282480287468</v>
      </c>
      <c r="F1375" s="1102">
        <v>1.0075925595167146</v>
      </c>
      <c r="G1375" s="1102">
        <v>0.98814927577949441</v>
      </c>
      <c r="H1375" s="1102">
        <v>1.03913836701874</v>
      </c>
      <c r="I1375" s="1102">
        <v>0.99729377621508375</v>
      </c>
      <c r="K1375">
        <v>1.5896307250513491</v>
      </c>
      <c r="L1375">
        <v>0</v>
      </c>
      <c r="M1375">
        <v>1.6689140626117134E-3</v>
      </c>
      <c r="N1375">
        <v>0.15235703462870101</v>
      </c>
      <c r="O1375">
        <v>0.12326539640797234</v>
      </c>
      <c r="P1375">
        <v>1.5845176752072348E-2</v>
      </c>
      <c r="Q1375">
        <v>9.1749272070198507E-4</v>
      </c>
      <c r="R1375">
        <v>1.6652633138415241E-3</v>
      </c>
      <c r="S1375">
        <v>0.12524584840129668</v>
      </c>
      <c r="T1375">
        <v>0.83169150588070684</v>
      </c>
      <c r="U1375">
        <v>0</v>
      </c>
      <c r="V1375">
        <v>0.20743771282316908</v>
      </c>
      <c r="W1375">
        <v>0.1002459759390151</v>
      </c>
      <c r="X1375">
        <v>2.8095934460109249E-2</v>
      </c>
      <c r="Y1375">
        <v>4.5322977863727562E-3</v>
      </c>
    </row>
    <row r="1376" spans="1:25" x14ac:dyDescent="0.25">
      <c r="A1376" s="1098"/>
      <c r="B1376" s="1457">
        <v>1126</v>
      </c>
      <c r="C1376" s="1102">
        <v>0.99368742580178548</v>
      </c>
      <c r="D1376" s="1102">
        <v>1.0002079535677706</v>
      </c>
      <c r="E1376" s="1102">
        <v>1.0257587210073693</v>
      </c>
      <c r="F1376" s="1102">
        <v>0.96937581770233494</v>
      </c>
      <c r="G1376" s="1102">
        <v>0.97546864633897767</v>
      </c>
      <c r="H1376" s="1102">
        <v>0.98502823161427966</v>
      </c>
      <c r="I1376" s="1102">
        <v>0.98915986897804686</v>
      </c>
      <c r="K1376">
        <v>1.5270604523385498</v>
      </c>
      <c r="L1376">
        <v>0</v>
      </c>
      <c r="M1376">
        <v>1.461728622811496E-3</v>
      </c>
      <c r="N1376">
        <v>0.14537164477508427</v>
      </c>
      <c r="O1376">
        <v>0.1194518022049684</v>
      </c>
      <c r="P1376">
        <v>1.5556782220231956E-2</v>
      </c>
      <c r="Q1376">
        <v>9.2874115688309654E-4</v>
      </c>
      <c r="R1376">
        <v>1.4583454317419477E-3</v>
      </c>
      <c r="S1376">
        <v>0.11760907703493352</v>
      </c>
      <c r="T1376">
        <v>0.79833899172767464</v>
      </c>
      <c r="U1376">
        <v>0</v>
      </c>
      <c r="V1376">
        <v>0.2034871245166669</v>
      </c>
      <c r="W1376">
        <v>9.4062887634847311E-2</v>
      </c>
      <c r="X1376">
        <v>2.8287648736568607E-2</v>
      </c>
      <c r="Y1376">
        <v>3.96913552175921E-3</v>
      </c>
    </row>
    <row r="1377" spans="1:25" x14ac:dyDescent="0.25">
      <c r="A1377" s="1098"/>
      <c r="B1377" s="1457">
        <v>1127</v>
      </c>
      <c r="C1377" s="1102">
        <v>1.028115795612798</v>
      </c>
      <c r="D1377" s="1102">
        <v>1.033535541022512</v>
      </c>
      <c r="E1377" s="1102">
        <v>1.0266153386108052</v>
      </c>
      <c r="F1377" s="1102">
        <v>1.0284396100479321</v>
      </c>
      <c r="G1377" s="1102">
        <v>1.0249657494546591</v>
      </c>
      <c r="H1377" s="1102">
        <v>0.99912604115186876</v>
      </c>
      <c r="I1377" s="1102">
        <v>1.0022363210090077</v>
      </c>
      <c r="K1377">
        <v>1.568496735923979</v>
      </c>
      <c r="L1377">
        <v>0</v>
      </c>
      <c r="M1377">
        <v>1.4136769126061376E-3</v>
      </c>
      <c r="N1377">
        <v>0.14096148019805316</v>
      </c>
      <c r="O1377">
        <v>0.12038671453084993</v>
      </c>
      <c r="P1377">
        <v>1.6219312467334587E-2</v>
      </c>
      <c r="Q1377">
        <v>8.8672469025837723E-4</v>
      </c>
      <c r="R1377">
        <v>1.4104553582216051E-3</v>
      </c>
      <c r="S1377">
        <v>0.11452387926433358</v>
      </c>
      <c r="T1377">
        <v>0.84692414746631495</v>
      </c>
      <c r="U1377">
        <v>0</v>
      </c>
      <c r="V1377">
        <v>0.20494956175666809</v>
      </c>
      <c r="W1377">
        <v>9.1163807613585418E-2</v>
      </c>
      <c r="X1377">
        <v>2.864553496236889E-2</v>
      </c>
      <c r="Y1377">
        <v>3.8387945285953311E-3</v>
      </c>
    </row>
    <row r="1378" spans="1:25" x14ac:dyDescent="0.25">
      <c r="A1378" s="1098"/>
      <c r="B1378" s="1457">
        <v>1128</v>
      </c>
      <c r="C1378" s="1102">
        <v>1.0011423316477746</v>
      </c>
      <c r="D1378" s="1102">
        <v>0.98667724390850386</v>
      </c>
      <c r="E1378" s="1102">
        <v>1.0189244554560168</v>
      </c>
      <c r="F1378" s="1102">
        <v>1.0176370317662959</v>
      </c>
      <c r="G1378" s="1102">
        <v>1.0252471495600597</v>
      </c>
      <c r="H1378" s="1102">
        <v>1.0267818507874453</v>
      </c>
      <c r="I1378" s="1102">
        <v>1.0248619459502328</v>
      </c>
      <c r="K1378">
        <v>1.595191945807932</v>
      </c>
      <c r="L1378">
        <v>0</v>
      </c>
      <c r="M1378">
        <v>1.5525642178735094E-3</v>
      </c>
      <c r="N1378">
        <v>0.15127156415938459</v>
      </c>
      <c r="O1378">
        <v>0.12309405923950094</v>
      </c>
      <c r="P1378">
        <v>1.6209319731506217E-2</v>
      </c>
      <c r="Q1378">
        <v>9.2039385804186145E-4</v>
      </c>
      <c r="R1378">
        <v>1.5491395037223776E-3</v>
      </c>
      <c r="S1378">
        <v>0.12568792592065048</v>
      </c>
      <c r="T1378">
        <v>0.83853908339615479</v>
      </c>
      <c r="U1378">
        <v>0</v>
      </c>
      <c r="V1378">
        <v>0.2080152830072593</v>
      </c>
      <c r="W1378">
        <v>9.8271864541385132E-2</v>
      </c>
      <c r="X1378">
        <v>2.8969629612767823E-2</v>
      </c>
      <c r="Y1378">
        <v>4.2162470554321574E-3</v>
      </c>
    </row>
    <row r="1379" spans="1:25" x14ac:dyDescent="0.25">
      <c r="A1379" s="1098"/>
      <c r="B1379" s="1457">
        <v>1129</v>
      </c>
      <c r="C1379" s="1102">
        <v>1.0353389636508139</v>
      </c>
      <c r="D1379" s="1102">
        <v>1.0234932439969642</v>
      </c>
      <c r="E1379" s="1102">
        <v>0.98564026396265736</v>
      </c>
      <c r="F1379" s="1102">
        <v>1.0286164123400243</v>
      </c>
      <c r="G1379" s="1102">
        <v>1.0145947642566986</v>
      </c>
      <c r="H1379" s="1102">
        <v>0.99799170847491647</v>
      </c>
      <c r="I1379" s="1102">
        <v>0.99695849737616593</v>
      </c>
      <c r="K1379">
        <v>1.5610723017721997</v>
      </c>
      <c r="L1379">
        <v>0</v>
      </c>
      <c r="M1379">
        <v>1.5360277177201478E-3</v>
      </c>
      <c r="N1379">
        <v>0.135335341660448</v>
      </c>
      <c r="O1379">
        <v>0.12058695441897513</v>
      </c>
      <c r="P1379">
        <v>1.5749955771211126E-2</v>
      </c>
      <c r="Q1379">
        <v>8.4733234329796591E-4</v>
      </c>
      <c r="R1379">
        <v>1.5325309372305129E-3</v>
      </c>
      <c r="S1379">
        <v>0.1136663079954203</v>
      </c>
      <c r="T1379">
        <v>0.84984373497151566</v>
      </c>
      <c r="U1379">
        <v>0</v>
      </c>
      <c r="V1379">
        <v>0.20413085315314863</v>
      </c>
      <c r="W1379">
        <v>8.9672507173958305E-2</v>
      </c>
      <c r="X1379">
        <v>2.7071767052257931E-2</v>
      </c>
      <c r="Y1379">
        <v>4.1710440124537737E-3</v>
      </c>
    </row>
    <row r="1380" spans="1:25" x14ac:dyDescent="0.25">
      <c r="A1380" s="1098"/>
      <c r="B1380" s="1457">
        <v>1130</v>
      </c>
      <c r="C1380" s="1102">
        <v>0.9642924695200723</v>
      </c>
      <c r="D1380" s="1102">
        <v>1.0179123541101327</v>
      </c>
      <c r="E1380" s="1102">
        <v>0.97720612826603592</v>
      </c>
      <c r="F1380" s="1102">
        <v>0.97377306755882398</v>
      </c>
      <c r="G1380" s="1102">
        <v>0.99693899173825418</v>
      </c>
      <c r="H1380" s="1102">
        <v>1.0081782334912315</v>
      </c>
      <c r="I1380" s="1102">
        <v>1.0182506261779163</v>
      </c>
      <c r="K1380">
        <v>1.5460040806908637</v>
      </c>
      <c r="L1380">
        <v>0</v>
      </c>
      <c r="M1380">
        <v>1.6851214258785678E-3</v>
      </c>
      <c r="N1380">
        <v>0.14473172671446885</v>
      </c>
      <c r="O1380">
        <v>0.1206642822425006</v>
      </c>
      <c r="P1380">
        <v>1.5236961481883362E-2</v>
      </c>
      <c r="Q1380">
        <v>9.0373649603530694E-4</v>
      </c>
      <c r="R1380">
        <v>1.6812925807961523E-3</v>
      </c>
      <c r="S1380">
        <v>0.12512131584033837</v>
      </c>
      <c r="T1380">
        <v>0.80507921124640669</v>
      </c>
      <c r="U1380">
        <v>0</v>
      </c>
      <c r="V1380">
        <v>0.20663886433153189</v>
      </c>
      <c r="W1380">
        <v>9.6387582502199906E-2</v>
      </c>
      <c r="X1380">
        <v>2.6668304513603101E-2</v>
      </c>
      <c r="Y1380">
        <v>4.5759241669768233E-3</v>
      </c>
    </row>
    <row r="1381" spans="1:25" x14ac:dyDescent="0.25">
      <c r="A1381" s="1098"/>
      <c r="B1381" s="1457">
        <v>1131</v>
      </c>
      <c r="C1381" s="1102">
        <v>0.9811257134131669</v>
      </c>
      <c r="D1381" s="1102">
        <v>0.97566540330927276</v>
      </c>
      <c r="E1381" s="1102">
        <v>0.9910763628979351</v>
      </c>
      <c r="F1381" s="1102">
        <v>0.96780142391634394</v>
      </c>
      <c r="G1381" s="1102">
        <v>0.99735162243385977</v>
      </c>
      <c r="H1381" s="1102">
        <v>1.0044371426484366</v>
      </c>
      <c r="I1381" s="1102">
        <v>0.96910396379887853</v>
      </c>
      <c r="K1381">
        <v>1.5386787309067582</v>
      </c>
      <c r="L1381">
        <v>0</v>
      </c>
      <c r="M1381">
        <v>1.6434005777542294E-3</v>
      </c>
      <c r="N1381">
        <v>0.14719742989630616</v>
      </c>
      <c r="O1381">
        <v>0.12116371685891231</v>
      </c>
      <c r="P1381">
        <v>1.5240464547301252E-2</v>
      </c>
      <c r="Q1381">
        <v>9.1661788695624347E-4</v>
      </c>
      <c r="R1381">
        <v>1.6396813596028176E-3</v>
      </c>
      <c r="S1381">
        <v>0.11981951413286938</v>
      </c>
      <c r="T1381">
        <v>0.79924905939806412</v>
      </c>
      <c r="U1381">
        <v>0</v>
      </c>
      <c r="V1381">
        <v>0.20615270127493016</v>
      </c>
      <c r="W1381">
        <v>9.7214752079103045E-2</v>
      </c>
      <c r="X1381">
        <v>2.7265521910441612E-2</v>
      </c>
      <c r="Y1381">
        <v>4.4626721400239447E-3</v>
      </c>
    </row>
    <row r="1382" spans="1:25" x14ac:dyDescent="0.25">
      <c r="A1382" s="1098"/>
      <c r="B1382" s="1457">
        <v>1132</v>
      </c>
      <c r="C1382" s="1102">
        <v>0.99818412435189818</v>
      </c>
      <c r="D1382" s="1102">
        <v>1.0311770136379179</v>
      </c>
      <c r="E1382" s="1102">
        <v>1.0224054977147734</v>
      </c>
      <c r="F1382" s="1102">
        <v>1.0254198603605298</v>
      </c>
      <c r="G1382" s="1102">
        <v>1.0147144267446602</v>
      </c>
      <c r="H1382" s="1102">
        <v>1.0042587275843327</v>
      </c>
      <c r="I1382" s="1102">
        <v>1.0111334151719262</v>
      </c>
      <c r="K1382">
        <v>1.5821255965403074</v>
      </c>
      <c r="L1382">
        <v>0</v>
      </c>
      <c r="M1382">
        <v>1.4750992630762237E-3</v>
      </c>
      <c r="N1382">
        <v>0.14523156352691002</v>
      </c>
      <c r="O1382">
        <v>0.12180948990666116</v>
      </c>
      <c r="P1382">
        <v>1.6233020419809303E-2</v>
      </c>
      <c r="Q1382">
        <v>9.1021913155187452E-4</v>
      </c>
      <c r="R1382">
        <v>1.4717488342641403E-3</v>
      </c>
      <c r="S1382">
        <v>0.11939137127613234</v>
      </c>
      <c r="T1382">
        <v>0.84471892557159312</v>
      </c>
      <c r="U1382">
        <v>0</v>
      </c>
      <c r="V1382">
        <v>0.20686229399399134</v>
      </c>
      <c r="W1382">
        <v>9.4156193270940616E-2</v>
      </c>
      <c r="X1382">
        <v>2.8810254706533665E-2</v>
      </c>
      <c r="Y1382">
        <v>4.0056151649941639E-3</v>
      </c>
    </row>
    <row r="1383" spans="1:25" x14ac:dyDescent="0.25">
      <c r="A1383" s="1098"/>
      <c r="B1383" s="1457">
        <v>1133</v>
      </c>
      <c r="C1383" s="1102">
        <v>0.98692921894712082</v>
      </c>
      <c r="D1383" s="1102">
        <v>1.028464349821963</v>
      </c>
      <c r="E1383" s="1102">
        <v>1.0012946776918348</v>
      </c>
      <c r="F1383" s="1102">
        <v>0.98800439667245121</v>
      </c>
      <c r="G1383" s="1102">
        <v>0.99569074136226576</v>
      </c>
      <c r="H1383" s="1102">
        <v>0.98427136228605872</v>
      </c>
      <c r="I1383" s="1102">
        <v>0.97093671181180763</v>
      </c>
      <c r="K1383">
        <v>1.5358724875053213</v>
      </c>
      <c r="L1383">
        <v>0</v>
      </c>
      <c r="M1383">
        <v>1.5246599848875646E-3</v>
      </c>
      <c r="N1383">
        <v>0.14083616198204837</v>
      </c>
      <c r="O1383">
        <v>0.11997148330232683</v>
      </c>
      <c r="P1383">
        <v>1.5485896249863173E-2</v>
      </c>
      <c r="Q1383">
        <v>9.0174160045573837E-4</v>
      </c>
      <c r="R1383">
        <v>1.5211156465663245E-3</v>
      </c>
      <c r="S1383">
        <v>0.1142899640899239</v>
      </c>
      <c r="T1383">
        <v>0.81526577650399779</v>
      </c>
      <c r="U1383">
        <v>0</v>
      </c>
      <c r="V1383">
        <v>0.20507776680537065</v>
      </c>
      <c r="W1383">
        <v>9.2448655596004806E-2</v>
      </c>
      <c r="X1383">
        <v>2.7458610359334876E-2</v>
      </c>
      <c r="Y1383">
        <v>4.1399753543154083E-3</v>
      </c>
    </row>
    <row r="1384" spans="1:25" x14ac:dyDescent="0.25">
      <c r="A1384" s="1098"/>
      <c r="B1384" s="1457">
        <v>1134</v>
      </c>
      <c r="C1384" s="1102">
        <v>1.0295471098374822</v>
      </c>
      <c r="D1384" s="1102">
        <v>0.96830943200959796</v>
      </c>
      <c r="E1384" s="1102">
        <v>0.98658627918802744</v>
      </c>
      <c r="F1384" s="1102">
        <v>0.9955738119582227</v>
      </c>
      <c r="G1384" s="1102">
        <v>0.98835726007537317</v>
      </c>
      <c r="H1384" s="1102">
        <v>1.0028882389472458</v>
      </c>
      <c r="I1384" s="1102">
        <v>1.0244899852483593</v>
      </c>
      <c r="K1384">
        <v>1.5504780744670736</v>
      </c>
      <c r="L1384">
        <v>0</v>
      </c>
      <c r="M1384">
        <v>1.5944607376932242E-3</v>
      </c>
      <c r="N1384">
        <v>0.14088990487601102</v>
      </c>
      <c r="O1384">
        <v>0.12102747086217494</v>
      </c>
      <c r="P1384">
        <v>1.5488897034013269E-2</v>
      </c>
      <c r="Q1384">
        <v>8.720624476590749E-4</v>
      </c>
      <c r="R1384">
        <v>1.5908724879857073E-3</v>
      </c>
      <c r="S1384">
        <v>0.12159876286431505</v>
      </c>
      <c r="T1384">
        <v>0.82248131496541677</v>
      </c>
      <c r="U1384">
        <v>0</v>
      </c>
      <c r="V1384">
        <v>0.20337061293259326</v>
      </c>
      <c r="W1384">
        <v>9.3299879496082525E-2</v>
      </c>
      <c r="X1384">
        <v>2.7122926757191267E-2</v>
      </c>
      <c r="Y1384">
        <v>4.329830481322375E-3</v>
      </c>
    </row>
    <row r="1385" spans="1:25" x14ac:dyDescent="0.25">
      <c r="A1385" s="1098"/>
      <c r="B1385" s="1457">
        <v>1135</v>
      </c>
      <c r="C1385" s="1102">
        <v>0.98208257719082714</v>
      </c>
      <c r="D1385" s="1102">
        <v>1.0054590819442255</v>
      </c>
      <c r="E1385" s="1102">
        <v>0.99411089132798514</v>
      </c>
      <c r="F1385" s="1102">
        <v>0.99124995575942143</v>
      </c>
      <c r="G1385" s="1102">
        <v>1.0130825745824379</v>
      </c>
      <c r="H1385" s="1102">
        <v>0.99861387988749795</v>
      </c>
      <c r="I1385" s="1102">
        <v>0.98022402661458141</v>
      </c>
      <c r="K1385">
        <v>1.5535706260437145</v>
      </c>
      <c r="L1385">
        <v>0</v>
      </c>
      <c r="M1385">
        <v>1.5979472080670115E-3</v>
      </c>
      <c r="N1385">
        <v>0.14444227539430485</v>
      </c>
      <c r="O1385">
        <v>0.12146297523580414</v>
      </c>
      <c r="P1385">
        <v>1.5532272732150628E-2</v>
      </c>
      <c r="Q1385">
        <v>9.0763528680521733E-4</v>
      </c>
      <c r="R1385">
        <v>1.594299060658223E-3</v>
      </c>
      <c r="S1385">
        <v>0.1186327270219884</v>
      </c>
      <c r="T1385">
        <v>0.818414505169342</v>
      </c>
      <c r="U1385">
        <v>0</v>
      </c>
      <c r="V1385">
        <v>0.20711287543976772</v>
      </c>
      <c r="W1385">
        <v>9.5222240285043697E-2</v>
      </c>
      <c r="X1385">
        <v>2.7507611143346575E-2</v>
      </c>
      <c r="Y1385">
        <v>4.3391564825675825E-3</v>
      </c>
    </row>
    <row r="1386" spans="1:25" x14ac:dyDescent="0.25">
      <c r="A1386" s="1098"/>
      <c r="B1386" s="1457">
        <v>1136</v>
      </c>
      <c r="C1386" s="1102">
        <v>0.99047725137648079</v>
      </c>
      <c r="D1386" s="1102">
        <v>1.0405755301970923</v>
      </c>
      <c r="E1386" s="1102">
        <v>0.95618360350827203</v>
      </c>
      <c r="F1386" s="1102">
        <v>1.0107013720984654</v>
      </c>
      <c r="G1386" s="1102">
        <v>1.0378151273543001</v>
      </c>
      <c r="H1386" s="1102">
        <v>1.0310564339181127</v>
      </c>
      <c r="I1386" s="1102">
        <v>0.99216899305726758</v>
      </c>
      <c r="K1386">
        <v>1.5662704824938205</v>
      </c>
      <c r="L1386">
        <v>0</v>
      </c>
      <c r="M1386">
        <v>1.738799415610512E-3</v>
      </c>
      <c r="N1386">
        <v>0.14013732836310211</v>
      </c>
      <c r="O1386">
        <v>0.12098155878362672</v>
      </c>
      <c r="P1386">
        <v>1.5346580760217554E-2</v>
      </c>
      <c r="Q1386">
        <v>8.5299109993517471E-4</v>
      </c>
      <c r="R1386">
        <v>1.7349406796014859E-3</v>
      </c>
      <c r="S1386">
        <v>0.11925559754720864</v>
      </c>
      <c r="T1386">
        <v>0.83703561012899097</v>
      </c>
      <c r="U1386">
        <v>0</v>
      </c>
      <c r="V1386">
        <v>0.20741820023207924</v>
      </c>
      <c r="W1386">
        <v>9.4532832241653514E-2</v>
      </c>
      <c r="X1386">
        <v>2.5991705466182156E-2</v>
      </c>
      <c r="Y1386">
        <v>4.721936606833922E-3</v>
      </c>
    </row>
    <row r="1387" spans="1:25" x14ac:dyDescent="0.25">
      <c r="A1387" s="1098"/>
      <c r="B1387" s="1457">
        <v>1137</v>
      </c>
      <c r="C1387" s="1102">
        <v>0.99213590859005973</v>
      </c>
      <c r="D1387" s="1102">
        <v>1.0087163437119251</v>
      </c>
      <c r="E1387" s="1102">
        <v>0.97570950123534161</v>
      </c>
      <c r="F1387" s="1102">
        <v>0.98823868432819961</v>
      </c>
      <c r="G1387" s="1102">
        <v>1.0035318543405651</v>
      </c>
      <c r="H1387" s="1102">
        <v>0.97537362345108936</v>
      </c>
      <c r="I1387" s="1102">
        <v>0.96294758711428496</v>
      </c>
      <c r="K1387">
        <v>1.532047334028801</v>
      </c>
      <c r="L1387">
        <v>0</v>
      </c>
      <c r="M1387">
        <v>1.6028051624589266E-3</v>
      </c>
      <c r="N1387">
        <v>0.13703065165461867</v>
      </c>
      <c r="O1387">
        <v>0.12063425454234444</v>
      </c>
      <c r="P1387">
        <v>1.5208565320363122E-2</v>
      </c>
      <c r="Q1387">
        <v>8.8018411573028549E-4</v>
      </c>
      <c r="R1387">
        <v>1.5990586672336789E-3</v>
      </c>
      <c r="S1387">
        <v>0.11336801262051918</v>
      </c>
      <c r="T1387">
        <v>0.81713760303079475</v>
      </c>
      <c r="U1387">
        <v>0</v>
      </c>
      <c r="V1387">
        <v>0.20552661367967637</v>
      </c>
      <c r="W1387">
        <v>9.1341605849339841E-2</v>
      </c>
      <c r="X1387">
        <v>2.6571479147977646E-2</v>
      </c>
      <c r="Y1387">
        <v>4.352110562662089E-3</v>
      </c>
    </row>
    <row r="1388" spans="1:25" x14ac:dyDescent="0.25">
      <c r="A1388" s="1098"/>
      <c r="B1388" s="1457">
        <v>1138</v>
      </c>
      <c r="C1388" s="1102">
        <v>1.0221985640180973</v>
      </c>
      <c r="D1388" s="1102">
        <v>1.01840462773808</v>
      </c>
      <c r="E1388" s="1102">
        <v>1.0140825071657</v>
      </c>
      <c r="F1388" s="1102">
        <v>1.0050696403309005</v>
      </c>
      <c r="G1388" s="1102">
        <v>0.99984710852122616</v>
      </c>
      <c r="H1388" s="1102">
        <v>1.0017257367658137</v>
      </c>
      <c r="I1388" s="1102">
        <v>1.0224227121511085</v>
      </c>
      <c r="K1388">
        <v>1.5525844384768051</v>
      </c>
      <c r="L1388">
        <v>0</v>
      </c>
      <c r="M1388">
        <v>1.4725966957655433E-3</v>
      </c>
      <c r="N1388">
        <v>0.14138958166436813</v>
      </c>
      <c r="O1388">
        <v>0.11976792799413445</v>
      </c>
      <c r="P1388">
        <v>1.5853278399698925E-2</v>
      </c>
      <c r="Q1388">
        <v>8.8567622322920959E-4</v>
      </c>
      <c r="R1388">
        <v>1.4692512056070643E-3</v>
      </c>
      <c r="S1388">
        <v>0.11857058827083146</v>
      </c>
      <c r="T1388">
        <v>0.82850213898052583</v>
      </c>
      <c r="U1388">
        <v>0</v>
      </c>
      <c r="V1388">
        <v>0.20351843320874002</v>
      </c>
      <c r="W1388">
        <v>9.2113432307727297E-2</v>
      </c>
      <c r="X1388">
        <v>2.7987909474572817E-2</v>
      </c>
      <c r="Y1388">
        <v>3.9988174431326686E-3</v>
      </c>
    </row>
    <row r="1389" spans="1:25" x14ac:dyDescent="0.25">
      <c r="A1389" s="1098"/>
      <c r="B1389" s="1457">
        <v>1139</v>
      </c>
      <c r="C1389" s="1102">
        <v>1.0181123705671922</v>
      </c>
      <c r="D1389" s="1102">
        <v>1.029470245735864</v>
      </c>
      <c r="E1389" s="1102">
        <v>0.97291862770261406</v>
      </c>
      <c r="F1389" s="1102">
        <v>1.0146716596856962</v>
      </c>
      <c r="G1389" s="1102">
        <v>0.98439167094862501</v>
      </c>
      <c r="H1389" s="1102">
        <v>0.99510428391025296</v>
      </c>
      <c r="I1389" s="1102">
        <v>1.0134948980391685</v>
      </c>
      <c r="K1389">
        <v>1.5513980462253185</v>
      </c>
      <c r="L1389">
        <v>0</v>
      </c>
      <c r="M1389">
        <v>1.5903559604724009E-3</v>
      </c>
      <c r="N1389">
        <v>0.13482892989401643</v>
      </c>
      <c r="O1389">
        <v>0.12027697015921364</v>
      </c>
      <c r="P1389">
        <v>1.5484563472669351E-2</v>
      </c>
      <c r="Q1389">
        <v>8.4827572210085373E-4</v>
      </c>
      <c r="R1389">
        <v>1.5867137357415463E-3</v>
      </c>
      <c r="S1389">
        <v>0.11668563504242281</v>
      </c>
      <c r="T1389">
        <v>0.83918332847189447</v>
      </c>
      <c r="U1389">
        <v>0</v>
      </c>
      <c r="V1389">
        <v>0.20325499789433135</v>
      </c>
      <c r="W1389">
        <v>9.0026255311477774E-2</v>
      </c>
      <c r="X1389">
        <v>2.6494220753276891E-2</v>
      </c>
      <c r="Y1389">
        <v>4.3185117286460772E-3</v>
      </c>
    </row>
    <row r="1390" spans="1:25" x14ac:dyDescent="0.25">
      <c r="A1390" s="1098"/>
      <c r="B1390" s="1457">
        <v>1140</v>
      </c>
      <c r="C1390" s="1102">
        <v>1.0384203827489782</v>
      </c>
      <c r="D1390" s="1102">
        <v>1.0412777659261963</v>
      </c>
      <c r="E1390" s="1102">
        <v>1.0357553500106065</v>
      </c>
      <c r="F1390" s="1102">
        <v>1.012005757773768</v>
      </c>
      <c r="G1390" s="1102">
        <v>1.0224690892143669</v>
      </c>
      <c r="H1390" s="1102">
        <v>1.0120525808078151</v>
      </c>
      <c r="I1390" s="1102">
        <v>1.0148394823496343</v>
      </c>
      <c r="K1390">
        <v>1.5519932229919897</v>
      </c>
      <c r="L1390">
        <v>0</v>
      </c>
      <c r="M1390">
        <v>1.3844419519471538E-3</v>
      </c>
      <c r="N1390">
        <v>0.14190613572273086</v>
      </c>
      <c r="O1390">
        <v>0.11842214925074343</v>
      </c>
      <c r="P1390">
        <v>1.6112404720883534E-2</v>
      </c>
      <c r="Q1390">
        <v>8.835053655018892E-4</v>
      </c>
      <c r="R1390">
        <v>1.3813218779196977E-3</v>
      </c>
      <c r="S1390">
        <v>0.11526486352409936</v>
      </c>
      <c r="T1390">
        <v>0.83278951287324543</v>
      </c>
      <c r="U1390">
        <v>0</v>
      </c>
      <c r="V1390">
        <v>0.20298599360960262</v>
      </c>
      <c r="W1390">
        <v>9.1289565709102641E-2</v>
      </c>
      <c r="X1390">
        <v>2.858270949104379E-2</v>
      </c>
      <c r="Y1390">
        <v>3.759502799062741E-3</v>
      </c>
    </row>
    <row r="1391" spans="1:25" x14ac:dyDescent="0.25">
      <c r="A1391" s="1098"/>
      <c r="B1391" s="1457">
        <v>1141</v>
      </c>
      <c r="C1391" s="1102">
        <v>0.9574542737048537</v>
      </c>
      <c r="D1391" s="1102">
        <v>0.97310527388696855</v>
      </c>
      <c r="E1391" s="1102">
        <v>1.0141966606428165</v>
      </c>
      <c r="F1391" s="1102">
        <v>1.0007565946399433</v>
      </c>
      <c r="G1391" s="1102">
        <v>1.0270703734499271</v>
      </c>
      <c r="H1391" s="1102">
        <v>1.0162796021268152</v>
      </c>
      <c r="I1391" s="1102">
        <v>0.97384883631101793</v>
      </c>
      <c r="K1391">
        <v>1.5946032899736449</v>
      </c>
      <c r="L1391">
        <v>0</v>
      </c>
      <c r="M1391">
        <v>1.6277673802886582E-3</v>
      </c>
      <c r="N1391">
        <v>0.15634788651529546</v>
      </c>
      <c r="O1391">
        <v>0.12485804679303175</v>
      </c>
      <c r="P1391">
        <v>1.5999190517397933E-2</v>
      </c>
      <c r="Q1391">
        <v>9.6304690822241043E-4</v>
      </c>
      <c r="R1391">
        <v>1.6241309259694423E-3</v>
      </c>
      <c r="S1391">
        <v>0.12465412995704975</v>
      </c>
      <c r="T1391">
        <v>0.82493930645991753</v>
      </c>
      <c r="U1391">
        <v>0</v>
      </c>
      <c r="V1391">
        <v>0.21147748602682545</v>
      </c>
      <c r="W1391">
        <v>0.10185173508934794</v>
      </c>
      <c r="X1391">
        <v>2.9095749175001046E-2</v>
      </c>
      <c r="Y1391">
        <v>4.4203489858729668E-3</v>
      </c>
    </row>
    <row r="1392" spans="1:25" x14ac:dyDescent="0.25">
      <c r="A1392" s="1098"/>
      <c r="B1392" s="1457">
        <v>1142</v>
      </c>
      <c r="C1392" s="1102">
        <v>1.0264952408527566</v>
      </c>
      <c r="D1392" s="1102">
        <v>0.96370133966287452</v>
      </c>
      <c r="E1392" s="1102">
        <v>0.97198882662801556</v>
      </c>
      <c r="F1392" s="1102">
        <v>1.0329508313481277</v>
      </c>
      <c r="G1392" s="1102">
        <v>1.0081672547804117</v>
      </c>
      <c r="H1392" s="1102">
        <v>0.98466833342395998</v>
      </c>
      <c r="I1392" s="1102">
        <v>0.97713381111769371</v>
      </c>
      <c r="K1392">
        <v>1.5780053361017579</v>
      </c>
      <c r="L1392">
        <v>0</v>
      </c>
      <c r="M1392">
        <v>1.6269057143690098E-3</v>
      </c>
      <c r="N1392">
        <v>0.1375407067510076</v>
      </c>
      <c r="O1392">
        <v>0.12405024746680217</v>
      </c>
      <c r="P1392">
        <v>1.5703479871073012E-2</v>
      </c>
      <c r="Q1392">
        <v>8.6301722485115169E-4</v>
      </c>
      <c r="R1392">
        <v>1.6231894378287825E-3</v>
      </c>
      <c r="S1392">
        <v>0.1154210785575925</v>
      </c>
      <c r="T1392">
        <v>0.85436535777243505</v>
      </c>
      <c r="U1392">
        <v>0</v>
      </c>
      <c r="V1392">
        <v>0.206565354835445</v>
      </c>
      <c r="W1392">
        <v>9.1888813141582079E-2</v>
      </c>
      <c r="X1392">
        <v>2.7193210191991939E-2</v>
      </c>
      <c r="Y1392">
        <v>4.4177865655155727E-3</v>
      </c>
    </row>
    <row r="1393" spans="1:25" x14ac:dyDescent="0.25">
      <c r="A1393" s="1098"/>
      <c r="B1393" s="1457">
        <v>1143</v>
      </c>
      <c r="C1393" s="1102">
        <v>1.0266335755774174</v>
      </c>
      <c r="D1393" s="1102">
        <v>0.95790056376491972</v>
      </c>
      <c r="E1393" s="1102">
        <v>0.99760181001109993</v>
      </c>
      <c r="F1393" s="1102">
        <v>0.99463368072514347</v>
      </c>
      <c r="G1393" s="1102">
        <v>0.97870585758846096</v>
      </c>
      <c r="H1393" s="1102">
        <v>1.0144439075563776</v>
      </c>
      <c r="I1393" s="1102">
        <v>0.96138719738624134</v>
      </c>
      <c r="K1393">
        <v>1.5512563618061197</v>
      </c>
      <c r="L1393">
        <v>0</v>
      </c>
      <c r="M1393">
        <v>1.5901816781515937E-3</v>
      </c>
      <c r="N1393">
        <v>0.14527378993138493</v>
      </c>
      <c r="O1393">
        <v>0.12154782986474394</v>
      </c>
      <c r="P1393">
        <v>1.5523017241936851E-2</v>
      </c>
      <c r="Q1393">
        <v>8.8845792546550896E-4</v>
      </c>
      <c r="R1393">
        <v>1.586649198166968E-3</v>
      </c>
      <c r="S1393">
        <v>0.116053078797029</v>
      </c>
      <c r="T1393">
        <v>0.82097856234506184</v>
      </c>
      <c r="U1393">
        <v>0</v>
      </c>
      <c r="V1393">
        <v>0.20346481736997493</v>
      </c>
      <c r="W1393">
        <v>9.5571259000136133E-2</v>
      </c>
      <c r="X1393">
        <v>2.7640745731728342E-2</v>
      </c>
      <c r="Y1393">
        <v>4.3183360786428803E-3</v>
      </c>
    </row>
    <row r="1394" spans="1:25" x14ac:dyDescent="0.25">
      <c r="A1394" s="1098"/>
      <c r="B1394" s="1457">
        <v>1144</v>
      </c>
      <c r="C1394" s="1102">
        <v>0.99446839697823919</v>
      </c>
      <c r="D1394" s="1102">
        <v>0.98545409247004834</v>
      </c>
      <c r="E1394" s="1102">
        <v>1.0029348751655831</v>
      </c>
      <c r="F1394" s="1102">
        <v>1.0056131580406427</v>
      </c>
      <c r="G1394" s="1102">
        <v>0.97305436865628314</v>
      </c>
      <c r="H1394" s="1102">
        <v>1.0349688849188183</v>
      </c>
      <c r="I1394" s="1102">
        <v>0.99901172555799711</v>
      </c>
      <c r="K1394">
        <v>1.5814861888706422</v>
      </c>
      <c r="L1394">
        <v>0</v>
      </c>
      <c r="M1394">
        <v>1.6275076686378871E-3</v>
      </c>
      <c r="N1394">
        <v>0.15110337168120452</v>
      </c>
      <c r="O1394">
        <v>0.12269376765099151</v>
      </c>
      <c r="P1394">
        <v>1.584113111181186E-2</v>
      </c>
      <c r="Q1394">
        <v>9.1187640509171586E-4</v>
      </c>
      <c r="R1394">
        <v>1.6239417350018654E-3</v>
      </c>
      <c r="S1394">
        <v>0.12394006575955135</v>
      </c>
      <c r="T1394">
        <v>0.82968712330181205</v>
      </c>
      <c r="U1394">
        <v>0</v>
      </c>
      <c r="V1394">
        <v>0.20561172578124279</v>
      </c>
      <c r="W1394">
        <v>9.9091844103970747E-2</v>
      </c>
      <c r="X1394">
        <v>2.8189014938174412E-2</v>
      </c>
      <c r="Y1394">
        <v>4.4198340704260097E-3</v>
      </c>
    </row>
    <row r="1395" spans="1:25" x14ac:dyDescent="0.25">
      <c r="A1395" s="1098"/>
      <c r="B1395" s="1457">
        <v>1145</v>
      </c>
      <c r="C1395" s="1102">
        <v>1.0167078892484243</v>
      </c>
      <c r="D1395" s="1102">
        <v>0.99806377012334613</v>
      </c>
      <c r="E1395" s="1102">
        <v>1.0055435554515719</v>
      </c>
      <c r="F1395" s="1102">
        <v>0.99697289767649955</v>
      </c>
      <c r="G1395" s="1102">
        <v>0.97880691436027845</v>
      </c>
      <c r="H1395" s="1102">
        <v>0.95476504657299321</v>
      </c>
      <c r="I1395" s="1102">
        <v>0.98234410836603381</v>
      </c>
      <c r="K1395">
        <v>1.5309879375158921</v>
      </c>
      <c r="L1395">
        <v>0</v>
      </c>
      <c r="M1395">
        <v>1.4515311747098979E-3</v>
      </c>
      <c r="N1395">
        <v>0.13580568385604488</v>
      </c>
      <c r="O1395">
        <v>0.12038640995345966</v>
      </c>
      <c r="P1395">
        <v>1.5578265745204319E-2</v>
      </c>
      <c r="Q1395">
        <v>8.8980327186673962E-4</v>
      </c>
      <c r="R1395">
        <v>1.4480796761641344E-3</v>
      </c>
      <c r="S1395">
        <v>0.1122312835543228</v>
      </c>
      <c r="T1395">
        <v>0.82238709281976352</v>
      </c>
      <c r="U1395">
        <v>0</v>
      </c>
      <c r="V1395">
        <v>0.20318424727699999</v>
      </c>
      <c r="W1395">
        <v>8.8922281358415081E-2</v>
      </c>
      <c r="X1395">
        <v>2.7665125659176764E-2</v>
      </c>
      <c r="Y1395">
        <v>3.9411955191818197E-3</v>
      </c>
    </row>
    <row r="1396" spans="1:25" x14ac:dyDescent="0.25">
      <c r="A1396" s="1098"/>
      <c r="B1396" s="1457">
        <v>1146</v>
      </c>
      <c r="C1396" s="1102">
        <v>1.0171228842101527</v>
      </c>
      <c r="D1396" s="1102">
        <v>0.99853329071445451</v>
      </c>
      <c r="E1396" s="1102">
        <v>1.0055768330050714</v>
      </c>
      <c r="F1396" s="1102">
        <v>0.98722906365329333</v>
      </c>
      <c r="G1396" s="1102">
        <v>0.99950580675422329</v>
      </c>
      <c r="H1396" s="1102">
        <v>1.0198565660940135</v>
      </c>
      <c r="I1396" s="1102">
        <v>1.0194524475968998</v>
      </c>
      <c r="K1396">
        <v>1.5471552552679686</v>
      </c>
      <c r="L1396">
        <v>0</v>
      </c>
      <c r="M1396">
        <v>1.5482248056107781E-3</v>
      </c>
      <c r="N1396">
        <v>0.14488870671572915</v>
      </c>
      <c r="O1396">
        <v>0.1196627986946202</v>
      </c>
      <c r="P1396">
        <v>1.560101376687535E-2</v>
      </c>
      <c r="Q1396">
        <v>8.8930350306402732E-4</v>
      </c>
      <c r="R1396">
        <v>1.5447756026090622E-3</v>
      </c>
      <c r="S1396">
        <v>0.12151409555536531</v>
      </c>
      <c r="T1396">
        <v>0.81434739621549457</v>
      </c>
      <c r="U1396">
        <v>0</v>
      </c>
      <c r="V1396">
        <v>0.20356401334693947</v>
      </c>
      <c r="W1396">
        <v>9.4867757190867263E-2</v>
      </c>
      <c r="X1396">
        <v>2.7619249526851603E-2</v>
      </c>
      <c r="Y1396">
        <v>4.204369955161328E-3</v>
      </c>
    </row>
    <row r="1397" spans="1:25" x14ac:dyDescent="0.25">
      <c r="A1397" s="1098"/>
      <c r="B1397" s="1457">
        <v>1147</v>
      </c>
      <c r="C1397" s="1102">
        <v>1.0109914127921749</v>
      </c>
      <c r="D1397" s="1102">
        <v>0.99023370716968451</v>
      </c>
      <c r="E1397" s="1102">
        <v>1.0369887251552594</v>
      </c>
      <c r="F1397" s="1102">
        <v>1.0236475748781606</v>
      </c>
      <c r="G1397" s="1102">
        <v>0.98241477377104058</v>
      </c>
      <c r="H1397" s="1102">
        <v>1.0217513831867937</v>
      </c>
      <c r="I1397" s="1102">
        <v>0.99943597315880583</v>
      </c>
      <c r="K1397">
        <v>1.5911543469717582</v>
      </c>
      <c r="L1397">
        <v>0</v>
      </c>
      <c r="M1397">
        <v>1.4720949179356023E-3</v>
      </c>
      <c r="N1397">
        <v>0.15145822123547181</v>
      </c>
      <c r="O1397">
        <v>0.12278802724158855</v>
      </c>
      <c r="P1397">
        <v>1.6373187317610231E-2</v>
      </c>
      <c r="Q1397">
        <v>9.270672559586493E-4</v>
      </c>
      <c r="R1397">
        <v>1.4688335111812442E-3</v>
      </c>
      <c r="S1397">
        <v>0.12084637925739335</v>
      </c>
      <c r="T1397">
        <v>0.84228781752411386</v>
      </c>
      <c r="U1397">
        <v>0</v>
      </c>
      <c r="V1397">
        <v>0.20548917233958869</v>
      </c>
      <c r="W1397">
        <v>9.7365127810627172E-2</v>
      </c>
      <c r="X1397">
        <v>2.9624927779561907E-2</v>
      </c>
      <c r="Y1397">
        <v>3.9976806165985179E-3</v>
      </c>
    </row>
    <row r="1398" spans="1:25" x14ac:dyDescent="0.25">
      <c r="A1398" s="1098"/>
      <c r="B1398" s="1457">
        <v>1148</v>
      </c>
      <c r="C1398" s="1102">
        <v>1.009765034964127</v>
      </c>
      <c r="D1398" s="1102">
        <v>0.98873104314898508</v>
      </c>
      <c r="E1398" s="1102">
        <v>0.99051518918998049</v>
      </c>
      <c r="F1398" s="1102">
        <v>1.0082667678236932</v>
      </c>
      <c r="G1398" s="1102">
        <v>1.0189683041721589</v>
      </c>
      <c r="H1398" s="1102">
        <v>0.97852596171937345</v>
      </c>
      <c r="I1398" s="1102">
        <v>1.0085782535037162</v>
      </c>
      <c r="K1398">
        <v>1.5586814908952538</v>
      </c>
      <c r="L1398">
        <v>0</v>
      </c>
      <c r="M1398">
        <v>1.5541141859280315E-3</v>
      </c>
      <c r="N1398">
        <v>0.13895687970814935</v>
      </c>
      <c r="O1398">
        <v>0.12198212138183422</v>
      </c>
      <c r="P1398">
        <v>1.5673332316449646E-2</v>
      </c>
      <c r="Q1398">
        <v>8.8537615913391395E-4</v>
      </c>
      <c r="R1398">
        <v>1.5505154507522462E-3</v>
      </c>
      <c r="S1398">
        <v>0.11856962312905245</v>
      </c>
      <c r="T1398">
        <v>0.83270447589957486</v>
      </c>
      <c r="U1398">
        <v>0</v>
      </c>
      <c r="V1398">
        <v>0.20640754952593027</v>
      </c>
      <c r="W1398">
        <v>9.180321849179468E-2</v>
      </c>
      <c r="X1398">
        <v>2.7482521088842766E-2</v>
      </c>
      <c r="Y1398">
        <v>4.2199919296666416E-3</v>
      </c>
    </row>
    <row r="1399" spans="1:25" x14ac:dyDescent="0.25">
      <c r="A1399" s="1098"/>
      <c r="B1399" s="1457">
        <v>1149</v>
      </c>
      <c r="C1399" s="1102">
        <v>0.98638758893724277</v>
      </c>
      <c r="D1399" s="1102">
        <v>0.96381278089284583</v>
      </c>
      <c r="E1399" s="1102">
        <v>1.006672024594101</v>
      </c>
      <c r="F1399" s="1102">
        <v>0.99645978687407333</v>
      </c>
      <c r="G1399" s="1102">
        <v>0.99457822532771289</v>
      </c>
      <c r="H1399" s="1102">
        <v>1.0010498321678907</v>
      </c>
      <c r="I1399" s="1102">
        <v>1.0217312022870204</v>
      </c>
      <c r="K1399">
        <v>1.576279899999766</v>
      </c>
      <c r="L1399">
        <v>0</v>
      </c>
      <c r="M1399">
        <v>1.5925554960902041E-3</v>
      </c>
      <c r="N1399">
        <v>0.14952624949673268</v>
      </c>
      <c r="O1399">
        <v>0.1234464156414937</v>
      </c>
      <c r="P1399">
        <v>1.5839873959119233E-2</v>
      </c>
      <c r="Q1399">
        <v>9.311407057637247E-4</v>
      </c>
      <c r="R1399">
        <v>1.5889563043738277E-3</v>
      </c>
      <c r="S1399">
        <v>0.12654941012556487</v>
      </c>
      <c r="T1399">
        <v>0.82188982659641496</v>
      </c>
      <c r="U1399">
        <v>0</v>
      </c>
      <c r="V1399">
        <v>0.20748590559106428</v>
      </c>
      <c r="W1399">
        <v>9.7840848106322986E-2</v>
      </c>
      <c r="X1399">
        <v>2.8449213707803889E-2</v>
      </c>
      <c r="Y1399">
        <v>4.3246152612005963E-3</v>
      </c>
    </row>
    <row r="1400" spans="1:25" x14ac:dyDescent="0.25">
      <c r="A1400" s="1098"/>
      <c r="B1400" s="1457">
        <v>1150</v>
      </c>
      <c r="C1400" s="1102">
        <v>1.0230822891991813</v>
      </c>
      <c r="D1400" s="1102">
        <v>1.0259274964526455</v>
      </c>
      <c r="E1400" s="1102">
        <v>0.98393902424807334</v>
      </c>
      <c r="F1400" s="1102">
        <v>0.9756521332136745</v>
      </c>
      <c r="G1400" s="1102">
        <v>1.0191895635748278</v>
      </c>
      <c r="H1400" s="1102">
        <v>0.97141492750887004</v>
      </c>
      <c r="I1400" s="1102">
        <v>0.97495227366382498</v>
      </c>
      <c r="K1400">
        <v>1.5024835011678181</v>
      </c>
      <c r="L1400">
        <v>0</v>
      </c>
      <c r="M1400">
        <v>1.5093010125600049E-3</v>
      </c>
      <c r="N1400">
        <v>0.1322881945237325</v>
      </c>
      <c r="O1400">
        <v>0.11745878447924718</v>
      </c>
      <c r="P1400">
        <v>1.5071051200644404E-2</v>
      </c>
      <c r="Q1400">
        <v>8.5514709070218904E-4</v>
      </c>
      <c r="R1400">
        <v>1.5057532331258995E-3</v>
      </c>
      <c r="S1400">
        <v>0.11000289255792725</v>
      </c>
      <c r="T1400">
        <v>0.80619498982119808</v>
      </c>
      <c r="U1400">
        <v>0</v>
      </c>
      <c r="V1400">
        <v>0.20254241712651733</v>
      </c>
      <c r="W1400">
        <v>8.7743229802516962E-2</v>
      </c>
      <c r="X1400">
        <v>2.6232178415619006E-2</v>
      </c>
      <c r="Y1400">
        <v>4.0981639291488015E-3</v>
      </c>
    </row>
    <row r="1401" spans="1:25" x14ac:dyDescent="0.25">
      <c r="A1401" s="1098"/>
      <c r="B1401" s="1457">
        <v>1151</v>
      </c>
      <c r="C1401" s="1102">
        <v>0.97178223622473547</v>
      </c>
      <c r="D1401" s="1102">
        <v>0.98830012616958285</v>
      </c>
      <c r="E1401" s="1102">
        <v>0.98930833242382321</v>
      </c>
      <c r="F1401" s="1102">
        <v>0.97935905795477451</v>
      </c>
      <c r="G1401" s="1102">
        <v>0.95412912142561235</v>
      </c>
      <c r="H1401" s="1102">
        <v>0.99980272711044327</v>
      </c>
      <c r="I1401" s="1102">
        <v>0.95889750759480163</v>
      </c>
      <c r="K1401">
        <v>1.5461725550008028</v>
      </c>
      <c r="L1401">
        <v>0</v>
      </c>
      <c r="M1401">
        <v>1.6460045839700251E-3</v>
      </c>
      <c r="N1401">
        <v>0.14664251734973469</v>
      </c>
      <c r="O1401">
        <v>0.1219266619534861</v>
      </c>
      <c r="P1401">
        <v>1.5319776131674429E-2</v>
      </c>
      <c r="Q1401">
        <v>9.1898530935319246E-4</v>
      </c>
      <c r="R1401">
        <v>1.6422551778459684E-3</v>
      </c>
      <c r="S1401">
        <v>0.11843571481963219</v>
      </c>
      <c r="T1401">
        <v>0.80890866915696291</v>
      </c>
      <c r="U1401">
        <v>0</v>
      </c>
      <c r="V1401">
        <v>0.20524434683860127</v>
      </c>
      <c r="W1401">
        <v>9.6950883164739307E-2</v>
      </c>
      <c r="X1401">
        <v>2.7359072457919846E-2</v>
      </c>
      <c r="Y1401">
        <v>4.469677224822847E-3</v>
      </c>
    </row>
    <row r="1402" spans="1:25" x14ac:dyDescent="0.25">
      <c r="A1402" s="1098"/>
      <c r="B1402" s="1457">
        <v>1152</v>
      </c>
      <c r="C1402" s="1102">
        <v>1.0354562723193972</v>
      </c>
      <c r="D1402" s="1102">
        <v>0.99798077600114399</v>
      </c>
      <c r="E1402" s="1102">
        <v>0.96880052465125888</v>
      </c>
      <c r="F1402" s="1102">
        <v>0.99469637555958124</v>
      </c>
      <c r="G1402" s="1102">
        <v>1.009561509339052</v>
      </c>
      <c r="H1402" s="1102">
        <v>0.95852038022843689</v>
      </c>
      <c r="I1402" s="1102">
        <v>0.98758692674882753</v>
      </c>
      <c r="K1402">
        <v>1.5186205161635047</v>
      </c>
      <c r="L1402">
        <v>0</v>
      </c>
      <c r="M1402">
        <v>1.5457794987050776E-3</v>
      </c>
      <c r="N1402">
        <v>0.12941614223563405</v>
      </c>
      <c r="O1402">
        <v>0.11940954663225066</v>
      </c>
      <c r="P1402">
        <v>1.5139997071395224E-2</v>
      </c>
      <c r="Q1402">
        <v>8.4084165008045154E-4</v>
      </c>
      <c r="R1402">
        <v>1.5421225397934698E-3</v>
      </c>
      <c r="S1402">
        <v>0.11109499497722443</v>
      </c>
      <c r="T1402">
        <v>0.82293704843534077</v>
      </c>
      <c r="U1402">
        <v>0</v>
      </c>
      <c r="V1402">
        <v>0.20288291422197355</v>
      </c>
      <c r="W1402">
        <v>8.6628805834698813E-2</v>
      </c>
      <c r="X1402">
        <v>2.6076732871058855E-2</v>
      </c>
      <c r="Y1402">
        <v>4.1971491927592069E-3</v>
      </c>
    </row>
    <row r="1403" spans="1:25" x14ac:dyDescent="0.25">
      <c r="A1403" s="1098"/>
      <c r="B1403" s="1457">
        <v>1153</v>
      </c>
      <c r="C1403" s="1102">
        <v>1.000629903031264</v>
      </c>
      <c r="D1403" s="1102">
        <v>1.0168585627221831</v>
      </c>
      <c r="E1403" s="1102">
        <v>1.0079995379275386</v>
      </c>
      <c r="F1403" s="1102">
        <v>1.0253270490304593</v>
      </c>
      <c r="G1403" s="1102">
        <v>1.0088530479875548</v>
      </c>
      <c r="H1403" s="1102">
        <v>1.0329182855756562</v>
      </c>
      <c r="I1403" s="1102">
        <v>0.98596970198469158</v>
      </c>
      <c r="K1403">
        <v>1.5887748999621087</v>
      </c>
      <c r="L1403">
        <v>0</v>
      </c>
      <c r="M1403">
        <v>1.572220114449242E-3</v>
      </c>
      <c r="N1403">
        <v>0.14821837024999315</v>
      </c>
      <c r="O1403">
        <v>0.12233823777856973</v>
      </c>
      <c r="P1403">
        <v>1.6071778543900097E-2</v>
      </c>
      <c r="Q1403">
        <v>8.9965854344956097E-4</v>
      </c>
      <c r="R1403">
        <v>1.5687569373869679E-3</v>
      </c>
      <c r="S1403">
        <v>0.11931847542988594</v>
      </c>
      <c r="T1403">
        <v>0.84561029660387699</v>
      </c>
      <c r="U1403">
        <v>0</v>
      </c>
      <c r="V1403">
        <v>0.20677998530105093</v>
      </c>
      <c r="W1403">
        <v>9.6909001854003987E-2</v>
      </c>
      <c r="X1403">
        <v>2.8362919591457286E-2</v>
      </c>
      <c r="Y1403">
        <v>4.2696392429819024E-3</v>
      </c>
    </row>
    <row r="1404" spans="1:25" x14ac:dyDescent="0.25">
      <c r="A1404" s="1098"/>
      <c r="B1404" s="1457">
        <v>1154</v>
      </c>
      <c r="C1404" s="1102">
        <v>0.99975451434775475</v>
      </c>
      <c r="D1404" s="1102">
        <v>0.99737921361595216</v>
      </c>
      <c r="E1404" s="1102">
        <v>0.99617222466591215</v>
      </c>
      <c r="F1404" s="1102">
        <v>1.0099103605566884</v>
      </c>
      <c r="G1404" s="1102">
        <v>1.019647339107822</v>
      </c>
      <c r="H1404" s="1102">
        <v>1.029915178997195</v>
      </c>
      <c r="I1404" s="1102">
        <v>1.0088136614300467</v>
      </c>
      <c r="K1404">
        <v>1.5801682291940402</v>
      </c>
      <c r="L1404">
        <v>0</v>
      </c>
      <c r="M1404">
        <v>1.6238249171963977E-3</v>
      </c>
      <c r="N1404">
        <v>0.1477103257412852</v>
      </c>
      <c r="O1404">
        <v>0.1222066158588149</v>
      </c>
      <c r="P1404">
        <v>1.5826552867565038E-2</v>
      </c>
      <c r="Q1404">
        <v>8.9639251481044046E-4</v>
      </c>
      <c r="R1404">
        <v>1.6202449992008643E-3</v>
      </c>
      <c r="S1404">
        <v>0.12324573895053413</v>
      </c>
      <c r="T1404">
        <v>0.83368350872654862</v>
      </c>
      <c r="U1404">
        <v>0</v>
      </c>
      <c r="V1404">
        <v>0.20710892705481795</v>
      </c>
      <c r="W1404">
        <v>9.7256986874699053E-2</v>
      </c>
      <c r="X1404">
        <v>2.782698774875467E-2</v>
      </c>
      <c r="Y1404">
        <v>4.4097727742043119E-3</v>
      </c>
    </row>
    <row r="1405" spans="1:25" x14ac:dyDescent="0.25">
      <c r="A1405" s="1098"/>
      <c r="B1405" s="1457">
        <v>1155</v>
      </c>
      <c r="C1405" s="1102">
        <v>0.964934011256671</v>
      </c>
      <c r="D1405" s="1102">
        <v>1.014366595485739</v>
      </c>
      <c r="E1405" s="1102">
        <v>0.98968718729845218</v>
      </c>
      <c r="F1405" s="1102">
        <v>1.033248871501212</v>
      </c>
      <c r="G1405" s="1102">
        <v>1.0018502669969067</v>
      </c>
      <c r="H1405" s="1102">
        <v>1.0095955243140899</v>
      </c>
      <c r="I1405" s="1102">
        <v>1.0128506459595534</v>
      </c>
      <c r="K1405">
        <v>1.6082583344538324</v>
      </c>
      <c r="L1405">
        <v>0</v>
      </c>
      <c r="M1405">
        <v>1.6542274496811323E-3</v>
      </c>
      <c r="N1405">
        <v>0.14754705960041578</v>
      </c>
      <c r="O1405">
        <v>0.1249516274566074</v>
      </c>
      <c r="P1405">
        <v>1.6081723325487726E-2</v>
      </c>
      <c r="Q1405">
        <v>9.1628172383825519E-4</v>
      </c>
      <c r="R1405">
        <v>1.6504934811304157E-3</v>
      </c>
      <c r="S1405">
        <v>0.1251581835750363</v>
      </c>
      <c r="T1405">
        <v>0.85339337484583133</v>
      </c>
      <c r="U1405">
        <v>0</v>
      </c>
      <c r="V1405">
        <v>0.21003374327550905</v>
      </c>
      <c r="W1405">
        <v>9.7526764361150917E-2</v>
      </c>
      <c r="X1405">
        <v>2.8161211087900245E-2</v>
      </c>
      <c r="Y1405">
        <v>4.4920991706071632E-3</v>
      </c>
    </row>
    <row r="1406" spans="1:25" x14ac:dyDescent="0.25">
      <c r="A1406" s="1098"/>
      <c r="B1406" s="1457">
        <v>1156</v>
      </c>
      <c r="C1406" s="1102">
        <v>0.99141829002475967</v>
      </c>
      <c r="D1406" s="1102">
        <v>1.0178872839042641</v>
      </c>
      <c r="E1406" s="1102">
        <v>1.0252199031219091</v>
      </c>
      <c r="F1406" s="1102">
        <v>1.0017574323542884</v>
      </c>
      <c r="G1406" s="1102">
        <v>1.019201677465609</v>
      </c>
      <c r="H1406" s="1102">
        <v>0.97259105137191493</v>
      </c>
      <c r="I1406" s="1102">
        <v>0.99265201443981821</v>
      </c>
      <c r="K1406">
        <v>1.5537215553594466</v>
      </c>
      <c r="L1406">
        <v>0</v>
      </c>
      <c r="M1406">
        <v>1.4373231002465406E-3</v>
      </c>
      <c r="N1406">
        <v>0.14270798462340262</v>
      </c>
      <c r="O1406">
        <v>0.12108563244622339</v>
      </c>
      <c r="P1406">
        <v>1.5949144714523744E-2</v>
      </c>
      <c r="Q1406">
        <v>9.2385634950862704E-4</v>
      </c>
      <c r="R1406">
        <v>1.4339520678386529E-3</v>
      </c>
      <c r="S1406">
        <v>0.1162696161930013</v>
      </c>
      <c r="T1406">
        <v>0.82504237654332779</v>
      </c>
      <c r="U1406">
        <v>0</v>
      </c>
      <c r="V1406">
        <v>0.20681553840229183</v>
      </c>
      <c r="W1406">
        <v>9.2368351354821229E-2</v>
      </c>
      <c r="X1406">
        <v>2.8659680938267405E-2</v>
      </c>
      <c r="Y1406">
        <v>3.9027448264846915E-3</v>
      </c>
    </row>
    <row r="1407" spans="1:25" x14ac:dyDescent="0.25">
      <c r="A1407" s="1098"/>
      <c r="B1407" s="1457">
        <v>1157</v>
      </c>
      <c r="C1407" s="1102">
        <v>0.99348911295722664</v>
      </c>
      <c r="D1407" s="1102">
        <v>0.98430733870011322</v>
      </c>
      <c r="E1407" s="1102">
        <v>0.98847562201001571</v>
      </c>
      <c r="F1407" s="1102">
        <v>1.0062121017122998</v>
      </c>
      <c r="G1407" s="1102">
        <v>0.98532509820082892</v>
      </c>
      <c r="H1407" s="1102">
        <v>0.99165288267464768</v>
      </c>
      <c r="I1407" s="1102">
        <v>0.97935261409881591</v>
      </c>
      <c r="K1407">
        <v>1.564659064181054</v>
      </c>
      <c r="L1407">
        <v>0</v>
      </c>
      <c r="M1407">
        <v>1.6094358645495745E-3</v>
      </c>
      <c r="N1407">
        <v>0.14302282696674246</v>
      </c>
      <c r="O1407">
        <v>0.12287803826871513</v>
      </c>
      <c r="P1407">
        <v>1.5622358999194603E-2</v>
      </c>
      <c r="Q1407">
        <v>8.9958143306338343E-4</v>
      </c>
      <c r="R1407">
        <v>1.6057560966017193E-3</v>
      </c>
      <c r="S1407">
        <v>0.11825975694627704</v>
      </c>
      <c r="T1407">
        <v>0.83114374666555246</v>
      </c>
      <c r="U1407">
        <v>0</v>
      </c>
      <c r="V1407">
        <v>0.20628766176174546</v>
      </c>
      <c r="W1407">
        <v>9.4604992474052935E-2</v>
      </c>
      <c r="X1407">
        <v>2.757344167606449E-2</v>
      </c>
      <c r="Y1407">
        <v>4.3703387575948971E-3</v>
      </c>
    </row>
    <row r="1408" spans="1:25" x14ac:dyDescent="0.25">
      <c r="A1408" s="1098"/>
      <c r="B1408" s="1457">
        <v>1158</v>
      </c>
      <c r="C1408" s="1102">
        <v>1.0345793813182889</v>
      </c>
      <c r="D1408" s="1102">
        <v>0.99425070844716934</v>
      </c>
      <c r="E1408" s="1102">
        <v>1.0062262592754767</v>
      </c>
      <c r="F1408" s="1102">
        <v>0.97680587464484325</v>
      </c>
      <c r="G1408" s="1102">
        <v>0.99811726992329386</v>
      </c>
      <c r="H1408" s="1102">
        <v>1.0009148588276013</v>
      </c>
      <c r="I1408" s="1102">
        <v>0.99093023003300917</v>
      </c>
      <c r="K1408">
        <v>1.5203472365556239</v>
      </c>
      <c r="L1408">
        <v>0</v>
      </c>
      <c r="M1408">
        <v>1.4961062725209512E-3</v>
      </c>
      <c r="N1408">
        <v>0.14028055784651297</v>
      </c>
      <c r="O1408">
        <v>0.11825935388028624</v>
      </c>
      <c r="P1408">
        <v>1.5375284195684326E-2</v>
      </c>
      <c r="Q1408">
        <v>8.7639072173516426E-4</v>
      </c>
      <c r="R1408">
        <v>1.4927140100943323E-3</v>
      </c>
      <c r="S1408">
        <v>0.11501043375666291</v>
      </c>
      <c r="T1408">
        <v>0.80570774016079327</v>
      </c>
      <c r="U1408">
        <v>0</v>
      </c>
      <c r="V1408">
        <v>0.20168392029864513</v>
      </c>
      <c r="W1408">
        <v>9.1815230741771128E-2</v>
      </c>
      <c r="X1408">
        <v>2.727904175352424E-2</v>
      </c>
      <c r="Y1408">
        <v>4.0626754624355915E-3</v>
      </c>
    </row>
    <row r="1409" spans="1:25" x14ac:dyDescent="0.25">
      <c r="A1409" s="1098"/>
      <c r="B1409" s="1457">
        <v>1159</v>
      </c>
      <c r="C1409" s="1102">
        <v>0.99886194127249495</v>
      </c>
      <c r="D1409" s="1102">
        <v>0.99987866062670694</v>
      </c>
      <c r="E1409" s="1102">
        <v>1.0018466638181738</v>
      </c>
      <c r="F1409" s="1102">
        <v>1.0014477375954094</v>
      </c>
      <c r="G1409" s="1102">
        <v>1.0254975992955233</v>
      </c>
      <c r="H1409" s="1102">
        <v>0.98756763505696732</v>
      </c>
      <c r="I1409" s="1102">
        <v>1.0197878379128673</v>
      </c>
      <c r="K1409">
        <v>1.5600493129791935</v>
      </c>
      <c r="L1409">
        <v>0</v>
      </c>
      <c r="M1409">
        <v>1.536942127761528E-3</v>
      </c>
      <c r="N1409">
        <v>0.14221088861752171</v>
      </c>
      <c r="O1409">
        <v>0.12153137946513003</v>
      </c>
      <c r="P1409">
        <v>1.5760860855078107E-2</v>
      </c>
      <c r="Q1409">
        <v>9.0158725366292164E-4</v>
      </c>
      <c r="R1409">
        <v>1.5334044757941145E-3</v>
      </c>
      <c r="S1409">
        <v>0.12103625008824676</v>
      </c>
      <c r="T1409">
        <v>0.82632227548880599</v>
      </c>
      <c r="U1409">
        <v>0</v>
      </c>
      <c r="V1409">
        <v>0.20694277405386813</v>
      </c>
      <c r="W1409">
        <v>9.3320480485432497E-2</v>
      </c>
      <c r="X1409">
        <v>2.7852932826952878E-2</v>
      </c>
      <c r="Y1409">
        <v>4.173421496461987E-3</v>
      </c>
    </row>
    <row r="1410" spans="1:25" x14ac:dyDescent="0.25">
      <c r="A1410" s="1098"/>
      <c r="B1410" s="1457">
        <v>1160</v>
      </c>
      <c r="C1410" s="1102">
        <v>0.99098963492795344</v>
      </c>
      <c r="D1410" s="1102">
        <v>1.0157456979742234</v>
      </c>
      <c r="E1410" s="1102">
        <v>1.0159642107623672</v>
      </c>
      <c r="F1410" s="1102">
        <v>1.0043836216306445</v>
      </c>
      <c r="G1410" s="1102">
        <v>1.0344739891959265</v>
      </c>
      <c r="H1410" s="1102">
        <v>1.028136288570128</v>
      </c>
      <c r="I1410" s="1102">
        <v>1.001422553046968</v>
      </c>
      <c r="K1410">
        <v>1.5757733798704083</v>
      </c>
      <c r="L1410">
        <v>0</v>
      </c>
      <c r="M1410">
        <v>1.5517341607886482E-3</v>
      </c>
      <c r="N1410">
        <v>0.14984450241261935</v>
      </c>
      <c r="O1410">
        <v>0.12141056953934494</v>
      </c>
      <c r="P1410">
        <v>1.5969804920502827E-2</v>
      </c>
      <c r="Q1410">
        <v>9.1629610268055214E-4</v>
      </c>
      <c r="R1410">
        <v>1.5482931899316414E-3</v>
      </c>
      <c r="S1410">
        <v>0.12190072872322845</v>
      </c>
      <c r="T1410">
        <v>0.82781279178706968</v>
      </c>
      <c r="U1410">
        <v>0</v>
      </c>
      <c r="V1410">
        <v>0.20772330971252712</v>
      </c>
      <c r="W1410">
        <v>9.7513867369082116E-2</v>
      </c>
      <c r="X1410">
        <v>2.8471006605929335E-2</v>
      </c>
      <c r="Y1410">
        <v>4.2139436682810377E-3</v>
      </c>
    </row>
    <row r="1411" spans="1:25" x14ac:dyDescent="0.25">
      <c r="A1411" s="1098"/>
      <c r="B1411" s="1457">
        <v>1161</v>
      </c>
      <c r="C1411" s="1102">
        <v>0.97474445582914571</v>
      </c>
      <c r="D1411" s="1102">
        <v>0.98522740952633625</v>
      </c>
      <c r="E1411" s="1102">
        <v>0.964721321816296</v>
      </c>
      <c r="F1411" s="1102">
        <v>0.97692522234665213</v>
      </c>
      <c r="G1411" s="1102">
        <v>1.00945857065154</v>
      </c>
      <c r="H1411" s="1102">
        <v>0.97532182583980909</v>
      </c>
      <c r="I1411" s="1102">
        <v>1.0177673864093033</v>
      </c>
      <c r="K1411">
        <v>1.5413058466933798</v>
      </c>
      <c r="L1411">
        <v>0</v>
      </c>
      <c r="M1411">
        <v>1.6872787411239681E-3</v>
      </c>
      <c r="N1411">
        <v>0.13953278031702987</v>
      </c>
      <c r="O1411">
        <v>0.12179871316675697</v>
      </c>
      <c r="P1411">
        <v>1.5125471447677005E-2</v>
      </c>
      <c r="Q1411">
        <v>8.9396339796982756E-4</v>
      </c>
      <c r="R1411">
        <v>1.6833409672431861E-3</v>
      </c>
      <c r="S1411">
        <v>0.123475481478047</v>
      </c>
      <c r="T1411">
        <v>0.80850187471804069</v>
      </c>
      <c r="U1411">
        <v>0</v>
      </c>
      <c r="V1411">
        <v>0.20739758131907143</v>
      </c>
      <c r="W1411">
        <v>9.3633475598761326E-2</v>
      </c>
      <c r="X1411">
        <v>2.6368943824269294E-2</v>
      </c>
      <c r="Y1411">
        <v>4.5814991996352382E-3</v>
      </c>
    </row>
    <row r="1412" spans="1:25" x14ac:dyDescent="0.25">
      <c r="A1412" s="1098"/>
      <c r="B1412" s="1457">
        <v>1162</v>
      </c>
      <c r="C1412" s="1102">
        <v>1.0260533732048864</v>
      </c>
      <c r="D1412" s="1102">
        <v>0.9969658459040418</v>
      </c>
      <c r="E1412" s="1102">
        <v>1.0089335096960581</v>
      </c>
      <c r="F1412" s="1102">
        <v>0.96335781633553941</v>
      </c>
      <c r="G1412" s="1102">
        <v>0.98307013237675667</v>
      </c>
      <c r="H1412" s="1102">
        <v>0.99848427254286631</v>
      </c>
      <c r="I1412" s="1102">
        <v>0.98835755978705275</v>
      </c>
      <c r="K1412">
        <v>1.5086668133444161</v>
      </c>
      <c r="L1412">
        <v>0</v>
      </c>
      <c r="M1412">
        <v>1.4916271130529085E-3</v>
      </c>
      <c r="N1412">
        <v>0.14100710530928395</v>
      </c>
      <c r="O1412">
        <v>0.11760069394658555</v>
      </c>
      <c r="P1412">
        <v>1.5243136419482117E-2</v>
      </c>
      <c r="Q1412">
        <v>8.8518082613361806E-4</v>
      </c>
      <c r="R1412">
        <v>1.4882295474455227E-3</v>
      </c>
      <c r="S1412">
        <v>0.11516797135482101</v>
      </c>
      <c r="T1412">
        <v>0.79444372549772369</v>
      </c>
      <c r="U1412">
        <v>0</v>
      </c>
      <c r="V1412">
        <v>0.20090862111492969</v>
      </c>
      <c r="W1412">
        <v>9.2143267994428263E-2</v>
      </c>
      <c r="X1412">
        <v>2.7220038213225748E-2</v>
      </c>
      <c r="Y1412">
        <v>4.050470233408248E-3</v>
      </c>
    </row>
    <row r="1413" spans="1:25" x14ac:dyDescent="0.25">
      <c r="A1413" s="1098"/>
      <c r="B1413" s="1457">
        <v>1163</v>
      </c>
      <c r="C1413" s="1102">
        <v>1.0124872928434996</v>
      </c>
      <c r="D1413" s="1102">
        <v>1.0099676048216981</v>
      </c>
      <c r="E1413" s="1102">
        <v>1.0169688810297703</v>
      </c>
      <c r="F1413" s="1102">
        <v>0.97537635582676729</v>
      </c>
      <c r="G1413" s="1102">
        <v>1.0270934728876373</v>
      </c>
      <c r="H1413" s="1102">
        <v>0.98203028466783571</v>
      </c>
      <c r="I1413" s="1102">
        <v>0.9869327620396332</v>
      </c>
      <c r="K1413">
        <v>1.5210928321190869</v>
      </c>
      <c r="L1413">
        <v>0</v>
      </c>
      <c r="M1413">
        <v>1.4513679878408819E-3</v>
      </c>
      <c r="N1413">
        <v>0.14056352296971986</v>
      </c>
      <c r="O1413">
        <v>0.11853587564146902</v>
      </c>
      <c r="P1413">
        <v>1.5499068733827694E-2</v>
      </c>
      <c r="Q1413">
        <v>8.9981831443705185E-4</v>
      </c>
      <c r="R1413">
        <v>1.4479994286070244E-3</v>
      </c>
      <c r="S1413">
        <v>0.11439566049632081</v>
      </c>
      <c r="T1413">
        <v>0.80384084083397289</v>
      </c>
      <c r="U1413">
        <v>0</v>
      </c>
      <c r="V1413">
        <v>0.20425450298809031</v>
      </c>
      <c r="W1413">
        <v>9.1420210689602183E-2</v>
      </c>
      <c r="X1413">
        <v>2.774572289909653E-2</v>
      </c>
      <c r="Y1413">
        <v>3.9409771117849659E-3</v>
      </c>
    </row>
    <row r="1414" spans="1:25" x14ac:dyDescent="0.25">
      <c r="A1414" s="1098"/>
      <c r="B1414" s="1457">
        <v>1164</v>
      </c>
      <c r="C1414" s="1102">
        <v>0.99403661448050218</v>
      </c>
      <c r="D1414" s="1102">
        <v>0.96802576225345038</v>
      </c>
      <c r="E1414" s="1102">
        <v>0.98086052917813216</v>
      </c>
      <c r="F1414" s="1102">
        <v>1.0042688459280069</v>
      </c>
      <c r="G1414" s="1102">
        <v>0.99487265511266165</v>
      </c>
      <c r="H1414" s="1102">
        <v>0.98593492863701948</v>
      </c>
      <c r="I1414" s="1102">
        <v>1.0116389697381634</v>
      </c>
      <c r="K1414">
        <v>1.5687823280954338</v>
      </c>
      <c r="L1414">
        <v>0</v>
      </c>
      <c r="M1414">
        <v>1.6398991280321491E-3</v>
      </c>
      <c r="N1414">
        <v>0.14241072369831503</v>
      </c>
      <c r="O1414">
        <v>0.1234777308969864</v>
      </c>
      <c r="P1414">
        <v>1.5589616583348058E-2</v>
      </c>
      <c r="Q1414">
        <v>8.979282560876308E-4</v>
      </c>
      <c r="R1414">
        <v>1.6361379635155624E-3</v>
      </c>
      <c r="S1414">
        <v>0.12281864118932313</v>
      </c>
      <c r="T1414">
        <v>0.83004722716140544</v>
      </c>
      <c r="U1414">
        <v>0</v>
      </c>
      <c r="V1414">
        <v>0.20706569547544595</v>
      </c>
      <c r="W1414">
        <v>9.4632645916072622E-2</v>
      </c>
      <c r="X1414">
        <v>2.7392851899011961E-2</v>
      </c>
      <c r="Y1414">
        <v>4.4530281839546418E-3</v>
      </c>
    </row>
    <row r="1415" spans="1:25" x14ac:dyDescent="0.25">
      <c r="A1415" s="1098"/>
      <c r="B1415" s="1457">
        <v>1165</v>
      </c>
      <c r="C1415" s="1102">
        <v>0.99492696418995274</v>
      </c>
      <c r="D1415" s="1102">
        <v>0.9875915126452951</v>
      </c>
      <c r="E1415" s="1102">
        <v>0.99750185053214968</v>
      </c>
      <c r="F1415" s="1102">
        <v>0.98871742013495123</v>
      </c>
      <c r="G1415" s="1102">
        <v>1.0178725764971386</v>
      </c>
      <c r="H1415" s="1102">
        <v>1.0119867896849264</v>
      </c>
      <c r="I1415" s="1102">
        <v>1.008655837102503</v>
      </c>
      <c r="K1415">
        <v>1.5585253235858403</v>
      </c>
      <c r="L1415">
        <v>0</v>
      </c>
      <c r="M1415">
        <v>1.6046218603909732E-3</v>
      </c>
      <c r="N1415">
        <v>0.14654533812902928</v>
      </c>
      <c r="O1415">
        <v>0.12139090779597839</v>
      </c>
      <c r="P1415">
        <v>1.5592470580407324E-2</v>
      </c>
      <c r="Q1415">
        <v>9.0555178679214304E-4</v>
      </c>
      <c r="R1415">
        <v>1.6010202957047119E-3</v>
      </c>
      <c r="S1415">
        <v>0.12294096483177909</v>
      </c>
      <c r="T1415">
        <v>0.81610176582703553</v>
      </c>
      <c r="U1415">
        <v>0</v>
      </c>
      <c r="V1415">
        <v>0.20663263741979931</v>
      </c>
      <c r="W1415">
        <v>9.6413511215253239E-2</v>
      </c>
      <c r="X1415">
        <v>2.7648328095741321E-2</v>
      </c>
      <c r="Y1415">
        <v>4.3574494687095896E-3</v>
      </c>
    </row>
    <row r="1416" spans="1:25" x14ac:dyDescent="0.25">
      <c r="A1416" s="1098"/>
      <c r="B1416" s="1457">
        <v>1166</v>
      </c>
      <c r="C1416" s="1102">
        <v>0.98472199788649162</v>
      </c>
      <c r="D1416" s="1102">
        <v>1.0297814613250627</v>
      </c>
      <c r="E1416" s="1102">
        <v>1.0172456251236255</v>
      </c>
      <c r="F1416" s="1102">
        <v>1.0028915099956337</v>
      </c>
      <c r="G1416" s="1102">
        <v>0.98099021386673602</v>
      </c>
      <c r="H1416" s="1102">
        <v>0.98688559603712489</v>
      </c>
      <c r="I1416" s="1102">
        <v>1.0273378308597068</v>
      </c>
      <c r="K1416">
        <v>1.5607152044870332</v>
      </c>
      <c r="L1416">
        <v>0</v>
      </c>
      <c r="M1416">
        <v>1.4825564826233359E-3</v>
      </c>
      <c r="N1416">
        <v>0.14370464977636627</v>
      </c>
      <c r="O1416">
        <v>0.1210249352076998</v>
      </c>
      <c r="P1416">
        <v>1.5927636842553831E-2</v>
      </c>
      <c r="Q1416">
        <v>9.1828862297576056E-4</v>
      </c>
      <c r="R1416">
        <v>1.4791217327389642E-3</v>
      </c>
      <c r="S1416">
        <v>0.12142835526873455</v>
      </c>
      <c r="T1416">
        <v>0.82649884712925425</v>
      </c>
      <c r="U1416">
        <v>0</v>
      </c>
      <c r="V1416">
        <v>0.20536692828216571</v>
      </c>
      <c r="W1416">
        <v>9.3447982208715877E-2</v>
      </c>
      <c r="X1416">
        <v>2.8375334134284391E-2</v>
      </c>
      <c r="Y1416">
        <v>4.0256817641673055E-3</v>
      </c>
    </row>
    <row r="1417" spans="1:25" x14ac:dyDescent="0.25">
      <c r="A1417" s="1098"/>
      <c r="B1417" s="1457">
        <v>1167</v>
      </c>
      <c r="C1417" s="1102">
        <v>0.99564785984735904</v>
      </c>
      <c r="D1417" s="1102">
        <v>0.9835088890957796</v>
      </c>
      <c r="E1417" s="1102">
        <v>0.95852633090087214</v>
      </c>
      <c r="F1417" s="1102">
        <v>1.0126109045001705</v>
      </c>
      <c r="G1417" s="1102">
        <v>0.96596490430223858</v>
      </c>
      <c r="H1417" s="1102">
        <v>0.97723431443793396</v>
      </c>
      <c r="I1417" s="1102">
        <v>1.0101109768477148</v>
      </c>
      <c r="K1417">
        <v>1.5641881546773506</v>
      </c>
      <c r="L1417">
        <v>0</v>
      </c>
      <c r="M1417">
        <v>1.6854712696402784E-3</v>
      </c>
      <c r="N1417">
        <v>0.13679370750331782</v>
      </c>
      <c r="O1417">
        <v>0.12334064493846124</v>
      </c>
      <c r="P1417">
        <v>1.5386082395226095E-2</v>
      </c>
      <c r="Q1417">
        <v>8.7008289418517696E-4</v>
      </c>
      <c r="R1417">
        <v>1.6815638881131493E-3</v>
      </c>
      <c r="S1417">
        <v>0.12059205595825594</v>
      </c>
      <c r="T1417">
        <v>0.8384571688697513</v>
      </c>
      <c r="U1417">
        <v>0</v>
      </c>
      <c r="V1417">
        <v>0.20553566148141506</v>
      </c>
      <c r="W1417">
        <v>9.2144507805016915E-2</v>
      </c>
      <c r="X1417">
        <v>2.6495487637189112E-2</v>
      </c>
      <c r="Y1417">
        <v>4.5766625760572536E-3</v>
      </c>
    </row>
    <row r="1418" spans="1:25" x14ac:dyDescent="0.25">
      <c r="A1418" s="1098"/>
      <c r="B1418" s="1457">
        <v>1168</v>
      </c>
      <c r="C1418" s="1102">
        <v>0.9761687373519593</v>
      </c>
      <c r="D1418" s="1102">
        <v>1.0127339492204999</v>
      </c>
      <c r="E1418" s="1102">
        <v>0.99649263393284981</v>
      </c>
      <c r="F1418" s="1102">
        <v>1.0142169594599404</v>
      </c>
      <c r="G1418" s="1102">
        <v>0.96738774141234596</v>
      </c>
      <c r="H1418" s="1102">
        <v>1.0319733334122014</v>
      </c>
      <c r="I1418" s="1102">
        <v>1.015287307072948</v>
      </c>
      <c r="K1418">
        <v>1.5910229492776791</v>
      </c>
      <c r="L1418">
        <v>0</v>
      </c>
      <c r="M1418">
        <v>1.6485950401893322E-3</v>
      </c>
      <c r="N1418">
        <v>0.15010815339649389</v>
      </c>
      <c r="O1418">
        <v>0.12306664309508003</v>
      </c>
      <c r="P1418">
        <v>1.5907395659990043E-2</v>
      </c>
      <c r="Q1418">
        <v>9.1276133249964229E-4</v>
      </c>
      <c r="R1418">
        <v>1.6449533830402664E-3</v>
      </c>
      <c r="S1418">
        <v>0.12593172069707695</v>
      </c>
      <c r="T1418">
        <v>0.83721712608687682</v>
      </c>
      <c r="U1418">
        <v>0</v>
      </c>
      <c r="V1418">
        <v>0.20655303050893356</v>
      </c>
      <c r="W1418">
        <v>9.8816915327324562E-2</v>
      </c>
      <c r="X1418">
        <v>2.8035823980651915E-2</v>
      </c>
      <c r="Y1418">
        <v>4.4770208498986211E-3</v>
      </c>
    </row>
    <row r="1419" spans="1:25" x14ac:dyDescent="0.25">
      <c r="A1419" s="1098"/>
      <c r="B1419" s="1457">
        <v>1169</v>
      </c>
      <c r="C1419" s="1102">
        <v>1.0007633979255297</v>
      </c>
      <c r="D1419" s="1102">
        <v>0.98423110278613724</v>
      </c>
      <c r="E1419" s="1102">
        <v>0.99201989182243144</v>
      </c>
      <c r="F1419" s="1102">
        <v>0.99181468472991541</v>
      </c>
      <c r="G1419" s="1102">
        <v>1.0044924188713451</v>
      </c>
      <c r="H1419" s="1102">
        <v>1.0128252442732686</v>
      </c>
      <c r="I1419" s="1102">
        <v>1.0410871721626564</v>
      </c>
      <c r="K1419">
        <v>1.5626034721969009</v>
      </c>
      <c r="L1419">
        <v>0</v>
      </c>
      <c r="M1419">
        <v>1.6190542819790581E-3</v>
      </c>
      <c r="N1419">
        <v>0.14543438830196731</v>
      </c>
      <c r="O1419">
        <v>0.12147873781673703</v>
      </c>
      <c r="P1419">
        <v>1.560523398384463E-2</v>
      </c>
      <c r="Q1419">
        <v>8.9637528015645851E-4</v>
      </c>
      <c r="R1419">
        <v>1.6154278665038678E-3</v>
      </c>
      <c r="S1419">
        <v>0.12652662357896952</v>
      </c>
      <c r="T1419">
        <v>0.81901813727657857</v>
      </c>
      <c r="U1419">
        <v>0</v>
      </c>
      <c r="V1419">
        <v>0.20579154926033225</v>
      </c>
      <c r="W1419">
        <v>9.599616377312141E-2</v>
      </c>
      <c r="X1419">
        <v>2.7463227213698069E-2</v>
      </c>
      <c r="Y1419">
        <v>4.3966621269704541E-3</v>
      </c>
    </row>
    <row r="1420" spans="1:25" x14ac:dyDescent="0.25">
      <c r="A1420" s="1098"/>
      <c r="B1420" s="1457">
        <v>1170</v>
      </c>
      <c r="C1420" s="1102">
        <v>1.004918988382016</v>
      </c>
      <c r="D1420" s="1102">
        <v>1.0462820373432258</v>
      </c>
      <c r="E1420" s="1102">
        <v>0.97914488278856293</v>
      </c>
      <c r="F1420" s="1102">
        <v>1.0002647889639682</v>
      </c>
      <c r="G1420" s="1102">
        <v>1.012873147465426</v>
      </c>
      <c r="H1420" s="1102">
        <v>0.96371809834372602</v>
      </c>
      <c r="I1420" s="1102">
        <v>0.98195544108655841</v>
      </c>
      <c r="K1420">
        <v>1.5273566276750978</v>
      </c>
      <c r="L1420">
        <v>0</v>
      </c>
      <c r="M1420">
        <v>1.5233971182054635E-3</v>
      </c>
      <c r="N1420">
        <v>0.13159774732591001</v>
      </c>
      <c r="O1420">
        <v>0.11922555054696744</v>
      </c>
      <c r="P1420">
        <v>1.5331216351931564E-2</v>
      </c>
      <c r="Q1420">
        <v>8.5946344507588346E-4</v>
      </c>
      <c r="R1420">
        <v>1.519777776256062E-3</v>
      </c>
      <c r="S1420">
        <v>0.11093102726149896</v>
      </c>
      <c r="T1420">
        <v>0.82685219253488007</v>
      </c>
      <c r="U1420">
        <v>0</v>
      </c>
      <c r="V1420">
        <v>0.20442311711253491</v>
      </c>
      <c r="W1420">
        <v>8.7538006072441443E-2</v>
      </c>
      <c r="X1420">
        <v>2.6465592253446597E-2</v>
      </c>
      <c r="Y1420">
        <v>4.1363341123597016E-3</v>
      </c>
    </row>
    <row r="1421" spans="1:25" x14ac:dyDescent="0.25">
      <c r="A1421" s="1098"/>
      <c r="B1421" s="1457">
        <v>1171</v>
      </c>
      <c r="C1421" s="1102">
        <v>1.0115955925137419</v>
      </c>
      <c r="D1421" s="1102">
        <v>1.0185269503770373</v>
      </c>
      <c r="E1421" s="1102">
        <v>0.97463408850676869</v>
      </c>
      <c r="F1421" s="1102">
        <v>0.97211988289650775</v>
      </c>
      <c r="G1421" s="1102">
        <v>1.0239169211975836</v>
      </c>
      <c r="H1421" s="1102">
        <v>0.98032742341839274</v>
      </c>
      <c r="I1421" s="1102">
        <v>0.99722151114192803</v>
      </c>
      <c r="K1421">
        <v>1.5104851067126805</v>
      </c>
      <c r="L1421">
        <v>0</v>
      </c>
      <c r="M1421">
        <v>1.575103565332534E-3</v>
      </c>
      <c r="N1421">
        <v>0.13422585449313715</v>
      </c>
      <c r="O1421">
        <v>0.11810839654063655</v>
      </c>
      <c r="P1421">
        <v>1.5014484702530428E-2</v>
      </c>
      <c r="Q1421">
        <v>8.5894563047608427E-4</v>
      </c>
      <c r="R1421">
        <v>1.5714351961186989E-3</v>
      </c>
      <c r="S1421">
        <v>0.1148754229873368</v>
      </c>
      <c r="T1421">
        <v>0.80387941964491749</v>
      </c>
      <c r="U1421">
        <v>0</v>
      </c>
      <c r="V1421">
        <v>0.20369776981258095</v>
      </c>
      <c r="W1421">
        <v>8.9530331376164174E-2</v>
      </c>
      <c r="X1421">
        <v>2.6021221313752254E-2</v>
      </c>
      <c r="Y1421">
        <v>4.2769285803619193E-3</v>
      </c>
    </row>
    <row r="1422" spans="1:25" x14ac:dyDescent="0.25">
      <c r="A1422" s="1098"/>
      <c r="B1422" s="1457">
        <v>1172</v>
      </c>
      <c r="C1422" s="1102">
        <v>1.0384680573945615</v>
      </c>
      <c r="D1422" s="1102">
        <v>1.0301794350709628</v>
      </c>
      <c r="E1422" s="1102">
        <v>0.95691358447664243</v>
      </c>
      <c r="F1422" s="1102">
        <v>1.0011793703152641</v>
      </c>
      <c r="G1422" s="1102">
        <v>1.003582884448557</v>
      </c>
      <c r="H1422" s="1102">
        <v>0.98946335134410479</v>
      </c>
      <c r="I1422" s="1102">
        <v>0.99236586162895057</v>
      </c>
      <c r="K1422">
        <v>1.5231674271193765</v>
      </c>
      <c r="L1422">
        <v>0</v>
      </c>
      <c r="M1422">
        <v>1.6023797893278569E-3</v>
      </c>
      <c r="N1422">
        <v>0.12941790540859224</v>
      </c>
      <c r="O1422">
        <v>0.11836773721514712</v>
      </c>
      <c r="P1422">
        <v>1.5074053591207205E-2</v>
      </c>
      <c r="Q1422">
        <v>8.1747897961649129E-4</v>
      </c>
      <c r="R1422">
        <v>1.5986901180786782E-3</v>
      </c>
      <c r="S1422">
        <v>0.11154654902442948</v>
      </c>
      <c r="T1422">
        <v>0.82910047563486422</v>
      </c>
      <c r="U1422">
        <v>0</v>
      </c>
      <c r="V1422">
        <v>0.20175812026215545</v>
      </c>
      <c r="W1422">
        <v>8.7262605204423249E-2</v>
      </c>
      <c r="X1422">
        <v>2.5475083976836253E-2</v>
      </c>
      <c r="Y1422">
        <v>4.3511074933543737E-3</v>
      </c>
    </row>
    <row r="1423" spans="1:25" x14ac:dyDescent="0.25">
      <c r="A1423" s="1098"/>
      <c r="B1423" s="1457">
        <v>1173</v>
      </c>
      <c r="C1423" s="1102">
        <v>0.98676911050521321</v>
      </c>
      <c r="D1423" s="1102">
        <v>0.98950369924514625</v>
      </c>
      <c r="E1423" s="1102">
        <v>0.99350069705355415</v>
      </c>
      <c r="F1423" s="1102">
        <v>0.97103522522242913</v>
      </c>
      <c r="G1423" s="1102">
        <v>0.98922019101472458</v>
      </c>
      <c r="H1423" s="1102">
        <v>1.0227573284696754</v>
      </c>
      <c r="I1423" s="1102">
        <v>1.0265950569274045</v>
      </c>
      <c r="K1423">
        <v>1.5481568912062158</v>
      </c>
      <c r="L1423">
        <v>0</v>
      </c>
      <c r="M1423">
        <v>1.6435659921910388E-3</v>
      </c>
      <c r="N1423">
        <v>0.14830056857266186</v>
      </c>
      <c r="O1423">
        <v>0.12047977289440281</v>
      </c>
      <c r="P1423">
        <v>1.5381192989153285E-2</v>
      </c>
      <c r="Q1423">
        <v>9.085460772647149E-4</v>
      </c>
      <c r="R1423">
        <v>1.6399072416524154E-3</v>
      </c>
      <c r="S1423">
        <v>0.12672817359559782</v>
      </c>
      <c r="T1423">
        <v>0.80176367083231725</v>
      </c>
      <c r="U1423">
        <v>0</v>
      </c>
      <c r="V1423">
        <v>0.20504743875203826</v>
      </c>
      <c r="W1423">
        <v>9.7801421291281734E-2</v>
      </c>
      <c r="X1423">
        <v>2.7286478035535734E-2</v>
      </c>
      <c r="Y1423">
        <v>4.4632869165009527E-3</v>
      </c>
    </row>
    <row r="1424" spans="1:25" x14ac:dyDescent="0.25">
      <c r="A1424" s="1098"/>
      <c r="B1424" s="1457">
        <v>1174</v>
      </c>
      <c r="C1424" s="1102">
        <v>0.9883701133244247</v>
      </c>
      <c r="D1424" s="1102">
        <v>1.0322847504677826</v>
      </c>
      <c r="E1424" s="1102">
        <v>0.9930115500112715</v>
      </c>
      <c r="F1424" s="1102">
        <v>0.97916177516626524</v>
      </c>
      <c r="G1424" s="1102">
        <v>1.0061263084960552</v>
      </c>
      <c r="H1424" s="1102">
        <v>0.97552585657533197</v>
      </c>
      <c r="I1424" s="1102">
        <v>1.0166729606044727</v>
      </c>
      <c r="K1424">
        <v>1.5272246662630626</v>
      </c>
      <c r="L1424">
        <v>0</v>
      </c>
      <c r="M1424">
        <v>1.5309599363450901E-3</v>
      </c>
      <c r="N1424">
        <v>0.13791902608025358</v>
      </c>
      <c r="O1424">
        <v>0.11914035779723421</v>
      </c>
      <c r="P1424">
        <v>1.5352138373863693E-2</v>
      </c>
      <c r="Q1424">
        <v>8.9139258537376418E-4</v>
      </c>
      <c r="R1424">
        <v>1.5273647939642253E-3</v>
      </c>
      <c r="S1424">
        <v>0.11847588936399588</v>
      </c>
      <c r="T1424">
        <v>0.80850531679036297</v>
      </c>
      <c r="U1424">
        <v>0</v>
      </c>
      <c r="V1424">
        <v>0.20484234369401899</v>
      </c>
      <c r="W1424">
        <v>9.0981578063615565E-2</v>
      </c>
      <c r="X1424">
        <v>2.6963235183222592E-2</v>
      </c>
      <c r="Y1424">
        <v>4.156983473501609E-3</v>
      </c>
    </row>
    <row r="1425" spans="1:25" x14ac:dyDescent="0.25">
      <c r="A1425" s="1098"/>
      <c r="B1425" s="1457">
        <v>1175</v>
      </c>
      <c r="C1425" s="1102">
        <v>1.0419794981011266</v>
      </c>
      <c r="D1425" s="1102">
        <v>1.0001906168482795</v>
      </c>
      <c r="E1425" s="1102">
        <v>0.99096734502304307</v>
      </c>
      <c r="F1425" s="1102">
        <v>0.99692005823260665</v>
      </c>
      <c r="G1425" s="1102">
        <v>0.97509659697619122</v>
      </c>
      <c r="H1425" s="1102">
        <v>1.011466525601145</v>
      </c>
      <c r="I1425" s="1102">
        <v>0.98606849526952922</v>
      </c>
      <c r="K1425">
        <v>1.5348743159392975</v>
      </c>
      <c r="L1425">
        <v>0</v>
      </c>
      <c r="M1425">
        <v>1.5473356004053153E-3</v>
      </c>
      <c r="N1425">
        <v>0.13855035150676093</v>
      </c>
      <c r="O1425">
        <v>0.11909058049699026</v>
      </c>
      <c r="P1425">
        <v>1.5416870102030486E-2</v>
      </c>
      <c r="Q1425">
        <v>8.5446000531300798E-4</v>
      </c>
      <c r="R1425">
        <v>1.543867413767481E-3</v>
      </c>
      <c r="S1425">
        <v>0.11414915762934708</v>
      </c>
      <c r="T1425">
        <v>0.82330359635328876</v>
      </c>
      <c r="U1425">
        <v>0</v>
      </c>
      <c r="V1425">
        <v>0.20090316091025173</v>
      </c>
      <c r="W1425">
        <v>9.1509865672870602E-2</v>
      </c>
      <c r="X1425">
        <v>2.6897843284563704E-2</v>
      </c>
      <c r="Y1425">
        <v>4.2018981645189123E-3</v>
      </c>
    </row>
    <row r="1426" spans="1:25" x14ac:dyDescent="0.25">
      <c r="A1426" s="1098"/>
      <c r="B1426" s="1457">
        <v>1176</v>
      </c>
      <c r="C1426" s="1102">
        <v>1.0331328276174687</v>
      </c>
      <c r="D1426" s="1102">
        <v>1.0204120859923946</v>
      </c>
      <c r="E1426" s="1102">
        <v>1.0258844038976724</v>
      </c>
      <c r="F1426" s="1102">
        <v>0.99052999161353494</v>
      </c>
      <c r="G1426" s="1102">
        <v>1.0156962997373968</v>
      </c>
      <c r="H1426" s="1102">
        <v>0.96322182696382375</v>
      </c>
      <c r="I1426" s="1102">
        <v>1.0157163474649895</v>
      </c>
      <c r="K1426">
        <v>1.5218623737662778</v>
      </c>
      <c r="L1426">
        <v>0</v>
      </c>
      <c r="M1426">
        <v>1.3650589533457417E-3</v>
      </c>
      <c r="N1426">
        <v>0.1358023657027774</v>
      </c>
      <c r="O1426">
        <v>0.11811704187033156</v>
      </c>
      <c r="P1426">
        <v>1.5729424339310218E-2</v>
      </c>
      <c r="Q1426">
        <v>8.8627812502521794E-4</v>
      </c>
      <c r="R1426">
        <v>1.3618317050984605E-3</v>
      </c>
      <c r="S1426">
        <v>0.1134338513141879</v>
      </c>
      <c r="T1426">
        <v>0.81575260538383165</v>
      </c>
      <c r="U1426">
        <v>0</v>
      </c>
      <c r="V1426">
        <v>0.20257803527080417</v>
      </c>
      <c r="W1426">
        <v>8.7864643221188254E-2</v>
      </c>
      <c r="X1426">
        <v>2.7994898813490012E-2</v>
      </c>
      <c r="Y1426">
        <v>3.7064569735770765E-3</v>
      </c>
    </row>
    <row r="1427" spans="1:25" x14ac:dyDescent="0.25">
      <c r="A1427" s="1098"/>
      <c r="B1427" s="1457">
        <v>1177</v>
      </c>
      <c r="C1427" s="1102">
        <v>1.036289863770564</v>
      </c>
      <c r="D1427" s="1102">
        <v>1.0389187931389676</v>
      </c>
      <c r="E1427" s="1102">
        <v>0.9861353512199551</v>
      </c>
      <c r="F1427" s="1102">
        <v>0.95738392617678969</v>
      </c>
      <c r="G1427" s="1102">
        <v>1.0298233291786199</v>
      </c>
      <c r="H1427" s="1102">
        <v>1.0170437169590725</v>
      </c>
      <c r="I1427" s="1102">
        <v>0.99503876391957813</v>
      </c>
      <c r="K1427">
        <v>1.4918914686341562</v>
      </c>
      <c r="L1427">
        <v>0</v>
      </c>
      <c r="M1427">
        <v>1.5411894263042097E-3</v>
      </c>
      <c r="N1427">
        <v>0.13599708018020795</v>
      </c>
      <c r="O1427">
        <v>0.11502122314898185</v>
      </c>
      <c r="P1427">
        <v>1.4910961462585423E-2</v>
      </c>
      <c r="Q1427">
        <v>8.4193983175001727E-4</v>
      </c>
      <c r="R1427">
        <v>1.5377202528773027E-3</v>
      </c>
      <c r="S1427">
        <v>0.11337268211403699</v>
      </c>
      <c r="T1427">
        <v>0.79095988984398258</v>
      </c>
      <c r="U1427">
        <v>0</v>
      </c>
      <c r="V1427">
        <v>0.20067985951728257</v>
      </c>
      <c r="W1427">
        <v>9.0084162836297763E-2</v>
      </c>
      <c r="X1427">
        <v>2.5841971253469345E-2</v>
      </c>
      <c r="Y1427">
        <v>4.1851676189868913E-3</v>
      </c>
    </row>
    <row r="1428" spans="1:25" x14ac:dyDescent="0.25">
      <c r="A1428" s="1098"/>
      <c r="B1428" s="1457">
        <v>1178</v>
      </c>
      <c r="C1428" s="1102">
        <v>0.96648727861322192</v>
      </c>
      <c r="D1428" s="1102">
        <v>1.0015345780310241</v>
      </c>
      <c r="E1428" s="1102">
        <v>1.0041257506398027</v>
      </c>
      <c r="F1428" s="1102">
        <v>0.99030470977381091</v>
      </c>
      <c r="G1428" s="1102">
        <v>0.9982875884582918</v>
      </c>
      <c r="H1428" s="1102">
        <v>0.98736946684716942</v>
      </c>
      <c r="I1428" s="1102">
        <v>0.98738735864781302</v>
      </c>
      <c r="K1428">
        <v>1.5596551495057012</v>
      </c>
      <c r="L1428">
        <v>0</v>
      </c>
      <c r="M1428">
        <v>1.5739004003852933E-3</v>
      </c>
      <c r="N1428">
        <v>0.14663528899574016</v>
      </c>
      <c r="O1428">
        <v>0.12236013515246942</v>
      </c>
      <c r="P1428">
        <v>1.5668743884593148E-2</v>
      </c>
      <c r="Q1428">
        <v>9.33370823692869E-4</v>
      </c>
      <c r="R1428">
        <v>1.5702639063276498E-3</v>
      </c>
      <c r="S1428">
        <v>0.12072036810043656</v>
      </c>
      <c r="T1428">
        <v>0.81697907902784239</v>
      </c>
      <c r="U1428">
        <v>0</v>
      </c>
      <c r="V1428">
        <v>0.20790564798954062</v>
      </c>
      <c r="W1428">
        <v>9.6093878031243959E-2</v>
      </c>
      <c r="X1428">
        <v>2.8088533278532439E-2</v>
      </c>
      <c r="Y1428">
        <v>4.2737407156662587E-3</v>
      </c>
    </row>
    <row r="1429" spans="1:25" x14ac:dyDescent="0.25">
      <c r="A1429" s="1098"/>
      <c r="B1429" s="1457">
        <v>1179</v>
      </c>
      <c r="C1429" s="1102">
        <v>1.0052534257409369</v>
      </c>
      <c r="D1429" s="1102">
        <v>0.98737838969082192</v>
      </c>
      <c r="E1429" s="1102">
        <v>1.0140003258998196</v>
      </c>
      <c r="F1429" s="1102">
        <v>1.0033975146023766</v>
      </c>
      <c r="G1429" s="1102">
        <v>0.97876291319205921</v>
      </c>
      <c r="H1429" s="1102">
        <v>0.98161479943912389</v>
      </c>
      <c r="I1429" s="1102">
        <v>0.98122301904402642</v>
      </c>
      <c r="K1429">
        <v>1.5555870729867487</v>
      </c>
      <c r="L1429">
        <v>0</v>
      </c>
      <c r="M1429">
        <v>1.4916382972666143E-3</v>
      </c>
      <c r="N1429">
        <v>0.1431769239006413</v>
      </c>
      <c r="O1429">
        <v>0.12186100964189979</v>
      </c>
      <c r="P1429">
        <v>1.5818354779047583E-2</v>
      </c>
      <c r="Q1429">
        <v>9.1174346654715444E-4</v>
      </c>
      <c r="R1429">
        <v>1.4881934628328058E-3</v>
      </c>
      <c r="S1429">
        <v>0.11619736905996533</v>
      </c>
      <c r="T1429">
        <v>0.82712917323252555</v>
      </c>
      <c r="U1429">
        <v>0</v>
      </c>
      <c r="V1429">
        <v>0.20479969594088138</v>
      </c>
      <c r="W1429">
        <v>9.3282368027350931E-2</v>
      </c>
      <c r="X1429">
        <v>2.8363507749333244E-2</v>
      </c>
      <c r="Y1429">
        <v>4.0503720229877211E-3</v>
      </c>
    </row>
    <row r="1430" spans="1:25" x14ac:dyDescent="0.25">
      <c r="A1430" s="1098"/>
      <c r="B1430" s="1457">
        <v>1180</v>
      </c>
      <c r="C1430" s="1102">
        <v>1.0096220081927247</v>
      </c>
      <c r="D1430" s="1102">
        <v>0.99332505697516671</v>
      </c>
      <c r="E1430" s="1102">
        <v>0.98122717912635005</v>
      </c>
      <c r="F1430" s="1102">
        <v>1.0111311524174404</v>
      </c>
      <c r="G1430" s="1102">
        <v>1.0140901282266692</v>
      </c>
      <c r="H1430" s="1102">
        <v>0.9897504031924762</v>
      </c>
      <c r="I1430" s="1102">
        <v>1.0011360474868616</v>
      </c>
      <c r="K1430">
        <v>1.5614470411794312</v>
      </c>
      <c r="L1430">
        <v>0</v>
      </c>
      <c r="M1430">
        <v>1.598790673335293E-3</v>
      </c>
      <c r="N1430">
        <v>0.13899531461442247</v>
      </c>
      <c r="O1430">
        <v>0.12200840781273491</v>
      </c>
      <c r="P1430">
        <v>1.559686389134163E-2</v>
      </c>
      <c r="Q1430">
        <v>8.7532673920185506E-4</v>
      </c>
      <c r="R1430">
        <v>1.5951283659226048E-3</v>
      </c>
      <c r="S1430">
        <v>0.11827038924067379</v>
      </c>
      <c r="T1430">
        <v>0.83569435319518581</v>
      </c>
      <c r="U1430">
        <v>0</v>
      </c>
      <c r="V1430">
        <v>0.20618987584500506</v>
      </c>
      <c r="W1430">
        <v>9.234266005060543E-2</v>
      </c>
      <c r="X1430">
        <v>2.7136098519554206E-2</v>
      </c>
      <c r="Y1430">
        <v>4.3414135781168241E-3</v>
      </c>
    </row>
    <row r="1431" spans="1:25" x14ac:dyDescent="0.25">
      <c r="A1431" s="1098"/>
      <c r="B1431" s="1457">
        <v>1181</v>
      </c>
      <c r="C1431" s="1102">
        <v>1.0185677695333661</v>
      </c>
      <c r="D1431" s="1102">
        <v>0.97919619336281216</v>
      </c>
      <c r="E1431" s="1102">
        <v>0.97846228831215887</v>
      </c>
      <c r="F1431" s="1102">
        <v>1.0059776646569014</v>
      </c>
      <c r="G1431" s="1102">
        <v>0.9966520090569988</v>
      </c>
      <c r="H1431" s="1102">
        <v>0.95400813369803272</v>
      </c>
      <c r="I1431" s="1102">
        <v>0.99535555928999886</v>
      </c>
      <c r="K1431">
        <v>1.5429380260385523</v>
      </c>
      <c r="L1431">
        <v>0</v>
      </c>
      <c r="M1431">
        <v>1.549227400445836E-3</v>
      </c>
      <c r="N1431">
        <v>0.13355370280077894</v>
      </c>
      <c r="O1431">
        <v>0.12183858707178435</v>
      </c>
      <c r="P1431">
        <v>1.5444122636717655E-2</v>
      </c>
      <c r="Q1431">
        <v>8.7010025405804008E-4</v>
      </c>
      <c r="R1431">
        <v>1.5455554633557031E-3</v>
      </c>
      <c r="S1431">
        <v>0.11476629427208865</v>
      </c>
      <c r="T1431">
        <v>0.83162044578104821</v>
      </c>
      <c r="U1431">
        <v>0</v>
      </c>
      <c r="V1431">
        <v>0.20482673763785392</v>
      </c>
      <c r="W1431">
        <v>8.8875754339328206E-2</v>
      </c>
      <c r="X1431">
        <v>2.6939460702951109E-2</v>
      </c>
      <c r="Y1431">
        <v>4.2064924790326573E-3</v>
      </c>
    </row>
    <row r="1432" spans="1:25" x14ac:dyDescent="0.25">
      <c r="A1432" s="1098"/>
      <c r="B1432" s="1457">
        <v>1182</v>
      </c>
      <c r="C1432" s="1102">
        <v>0.9818627171363401</v>
      </c>
      <c r="D1432" s="1102">
        <v>0.99279957571747435</v>
      </c>
      <c r="E1432" s="1102">
        <v>0.98225893238507167</v>
      </c>
      <c r="F1432" s="1102">
        <v>1.0199461079038921</v>
      </c>
      <c r="G1432" s="1102">
        <v>0.95510257099685969</v>
      </c>
      <c r="H1432" s="1102">
        <v>0.95668854601613873</v>
      </c>
      <c r="I1432" s="1102">
        <v>1.00185574767037</v>
      </c>
      <c r="K1432">
        <v>1.5706613349381171</v>
      </c>
      <c r="L1432">
        <v>0</v>
      </c>
      <c r="M1432">
        <v>1.5839835602745773E-3</v>
      </c>
      <c r="N1432">
        <v>0.13812713825166334</v>
      </c>
      <c r="O1432">
        <v>0.124097570130924</v>
      </c>
      <c r="P1432">
        <v>1.5717771272566225E-2</v>
      </c>
      <c r="Q1432">
        <v>9.0123756716357082E-4</v>
      </c>
      <c r="R1432">
        <v>1.5802249442764269E-3</v>
      </c>
      <c r="S1432">
        <v>0.11894645584511566</v>
      </c>
      <c r="T1432">
        <v>0.84290977671791212</v>
      </c>
      <c r="U1432">
        <v>0</v>
      </c>
      <c r="V1432">
        <v>0.20637735665505977</v>
      </c>
      <c r="W1432">
        <v>9.1708806900638873E-2</v>
      </c>
      <c r="X1432">
        <v>2.7578128835765547E-2</v>
      </c>
      <c r="Y1432">
        <v>4.3008513773075546E-3</v>
      </c>
    </row>
    <row r="1433" spans="1:25" x14ac:dyDescent="0.25">
      <c r="A1433" s="1098"/>
      <c r="B1433" s="1457">
        <v>1183</v>
      </c>
      <c r="C1433" s="1102">
        <v>1.0328346795336227</v>
      </c>
      <c r="D1433" s="1102">
        <v>1.0105922346905372</v>
      </c>
      <c r="E1433" s="1102">
        <v>0.98091724373763112</v>
      </c>
      <c r="F1433" s="1102">
        <v>0.99440858803365206</v>
      </c>
      <c r="G1433" s="1102">
        <v>0.97326106156117598</v>
      </c>
      <c r="H1433" s="1102">
        <v>0.98698706918304302</v>
      </c>
      <c r="I1433" s="1102">
        <v>1.0222051029087262</v>
      </c>
      <c r="K1433">
        <v>1.5287488946622776</v>
      </c>
      <c r="L1433">
        <v>0</v>
      </c>
      <c r="M1433">
        <v>1.5448849660844525E-3</v>
      </c>
      <c r="N1433">
        <v>0.13418135000293976</v>
      </c>
      <c r="O1433">
        <v>0.11893960648419991</v>
      </c>
      <c r="P1433">
        <v>1.5317350086752904E-2</v>
      </c>
      <c r="Q1433">
        <v>8.495000147264747E-4</v>
      </c>
      <c r="R1433">
        <v>1.5413272822948818E-3</v>
      </c>
      <c r="S1433">
        <v>0.11664785554651567</v>
      </c>
      <c r="T1433">
        <v>0.82189377939729891</v>
      </c>
      <c r="U1433">
        <v>0</v>
      </c>
      <c r="V1433">
        <v>0.20109073603200708</v>
      </c>
      <c r="W1433">
        <v>8.9161134212116994E-2</v>
      </c>
      <c r="X1433">
        <v>2.6476155805505306E-2</v>
      </c>
      <c r="Y1433">
        <v>4.1949847640046136E-3</v>
      </c>
    </row>
    <row r="1434" spans="1:25" x14ac:dyDescent="0.25">
      <c r="A1434" s="1098"/>
      <c r="B1434" s="1457">
        <v>1184</v>
      </c>
      <c r="C1434" s="1102">
        <v>0.973087354884966</v>
      </c>
      <c r="D1434" s="1102">
        <v>0.97297235959225159</v>
      </c>
      <c r="E1434" s="1102">
        <v>1.0045025229844788</v>
      </c>
      <c r="F1434" s="1102">
        <v>1.0240620973797461</v>
      </c>
      <c r="G1434" s="1102">
        <v>1.0067727698650055</v>
      </c>
      <c r="H1434" s="1102">
        <v>1.025197797044646</v>
      </c>
      <c r="I1434" s="1102">
        <v>1.0074351219497277</v>
      </c>
      <c r="K1434">
        <v>1.6146164026234529</v>
      </c>
      <c r="L1434">
        <v>0</v>
      </c>
      <c r="M1434">
        <v>1.6537491253264714E-3</v>
      </c>
      <c r="N1434">
        <v>0.15426585951659158</v>
      </c>
      <c r="O1434">
        <v>0.12570619386844573</v>
      </c>
      <c r="P1434">
        <v>1.6185279143721615E-2</v>
      </c>
      <c r="Q1434">
        <v>9.3819686058455476E-4</v>
      </c>
      <c r="R1434">
        <v>1.6500981093991733E-3</v>
      </c>
      <c r="S1434">
        <v>0.12787573310174599</v>
      </c>
      <c r="T1434">
        <v>0.84480274642508824</v>
      </c>
      <c r="U1434">
        <v>0</v>
      </c>
      <c r="V1434">
        <v>0.21036199438743344</v>
      </c>
      <c r="W1434">
        <v>0.1010718283442468</v>
      </c>
      <c r="X1434">
        <v>2.8921198892434517E-2</v>
      </c>
      <c r="Y1434">
        <v>4.491023099088976E-3</v>
      </c>
    </row>
    <row r="1435" spans="1:25" x14ac:dyDescent="0.25">
      <c r="A1435" s="1098"/>
      <c r="B1435" s="1457">
        <v>1185</v>
      </c>
      <c r="C1435" s="1102">
        <v>1.005541558995275</v>
      </c>
      <c r="D1435" s="1102">
        <v>0.99666549823873585</v>
      </c>
      <c r="E1435" s="1102">
        <v>0.99277107117608487</v>
      </c>
      <c r="F1435" s="1102">
        <v>0.96203142848437984</v>
      </c>
      <c r="G1435" s="1102">
        <v>0.99038532634999588</v>
      </c>
      <c r="H1435" s="1102">
        <v>0.97294253575162304</v>
      </c>
      <c r="I1435" s="1102">
        <v>1.0102945036651594</v>
      </c>
      <c r="K1435">
        <v>1.5095041372002378</v>
      </c>
      <c r="L1435">
        <v>0</v>
      </c>
      <c r="M1435">
        <v>1.5314834198351119E-3</v>
      </c>
      <c r="N1435">
        <v>0.13786691050890507</v>
      </c>
      <c r="O1435">
        <v>0.11857688092188459</v>
      </c>
      <c r="P1435">
        <v>1.512336500813505E-2</v>
      </c>
      <c r="Q1435">
        <v>8.8834147374871285E-4</v>
      </c>
      <c r="R1435">
        <v>1.5278979001832956E-3</v>
      </c>
      <c r="S1435">
        <v>0.1179549975517578</v>
      </c>
      <c r="T1435">
        <v>0.79437591475027669</v>
      </c>
      <c r="U1435">
        <v>0</v>
      </c>
      <c r="V1435">
        <v>0.20282534308625874</v>
      </c>
      <c r="W1435">
        <v>9.0960271783346786E-2</v>
      </c>
      <c r="X1435">
        <v>2.6777263222682351E-2</v>
      </c>
      <c r="Y1435">
        <v>4.1584344128915004E-3</v>
      </c>
    </row>
    <row r="1436" spans="1:25" x14ac:dyDescent="0.25">
      <c r="A1436" s="1098"/>
      <c r="B1436" s="1457">
        <v>1186</v>
      </c>
      <c r="C1436" s="1102">
        <v>1.0314758775206159</v>
      </c>
      <c r="D1436" s="1102">
        <v>0.95828738120020729</v>
      </c>
      <c r="E1436" s="1102">
        <v>0.97000994488669334</v>
      </c>
      <c r="F1436" s="1102">
        <v>1.0018850846257106</v>
      </c>
      <c r="G1436" s="1102">
        <v>1.022551275077568</v>
      </c>
      <c r="H1436" s="1102">
        <v>0.96856485275110604</v>
      </c>
      <c r="I1436" s="1102">
        <v>0.98400339362408062</v>
      </c>
      <c r="K1436">
        <v>1.5423603180833041</v>
      </c>
      <c r="L1436">
        <v>0</v>
      </c>
      <c r="M1436">
        <v>1.6010223747817585E-3</v>
      </c>
      <c r="N1436">
        <v>0.13453852116921927</v>
      </c>
      <c r="O1436">
        <v>0.12187686884198555</v>
      </c>
      <c r="P1436">
        <v>1.5312868646294032E-2</v>
      </c>
      <c r="Q1436">
        <v>8.5899577617223031E-4</v>
      </c>
      <c r="R1436">
        <v>1.5973005228835933E-3</v>
      </c>
      <c r="S1436">
        <v>0.11465560044306405</v>
      </c>
      <c r="T1436">
        <v>0.82880326114481595</v>
      </c>
      <c r="U1436">
        <v>0</v>
      </c>
      <c r="V1436">
        <v>0.20536718559378211</v>
      </c>
      <c r="W1436">
        <v>8.999133515512342E-2</v>
      </c>
      <c r="X1436">
        <v>2.6612077691432052E-2</v>
      </c>
      <c r="Y1436">
        <v>4.3473254733132861E-3</v>
      </c>
    </row>
    <row r="1437" spans="1:25" x14ac:dyDescent="0.25">
      <c r="A1437" s="1098"/>
      <c r="B1437" s="1457">
        <v>1187</v>
      </c>
      <c r="C1437" s="1102">
        <v>0.98549913967979652</v>
      </c>
      <c r="D1437" s="1102">
        <v>1.0064097212041319</v>
      </c>
      <c r="E1437" s="1102">
        <v>1.0095399421489608</v>
      </c>
      <c r="F1437" s="1102">
        <v>0.99087719583216016</v>
      </c>
      <c r="G1437" s="1102">
        <v>1.028091276653176</v>
      </c>
      <c r="H1437" s="1102">
        <v>0.99465356041749486</v>
      </c>
      <c r="I1437" s="1102">
        <v>1.0274028075666846</v>
      </c>
      <c r="K1437">
        <v>1.5586791551598733</v>
      </c>
      <c r="L1437">
        <v>0</v>
      </c>
      <c r="M1437">
        <v>1.5356443521301838E-3</v>
      </c>
      <c r="N1437">
        <v>0.14543212650041218</v>
      </c>
      <c r="O1437">
        <v>0.12116906248311342</v>
      </c>
      <c r="P1437">
        <v>1.5766561948130635E-2</v>
      </c>
      <c r="Q1437">
        <v>9.1871246491320062E-4</v>
      </c>
      <c r="R1437">
        <v>1.532124725066028E-3</v>
      </c>
      <c r="S1437">
        <v>0.12356541872197244</v>
      </c>
      <c r="T1437">
        <v>0.81709839895176473</v>
      </c>
      <c r="U1437">
        <v>0</v>
      </c>
      <c r="V1437">
        <v>0.20746962898446925</v>
      </c>
      <c r="W1437">
        <v>9.500086763725972E-2</v>
      </c>
      <c r="X1437">
        <v>2.8091958658051624E-2</v>
      </c>
      <c r="Y1437">
        <v>4.1699384368498495E-3</v>
      </c>
    </row>
    <row r="1438" spans="1:25" x14ac:dyDescent="0.25">
      <c r="A1438" s="1098"/>
      <c r="B1438" s="1457">
        <v>1188</v>
      </c>
      <c r="C1438" s="1102">
        <v>1.0322051854568375</v>
      </c>
      <c r="D1438" s="1102">
        <v>0.99131811905165645</v>
      </c>
      <c r="E1438" s="1102">
        <v>1.0058411242582392</v>
      </c>
      <c r="F1438" s="1102">
        <v>1.0001521632670414</v>
      </c>
      <c r="G1438" s="1102">
        <v>1.0179628518329014</v>
      </c>
      <c r="H1438" s="1102">
        <v>0.95957401236515572</v>
      </c>
      <c r="I1438" s="1102">
        <v>1.0385306731073101</v>
      </c>
      <c r="K1438">
        <v>1.5388640088924064</v>
      </c>
      <c r="L1438">
        <v>0</v>
      </c>
      <c r="M1438">
        <v>1.4435198358054822E-3</v>
      </c>
      <c r="N1438">
        <v>0.1351799693952741</v>
      </c>
      <c r="O1438">
        <v>0.12013341236511947</v>
      </c>
      <c r="P1438">
        <v>1.5706151825749685E-2</v>
      </c>
      <c r="Q1438">
        <v>8.7909505580654882E-4</v>
      </c>
      <c r="R1438">
        <v>1.4401130278970868E-3</v>
      </c>
      <c r="S1438">
        <v>0.11783391569762783</v>
      </c>
      <c r="T1438">
        <v>0.82499002646042408</v>
      </c>
      <c r="U1438">
        <v>0</v>
      </c>
      <c r="V1438">
        <v>0.20406153484310419</v>
      </c>
      <c r="W1438">
        <v>8.8496995957458413E-2</v>
      </c>
      <c r="X1438">
        <v>2.7666801170945676E-2</v>
      </c>
      <c r="Y1438">
        <v>3.9195129288038116E-3</v>
      </c>
    </row>
    <row r="1439" spans="1:25" x14ac:dyDescent="0.25">
      <c r="A1439" s="1098"/>
      <c r="B1439" s="1457">
        <v>1189</v>
      </c>
      <c r="C1439" s="1102">
        <v>1.0097208755709608</v>
      </c>
      <c r="D1439" s="1102">
        <v>1.0221554779114204</v>
      </c>
      <c r="E1439" s="1102">
        <v>0.98517166122755162</v>
      </c>
      <c r="F1439" s="1102">
        <v>0.97679334705706355</v>
      </c>
      <c r="G1439" s="1102">
        <v>1.008343900132324</v>
      </c>
      <c r="H1439" s="1102">
        <v>0.98636421056819512</v>
      </c>
      <c r="I1439" s="1102">
        <v>1.016782339952164</v>
      </c>
      <c r="K1439">
        <v>1.5199598634820841</v>
      </c>
      <c r="L1439">
        <v>0</v>
      </c>
      <c r="M1439">
        <v>1.5507537089157605E-3</v>
      </c>
      <c r="N1439">
        <v>0.13643396188642909</v>
      </c>
      <c r="O1439">
        <v>0.11834548933532389</v>
      </c>
      <c r="P1439">
        <v>1.5209711159814595E-2</v>
      </c>
      <c r="Q1439">
        <v>8.6885951835825317E-4</v>
      </c>
      <c r="R1439">
        <v>1.5471628529791861E-3</v>
      </c>
      <c r="S1439">
        <v>0.11761024695016029</v>
      </c>
      <c r="T1439">
        <v>0.80705790748012063</v>
      </c>
      <c r="U1439">
        <v>0</v>
      </c>
      <c r="V1439">
        <v>0.2033046126375552</v>
      </c>
      <c r="W1439">
        <v>9.0425920711076316E-2</v>
      </c>
      <c r="X1439">
        <v>2.6495877395472132E-2</v>
      </c>
      <c r="Y1439">
        <v>4.2108672637119317E-3</v>
      </c>
    </row>
    <row r="1440" spans="1:25" x14ac:dyDescent="0.25">
      <c r="A1440" s="1098"/>
      <c r="B1440" s="1457">
        <v>1190</v>
      </c>
      <c r="C1440" s="1102">
        <v>0.9852057353251702</v>
      </c>
      <c r="D1440" s="1102">
        <v>0.99160103847950687</v>
      </c>
      <c r="E1440" s="1102">
        <v>0.98564766668446224</v>
      </c>
      <c r="F1440" s="1102">
        <v>1.0259174713230697</v>
      </c>
      <c r="G1440" s="1102">
        <v>0.9580722304486492</v>
      </c>
      <c r="H1440" s="1102">
        <v>1.0081699348657935</v>
      </c>
      <c r="I1440" s="1102">
        <v>0.99501949912968091</v>
      </c>
      <c r="K1440">
        <v>1.5920049259244109</v>
      </c>
      <c r="L1440">
        <v>0</v>
      </c>
      <c r="M1440">
        <v>1.6542152340122509E-3</v>
      </c>
      <c r="N1440">
        <v>0.14575571085577932</v>
      </c>
      <c r="O1440">
        <v>0.12438082908401071</v>
      </c>
      <c r="P1440">
        <v>1.5865741421579465E-2</v>
      </c>
      <c r="Q1440">
        <v>9.0180361720562608E-4</v>
      </c>
      <c r="R1440">
        <v>1.6504937466674074E-3</v>
      </c>
      <c r="S1440">
        <v>0.12202315501583295</v>
      </c>
      <c r="T1440">
        <v>0.84761336279091815</v>
      </c>
      <c r="U1440">
        <v>0</v>
      </c>
      <c r="V1440">
        <v>0.20657053101162062</v>
      </c>
      <c r="W1440">
        <v>9.6576560892703556E-2</v>
      </c>
      <c r="X1440">
        <v>2.7828852828792262E-2</v>
      </c>
      <c r="Y1440">
        <v>4.4920998933113193E-3</v>
      </c>
    </row>
    <row r="1441" spans="1:25" x14ac:dyDescent="0.25">
      <c r="A1441" s="1098"/>
      <c r="B1441" s="1457">
        <v>1191</v>
      </c>
      <c r="C1441" s="1102">
        <v>1.0071366538284776</v>
      </c>
      <c r="D1441" s="1102">
        <v>1.0156576803421244</v>
      </c>
      <c r="E1441" s="1102">
        <v>1.0339023309984006</v>
      </c>
      <c r="F1441" s="1102">
        <v>0.97552416863150415</v>
      </c>
      <c r="G1441" s="1102">
        <v>0.99941142082131051</v>
      </c>
      <c r="H1441" s="1102">
        <v>0.99990211078728353</v>
      </c>
      <c r="I1441" s="1102">
        <v>0.99183311615384495</v>
      </c>
      <c r="K1441">
        <v>1.529722443921858</v>
      </c>
      <c r="L1441">
        <v>0</v>
      </c>
      <c r="M1441">
        <v>1.4290796687536854E-3</v>
      </c>
      <c r="N1441">
        <v>0.14566164273256521</v>
      </c>
      <c r="O1441">
        <v>0.11852694276744526</v>
      </c>
      <c r="P1441">
        <v>1.5695919037082708E-2</v>
      </c>
      <c r="Q1441">
        <v>9.1833805239891755E-4</v>
      </c>
      <c r="R1441">
        <v>1.4258178822634388E-3</v>
      </c>
      <c r="S1441">
        <v>0.11657310263951148</v>
      </c>
      <c r="T1441">
        <v>0.80288575018899311</v>
      </c>
      <c r="U1441">
        <v>0</v>
      </c>
      <c r="V1441">
        <v>0.20332325188362571</v>
      </c>
      <c r="W1441">
        <v>9.3805984594230438E-2</v>
      </c>
      <c r="X1441">
        <v>2.8454167557712157E-2</v>
      </c>
      <c r="Y1441">
        <v>3.8806062547825128E-3</v>
      </c>
    </row>
    <row r="1442" spans="1:25" x14ac:dyDescent="0.25">
      <c r="A1442" s="1098"/>
      <c r="B1442" s="1457">
        <v>1192</v>
      </c>
      <c r="C1442" s="1102">
        <v>1.0082955730098411</v>
      </c>
      <c r="D1442" s="1102">
        <v>0.99684233259936117</v>
      </c>
      <c r="E1442" s="1102">
        <v>1.0195885502750921</v>
      </c>
      <c r="F1442" s="1102">
        <v>0.98597047480590982</v>
      </c>
      <c r="G1442" s="1102">
        <v>0.98035499537971171</v>
      </c>
      <c r="H1442" s="1102">
        <v>0.96913472700756298</v>
      </c>
      <c r="I1442" s="1102">
        <v>0.99719768087731653</v>
      </c>
      <c r="K1442">
        <v>1.5326852935860826</v>
      </c>
      <c r="L1442">
        <v>0</v>
      </c>
      <c r="M1442">
        <v>1.4418315439207912E-3</v>
      </c>
      <c r="N1442">
        <v>0.14074454757389349</v>
      </c>
      <c r="O1442">
        <v>0.12005224054002245</v>
      </c>
      <c r="P1442">
        <v>1.5658377777303997E-2</v>
      </c>
      <c r="Q1442">
        <v>9.107456717770368E-4</v>
      </c>
      <c r="R1442">
        <v>1.4384497142785578E-3</v>
      </c>
      <c r="S1442">
        <v>0.1160082443000047</v>
      </c>
      <c r="T1442">
        <v>0.81240283132987423</v>
      </c>
      <c r="U1442">
        <v>0</v>
      </c>
      <c r="V1442">
        <v>0.20343884811840868</v>
      </c>
      <c r="W1442">
        <v>9.1397568577720717E-2</v>
      </c>
      <c r="X1442">
        <v>2.8160285589273096E-2</v>
      </c>
      <c r="Y1442">
        <v>3.9149859374453637E-3</v>
      </c>
    </row>
    <row r="1443" spans="1:25" x14ac:dyDescent="0.25">
      <c r="A1443" s="1098"/>
      <c r="B1443" s="1457">
        <v>1193</v>
      </c>
      <c r="C1443" s="1102">
        <v>1.0219623312865378</v>
      </c>
      <c r="D1443" s="1102">
        <v>0.99635910868813682</v>
      </c>
      <c r="E1443" s="1102">
        <v>1.0014485703890366</v>
      </c>
      <c r="F1443" s="1102">
        <v>1.0377931824411795</v>
      </c>
      <c r="G1443" s="1102">
        <v>0.97229795566210486</v>
      </c>
      <c r="H1443" s="1102">
        <v>1.0019636846714319</v>
      </c>
      <c r="I1443" s="1102">
        <v>1.023616293493719</v>
      </c>
      <c r="K1443">
        <v>1.588840886840823</v>
      </c>
      <c r="L1443">
        <v>0</v>
      </c>
      <c r="M1443">
        <v>1.5350236004980744E-3</v>
      </c>
      <c r="N1443">
        <v>0.14186894737710909</v>
      </c>
      <c r="O1443">
        <v>0.12303522124087224</v>
      </c>
      <c r="P1443">
        <v>1.6126315044581219E-2</v>
      </c>
      <c r="Q1443">
        <v>8.8208778235258315E-4</v>
      </c>
      <c r="R1443">
        <v>1.5315581718423513E-3</v>
      </c>
      <c r="S1443">
        <v>0.12048452693402209</v>
      </c>
      <c r="T1443">
        <v>0.85633916004182109</v>
      </c>
      <c r="U1443">
        <v>0</v>
      </c>
      <c r="V1443">
        <v>0.20460471666082805</v>
      </c>
      <c r="W1443">
        <v>9.311809553247978E-2</v>
      </c>
      <c r="X1443">
        <v>2.8216885189673024E-2</v>
      </c>
      <c r="Y1443">
        <v>4.1683964657392219E-3</v>
      </c>
    </row>
    <row r="1444" spans="1:25" x14ac:dyDescent="0.25">
      <c r="A1444" s="1098"/>
      <c r="B1444" s="1457">
        <v>1194</v>
      </c>
      <c r="C1444" s="1102">
        <v>1.0031540036119315</v>
      </c>
      <c r="D1444" s="1102">
        <v>0.99876304355419332</v>
      </c>
      <c r="E1444" s="1102">
        <v>1.0089538710460708</v>
      </c>
      <c r="F1444" s="1102">
        <v>1.0425253730946176</v>
      </c>
      <c r="G1444" s="1102">
        <v>0.97707088602345105</v>
      </c>
      <c r="H1444" s="1102">
        <v>0.99941332164933339</v>
      </c>
      <c r="I1444" s="1102">
        <v>1.0208801319085326</v>
      </c>
      <c r="K1444">
        <v>1.6021038372271088</v>
      </c>
      <c r="L1444">
        <v>0</v>
      </c>
      <c r="M1444">
        <v>1.5321098337981579E-3</v>
      </c>
      <c r="N1444">
        <v>0.14484457791026151</v>
      </c>
      <c r="O1444">
        <v>0.12419829645649416</v>
      </c>
      <c r="P1444">
        <v>1.6310343906401788E-2</v>
      </c>
      <c r="Q1444">
        <v>9.0475416517324251E-4</v>
      </c>
      <c r="R1444">
        <v>1.5286373602033964E-3</v>
      </c>
      <c r="S1444">
        <v>0.12196803703107945</v>
      </c>
      <c r="T1444">
        <v>0.85972873551448059</v>
      </c>
      <c r="U1444">
        <v>0</v>
      </c>
      <c r="V1444">
        <v>0.20656579627134483</v>
      </c>
      <c r="W1444">
        <v>9.4649786283013723E-2</v>
      </c>
      <c r="X1444">
        <v>2.8776535183149599E-2</v>
      </c>
      <c r="Y1444">
        <v>4.1604469793032842E-3</v>
      </c>
    </row>
    <row r="1445" spans="1:25" x14ac:dyDescent="0.25">
      <c r="A1445" s="1098"/>
      <c r="B1445" s="1457">
        <v>1195</v>
      </c>
      <c r="C1445" s="1102">
        <v>0.98471801838792294</v>
      </c>
      <c r="D1445" s="1102">
        <v>1.0061307110235622</v>
      </c>
      <c r="E1445" s="1102">
        <v>0.99639209430004871</v>
      </c>
      <c r="F1445" s="1102">
        <v>0.99050541316722573</v>
      </c>
      <c r="G1445" s="1102">
        <v>0.95617427658310972</v>
      </c>
      <c r="H1445" s="1102">
        <v>1.01106747648591</v>
      </c>
      <c r="I1445" s="1102">
        <v>0.96984669255827827</v>
      </c>
      <c r="K1445">
        <v>1.5518048378448148</v>
      </c>
      <c r="L1445">
        <v>0</v>
      </c>
      <c r="M1445">
        <v>1.6055507779651117E-3</v>
      </c>
      <c r="N1445">
        <v>0.14613774855508732</v>
      </c>
      <c r="O1445">
        <v>0.12123489801803043</v>
      </c>
      <c r="P1445">
        <v>1.5501049883259697E-2</v>
      </c>
      <c r="Q1445">
        <v>9.0711275236687091E-4</v>
      </c>
      <c r="R1445">
        <v>1.6019305245379895E-3</v>
      </c>
      <c r="S1445">
        <v>0.11799828221412502</v>
      </c>
      <c r="T1445">
        <v>0.81765027367384424</v>
      </c>
      <c r="U1445">
        <v>0</v>
      </c>
      <c r="V1445">
        <v>0.20426203524885925</v>
      </c>
      <c r="W1445">
        <v>9.6208943822921014E-2</v>
      </c>
      <c r="X1445">
        <v>2.7548187118210714E-2</v>
      </c>
      <c r="Y1445">
        <v>4.3599268115369167E-3</v>
      </c>
    </row>
    <row r="1446" spans="1:25" x14ac:dyDescent="0.25">
      <c r="A1446" s="1098"/>
      <c r="B1446" s="1457">
        <v>1196</v>
      </c>
      <c r="C1446" s="1102">
        <v>1.0157712705235686</v>
      </c>
      <c r="D1446" s="1102">
        <v>1.0202114487744083</v>
      </c>
      <c r="E1446" s="1102">
        <v>0.9569349299214166</v>
      </c>
      <c r="F1446" s="1102">
        <v>0.969116877636643</v>
      </c>
      <c r="G1446" s="1102">
        <v>1.0278366380090036</v>
      </c>
      <c r="H1446" s="1102">
        <v>1.0330643225726479</v>
      </c>
      <c r="I1446" s="1102">
        <v>1.0169357799482959</v>
      </c>
      <c r="K1446">
        <v>1.5214825504237364</v>
      </c>
      <c r="L1446">
        <v>0</v>
      </c>
      <c r="M1446">
        <v>1.7129972772335841E-3</v>
      </c>
      <c r="N1446">
        <v>0.13837376488556538</v>
      </c>
      <c r="O1446">
        <v>0.11767014469108142</v>
      </c>
      <c r="P1446">
        <v>1.4864675364215145E-2</v>
      </c>
      <c r="Q1446">
        <v>8.3902078633652844E-4</v>
      </c>
      <c r="R1446">
        <v>1.7092106298473198E-3</v>
      </c>
      <c r="S1446">
        <v>0.12065216642843182</v>
      </c>
      <c r="T1446">
        <v>0.80254736770137303</v>
      </c>
      <c r="U1446">
        <v>0</v>
      </c>
      <c r="V1446">
        <v>0.20330066685994991</v>
      </c>
      <c r="W1446">
        <v>9.3300047378342563E-2</v>
      </c>
      <c r="X1446">
        <v>2.5286575082514088E-2</v>
      </c>
      <c r="Y1446">
        <v>4.6519078933117035E-3</v>
      </c>
    </row>
    <row r="1447" spans="1:25" x14ac:dyDescent="0.25">
      <c r="A1447" s="1098"/>
      <c r="B1447" s="1457">
        <v>1197</v>
      </c>
      <c r="C1447" s="1102">
        <v>0.95535794863102352</v>
      </c>
      <c r="D1447" s="1102">
        <v>1.0171466259067401</v>
      </c>
      <c r="E1447" s="1102">
        <v>0.98980788686442456</v>
      </c>
      <c r="F1447" s="1102">
        <v>0.96972426426019176</v>
      </c>
      <c r="G1447" s="1102">
        <v>0.9976445556183926</v>
      </c>
      <c r="H1447" s="1102">
        <v>1.0088405509218066</v>
      </c>
      <c r="I1447" s="1102">
        <v>1.0373987846079038</v>
      </c>
      <c r="K1447">
        <v>1.5514079706631767</v>
      </c>
      <c r="L1447">
        <v>0</v>
      </c>
      <c r="M1447">
        <v>1.6571862715771307E-3</v>
      </c>
      <c r="N1447">
        <v>0.14786262311149936</v>
      </c>
      <c r="O1447">
        <v>0.12084667503938223</v>
      </c>
      <c r="P1447">
        <v>1.5384639340495467E-2</v>
      </c>
      <c r="Q1447">
        <v>9.2456982253336442E-4</v>
      </c>
      <c r="R1447">
        <v>1.6534199435678262E-3</v>
      </c>
      <c r="S1447">
        <v>0.12871781225503492</v>
      </c>
      <c r="T1447">
        <v>0.80091859938315624</v>
      </c>
      <c r="U1447">
        <v>0</v>
      </c>
      <c r="V1447">
        <v>0.20730688157517319</v>
      </c>
      <c r="W1447">
        <v>9.7728279856958131E-2</v>
      </c>
      <c r="X1447">
        <v>2.7221592570296486E-2</v>
      </c>
      <c r="Y1447">
        <v>4.5000640366537111E-3</v>
      </c>
    </row>
    <row r="1448" spans="1:25" x14ac:dyDescent="0.25">
      <c r="A1448" s="1098"/>
      <c r="B1448" s="1457">
        <v>1198</v>
      </c>
      <c r="C1448" s="1102">
        <v>1.0453078501648225</v>
      </c>
      <c r="D1448" s="1102">
        <v>0.96354119757908918</v>
      </c>
      <c r="E1448" s="1102">
        <v>1.0008268083912448</v>
      </c>
      <c r="F1448" s="1102">
        <v>0.97874935497368343</v>
      </c>
      <c r="G1448" s="1102">
        <v>1.0265252071615252</v>
      </c>
      <c r="H1448" s="1102">
        <v>0.97771399138002713</v>
      </c>
      <c r="I1448" s="1102">
        <v>0.97726827746172873</v>
      </c>
      <c r="K1448">
        <v>1.5179415750794913</v>
      </c>
      <c r="L1448">
        <v>0</v>
      </c>
      <c r="M1448">
        <v>1.4903602867469246E-3</v>
      </c>
      <c r="N1448">
        <v>0.13747582345224968</v>
      </c>
      <c r="O1448">
        <v>0.11924397583936948</v>
      </c>
      <c r="P1448">
        <v>1.532830525189161E-2</v>
      </c>
      <c r="Q1448">
        <v>8.7345579315480689E-4</v>
      </c>
      <c r="R1448">
        <v>1.4869221266088954E-3</v>
      </c>
      <c r="S1448">
        <v>0.1126855276499073</v>
      </c>
      <c r="T1448">
        <v>0.8076590621125187</v>
      </c>
      <c r="U1448">
        <v>0</v>
      </c>
      <c r="V1448">
        <v>0.20313550654839777</v>
      </c>
      <c r="W1448">
        <v>9.0267915581230734E-2</v>
      </c>
      <c r="X1448">
        <v>2.722852914602478E-2</v>
      </c>
      <c r="Y1448">
        <v>4.0469118648821106E-3</v>
      </c>
    </row>
    <row r="1449" spans="1:25" x14ac:dyDescent="0.25">
      <c r="A1449" s="1098"/>
      <c r="B1449" s="1457">
        <v>1199</v>
      </c>
      <c r="C1449" s="1102">
        <v>0.97419690354924438</v>
      </c>
      <c r="D1449" s="1102">
        <v>1.0115406389177837</v>
      </c>
      <c r="E1449" s="1102">
        <v>0.99124955040639073</v>
      </c>
      <c r="F1449" s="1102">
        <v>0.96280365482891261</v>
      </c>
      <c r="G1449" s="1102">
        <v>1.0351958396997185</v>
      </c>
      <c r="H1449" s="1102">
        <v>1.0062443811342356</v>
      </c>
      <c r="I1449" s="1102">
        <v>1.0058328710585458</v>
      </c>
      <c r="K1449">
        <v>1.5334451583527779</v>
      </c>
      <c r="L1449">
        <v>0</v>
      </c>
      <c r="M1449">
        <v>1.6226207639301402E-3</v>
      </c>
      <c r="N1449">
        <v>0.14541066491527055</v>
      </c>
      <c r="O1449">
        <v>0.11958790596025125</v>
      </c>
      <c r="P1449">
        <v>1.5237936290446535E-2</v>
      </c>
      <c r="Q1449">
        <v>9.100633397765395E-4</v>
      </c>
      <c r="R1449">
        <v>1.6189301315200251E-3</v>
      </c>
      <c r="S1449">
        <v>0.12265664744681243</v>
      </c>
      <c r="T1449">
        <v>0.79511064699787837</v>
      </c>
      <c r="U1449">
        <v>0</v>
      </c>
      <c r="V1449">
        <v>0.20711664196333213</v>
      </c>
      <c r="W1449">
        <v>9.60247509718401E-2</v>
      </c>
      <c r="X1449">
        <v>2.6987396961756942E-2</v>
      </c>
      <c r="Y1449">
        <v>4.4061941378230832E-3</v>
      </c>
    </row>
    <row r="1450" spans="1:25" x14ac:dyDescent="0.25">
      <c r="A1450" s="1098"/>
      <c r="B1450" s="1457">
        <v>1200</v>
      </c>
      <c r="C1450" s="1102">
        <v>1.0107251816698815</v>
      </c>
      <c r="D1450" s="1102">
        <v>0.9916792148741379</v>
      </c>
      <c r="E1450" s="1102">
        <v>0.98683136164928986</v>
      </c>
      <c r="F1450" s="1102">
        <v>1.0152073512997417</v>
      </c>
      <c r="G1450" s="1102">
        <v>1.0154174602268418</v>
      </c>
      <c r="H1450" s="1102">
        <v>0.999117795687118</v>
      </c>
      <c r="I1450" s="1102">
        <v>0.97974218621058895</v>
      </c>
      <c r="K1450">
        <v>1.5667486108517936</v>
      </c>
      <c r="L1450">
        <v>0</v>
      </c>
      <c r="M1450">
        <v>1.5956942994304144E-3</v>
      </c>
      <c r="N1450">
        <v>0.14110100997832636</v>
      </c>
      <c r="O1450">
        <v>0.12229700864119179</v>
      </c>
      <c r="P1450">
        <v>1.5682849686159763E-2</v>
      </c>
      <c r="Q1450">
        <v>8.8009396885245148E-4</v>
      </c>
      <c r="R1450">
        <v>1.592075765487399E-3</v>
      </c>
      <c r="S1450">
        <v>0.11649595728336856</v>
      </c>
      <c r="T1450">
        <v>0.83868479535928908</v>
      </c>
      <c r="U1450">
        <v>0</v>
      </c>
      <c r="V1450">
        <v>0.20643072111631047</v>
      </c>
      <c r="W1450">
        <v>9.3425923655549636E-2</v>
      </c>
      <c r="X1450">
        <v>2.742076429066646E-2</v>
      </c>
      <c r="Y1450">
        <v>4.3331054060216576E-3</v>
      </c>
    </row>
    <row r="1451" spans="1:25" x14ac:dyDescent="0.25">
      <c r="A1451" s="1098"/>
      <c r="B1451" s="1457">
        <v>1201</v>
      </c>
      <c r="C1451" s="1102">
        <v>0.97504471538018866</v>
      </c>
      <c r="D1451" s="1102">
        <v>1.003085168890679</v>
      </c>
      <c r="E1451" s="1102">
        <v>1.0189018411842199</v>
      </c>
      <c r="F1451" s="1102">
        <v>1.0424299717563053</v>
      </c>
      <c r="G1451" s="1102">
        <v>0.99374081647198964</v>
      </c>
      <c r="H1451" s="1102">
        <v>1.0058611092802257</v>
      </c>
      <c r="I1451" s="1102">
        <v>0.9894351994264281</v>
      </c>
      <c r="K1451">
        <v>1.6154397190162157</v>
      </c>
      <c r="L1451">
        <v>0</v>
      </c>
      <c r="M1451">
        <v>1.5470157770099868E-3</v>
      </c>
      <c r="N1451">
        <v>0.150712773415629</v>
      </c>
      <c r="O1451">
        <v>0.12546482821785571</v>
      </c>
      <c r="P1451">
        <v>1.6458455836368943E-2</v>
      </c>
      <c r="Q1451">
        <v>9.387930038963013E-4</v>
      </c>
      <c r="R1451">
        <v>1.5435223556353691E-3</v>
      </c>
      <c r="S1451">
        <v>0.12167971970864966</v>
      </c>
      <c r="T1451">
        <v>0.85897015804660959</v>
      </c>
      <c r="U1451">
        <v>0</v>
      </c>
      <c r="V1451">
        <v>0.20963731036408112</v>
      </c>
      <c r="W1451">
        <v>9.7910148944769182E-2</v>
      </c>
      <c r="X1451">
        <v>2.9470065869698386E-2</v>
      </c>
      <c r="Y1451">
        <v>4.2009590300316878E-3</v>
      </c>
    </row>
    <row r="1452" spans="1:25" x14ac:dyDescent="0.25">
      <c r="A1452" s="1098"/>
      <c r="B1452" s="1457">
        <v>1202</v>
      </c>
      <c r="C1452" s="1102">
        <v>1.0026123976487435</v>
      </c>
      <c r="D1452" s="1102">
        <v>1.0013024969890465</v>
      </c>
      <c r="E1452" s="1102">
        <v>0.99809663378182656</v>
      </c>
      <c r="F1452" s="1102">
        <v>1.0212475786615069</v>
      </c>
      <c r="G1452" s="1102">
        <v>0.99807863150483833</v>
      </c>
      <c r="H1452" s="1102">
        <v>0.96463224785148571</v>
      </c>
      <c r="I1452" s="1102">
        <v>0.99823048974460105</v>
      </c>
      <c r="K1452">
        <v>1.565788809417997</v>
      </c>
      <c r="L1452">
        <v>0</v>
      </c>
      <c r="M1452">
        <v>1.5087495104698218E-3</v>
      </c>
      <c r="N1452">
        <v>0.13802247188975983</v>
      </c>
      <c r="O1452">
        <v>0.12267378362115058</v>
      </c>
      <c r="P1452">
        <v>1.586960395907637E-2</v>
      </c>
      <c r="Q1452">
        <v>8.9421999133740889E-4</v>
      </c>
      <c r="R1452">
        <v>1.505199590708514E-3</v>
      </c>
      <c r="S1452">
        <v>0.11625219812093177</v>
      </c>
      <c r="T1452">
        <v>0.84291249118594025</v>
      </c>
      <c r="U1452">
        <v>0</v>
      </c>
      <c r="V1452">
        <v>0.20636901432289675</v>
      </c>
      <c r="W1452">
        <v>9.0774089229965313E-2</v>
      </c>
      <c r="X1452">
        <v>2.7927829919702288E-2</v>
      </c>
      <c r="Y1452">
        <v>4.0966570969968516E-3</v>
      </c>
    </row>
    <row r="1453" spans="1:25" x14ac:dyDescent="0.25">
      <c r="A1453" s="1098"/>
      <c r="B1453" s="1457">
        <v>1203</v>
      </c>
      <c r="C1453" s="1102">
        <v>1.0053522814470264</v>
      </c>
      <c r="D1453" s="1102">
        <v>0.99764047818132795</v>
      </c>
      <c r="E1453" s="1102">
        <v>0.99368806340822025</v>
      </c>
      <c r="F1453" s="1102">
        <v>1.0286570861628326</v>
      </c>
      <c r="G1453" s="1102">
        <v>0.99942733118237359</v>
      </c>
      <c r="H1453" s="1102">
        <v>1.0015119844866798</v>
      </c>
      <c r="I1453" s="1102">
        <v>0.99660022677072002</v>
      </c>
      <c r="K1453">
        <v>1.5840715140657076</v>
      </c>
      <c r="L1453">
        <v>0</v>
      </c>
      <c r="M1453">
        <v>1.5809503222795802E-3</v>
      </c>
      <c r="N1453">
        <v>0.14272620245785655</v>
      </c>
      <c r="O1453">
        <v>0.12321858349994218</v>
      </c>
      <c r="P1453">
        <v>1.5945273597284832E-2</v>
      </c>
      <c r="Q1453">
        <v>8.8900915972927187E-4</v>
      </c>
      <c r="R1453">
        <v>1.5773723349412233E-3</v>
      </c>
      <c r="S1453">
        <v>0.11895684143041223</v>
      </c>
      <c r="T1453">
        <v>0.84932808465903142</v>
      </c>
      <c r="U1453">
        <v>0</v>
      </c>
      <c r="V1453">
        <v>0.20668102576403008</v>
      </c>
      <c r="W1453">
        <v>9.4114697823004551E-2</v>
      </c>
      <c r="X1453">
        <v>2.7922286146692468E-2</v>
      </c>
      <c r="Y1453">
        <v>4.2930875150595437E-3</v>
      </c>
    </row>
    <row r="1454" spans="1:25" x14ac:dyDescent="0.25">
      <c r="A1454" s="1098"/>
      <c r="B1454" s="1457">
        <v>1204</v>
      </c>
      <c r="C1454" s="1102">
        <v>1.0157804740065259</v>
      </c>
      <c r="D1454" s="1102">
        <v>0.98168426097188133</v>
      </c>
      <c r="E1454" s="1102">
        <v>1.0105433170004845</v>
      </c>
      <c r="F1454" s="1102">
        <v>1.0151647301405</v>
      </c>
      <c r="G1454" s="1102">
        <v>0.98291002438815755</v>
      </c>
      <c r="H1454" s="1102">
        <v>1.0029600651018831</v>
      </c>
      <c r="I1454" s="1102">
        <v>0.97517718723530933</v>
      </c>
      <c r="K1454">
        <v>1.5698707637879528</v>
      </c>
      <c r="L1454">
        <v>0</v>
      </c>
      <c r="M1454">
        <v>1.5266835231729664E-3</v>
      </c>
      <c r="N1454">
        <v>0.14502759761649767</v>
      </c>
      <c r="O1454">
        <v>0.12241634517322529</v>
      </c>
      <c r="P1454">
        <v>1.591912010681782E-2</v>
      </c>
      <c r="Q1454">
        <v>9.0116971222181283E-4</v>
      </c>
      <c r="R1454">
        <v>1.5232418554730076E-3</v>
      </c>
      <c r="S1454">
        <v>0.1164454627790194</v>
      </c>
      <c r="T1454">
        <v>0.83705950511460758</v>
      </c>
      <c r="U1454">
        <v>0</v>
      </c>
      <c r="V1454">
        <v>0.2048913379581421</v>
      </c>
      <c r="W1454">
        <v>9.4680582529910629E-2</v>
      </c>
      <c r="X1454">
        <v>2.8387322271153467E-2</v>
      </c>
      <c r="Y1454">
        <v>4.1457621940548216E-3</v>
      </c>
    </row>
    <row r="1455" spans="1:25" x14ac:dyDescent="0.25">
      <c r="A1455" s="1098"/>
      <c r="B1455" s="1457">
        <v>1205</v>
      </c>
      <c r="C1455" s="1102">
        <v>0.98060591812233477</v>
      </c>
      <c r="D1455" s="1102">
        <v>0.99818132008095628</v>
      </c>
      <c r="E1455" s="1102">
        <v>1.0219714384667919</v>
      </c>
      <c r="F1455" s="1102">
        <v>1.0165949437543416</v>
      </c>
      <c r="G1455" s="1102">
        <v>1.0350222175574821</v>
      </c>
      <c r="H1455" s="1102">
        <v>1.0082646903816961</v>
      </c>
      <c r="I1455" s="1102">
        <v>1.0409803179764223</v>
      </c>
      <c r="K1455">
        <v>1.5978484299381528</v>
      </c>
      <c r="L1455">
        <v>0</v>
      </c>
      <c r="M1455">
        <v>1.5340605229323765E-3</v>
      </c>
      <c r="N1455">
        <v>0.15084157572452506</v>
      </c>
      <c r="O1455">
        <v>0.12356796068735354</v>
      </c>
      <c r="P1455">
        <v>1.628446683839925E-2</v>
      </c>
      <c r="Q1455">
        <v>9.3824976491914522E-4</v>
      </c>
      <c r="R1455">
        <v>1.5306022568023939E-3</v>
      </c>
      <c r="S1455">
        <v>0.12774721503758912</v>
      </c>
      <c r="T1455">
        <v>0.83747796138445973</v>
      </c>
      <c r="U1455">
        <v>0</v>
      </c>
      <c r="V1455">
        <v>0.20982054983247242</v>
      </c>
      <c r="W1455">
        <v>9.7818058306543693E-2</v>
      </c>
      <c r="X1455">
        <v>2.9190055847903042E-2</v>
      </c>
      <c r="Y1455">
        <v>4.1657947801177668E-3</v>
      </c>
    </row>
    <row r="1456" spans="1:25" x14ac:dyDescent="0.25">
      <c r="A1456" s="1098"/>
      <c r="B1456" s="1457">
        <v>1206</v>
      </c>
      <c r="C1456" s="1102">
        <v>1.0170261585830846</v>
      </c>
      <c r="D1456" s="1102">
        <v>1.0090083022501752</v>
      </c>
      <c r="E1456" s="1102">
        <v>1.012994742786214</v>
      </c>
      <c r="F1456" s="1102">
        <v>0.96650287677779023</v>
      </c>
      <c r="G1456" s="1102">
        <v>1.020929250262647</v>
      </c>
      <c r="H1456" s="1102">
        <v>1.0446873064996109</v>
      </c>
      <c r="I1456" s="1102">
        <v>1.0157279972886726</v>
      </c>
      <c r="K1456">
        <v>1.5329988926280931</v>
      </c>
      <c r="L1456">
        <v>0</v>
      </c>
      <c r="M1456">
        <v>1.5500953381711747E-3</v>
      </c>
      <c r="N1456">
        <v>0.14835601920556787</v>
      </c>
      <c r="O1456">
        <v>0.11774289846940908</v>
      </c>
      <c r="P1456">
        <v>1.5448693803027923E-2</v>
      </c>
      <c r="Q1456">
        <v>8.9248740378183855E-4</v>
      </c>
      <c r="R1456">
        <v>1.5467127033598675E-3</v>
      </c>
      <c r="S1456">
        <v>0.12216829550838594</v>
      </c>
      <c r="T1456">
        <v>0.7967796067928371</v>
      </c>
      <c r="U1456">
        <v>0</v>
      </c>
      <c r="V1456">
        <v>0.20316733438937737</v>
      </c>
      <c r="W1456">
        <v>9.6713816311331913E-2</v>
      </c>
      <c r="X1456">
        <v>2.7523481274344144E-2</v>
      </c>
      <c r="Y1456">
        <v>4.209642104839928E-3</v>
      </c>
    </row>
    <row r="1457" spans="1:25" x14ac:dyDescent="0.25">
      <c r="A1457" s="1098"/>
      <c r="B1457" s="1457">
        <v>1207</v>
      </c>
      <c r="C1457" s="1102">
        <v>0.97326747519071333</v>
      </c>
      <c r="D1457" s="1102">
        <v>1.0246706597203705</v>
      </c>
      <c r="E1457" s="1102">
        <v>1.0288961914171666</v>
      </c>
      <c r="F1457" s="1102">
        <v>0.97940655440069746</v>
      </c>
      <c r="G1457" s="1102">
        <v>1.0072326314825693</v>
      </c>
      <c r="H1457" s="1102">
        <v>0.99777744768593046</v>
      </c>
      <c r="I1457" s="1102">
        <v>1.0383076243026259</v>
      </c>
      <c r="K1457">
        <v>1.5524186083938796</v>
      </c>
      <c r="L1457">
        <v>0</v>
      </c>
      <c r="M1457">
        <v>1.4804552699119798E-3</v>
      </c>
      <c r="N1457">
        <v>0.1486362902828898</v>
      </c>
      <c r="O1457">
        <v>0.12015875053594</v>
      </c>
      <c r="P1457">
        <v>1.5853083633062696E-2</v>
      </c>
      <c r="Q1457">
        <v>9.4212183629162804E-4</v>
      </c>
      <c r="R1457">
        <v>1.477056605287535E-3</v>
      </c>
      <c r="S1457">
        <v>0.12524906928976337</v>
      </c>
      <c r="T1457">
        <v>0.80639976529260027</v>
      </c>
      <c r="U1457">
        <v>0</v>
      </c>
      <c r="V1457">
        <v>0.20649690049611405</v>
      </c>
      <c r="W1457">
        <v>9.5999915592240109E-2</v>
      </c>
      <c r="X1457">
        <v>2.8666048931586818E-2</v>
      </c>
      <c r="Y1457">
        <v>4.0200611680135971E-3</v>
      </c>
    </row>
    <row r="1458" spans="1:25" x14ac:dyDescent="0.25">
      <c r="A1458" s="1098"/>
      <c r="B1458" s="1457">
        <v>1208</v>
      </c>
      <c r="C1458" s="1102">
        <v>0.98941185040430712</v>
      </c>
      <c r="D1458" s="1102">
        <v>0.98089413097689204</v>
      </c>
      <c r="E1458" s="1102">
        <v>0.98940280715864715</v>
      </c>
      <c r="F1458" s="1102">
        <v>1.0390598658196559</v>
      </c>
      <c r="G1458" s="1102">
        <v>1.0213475246558352</v>
      </c>
      <c r="H1458" s="1102">
        <v>1.0120115504013967</v>
      </c>
      <c r="I1458" s="1102">
        <v>1.026907281882075</v>
      </c>
      <c r="K1458">
        <v>1.6150258901599188</v>
      </c>
      <c r="L1458">
        <v>0</v>
      </c>
      <c r="M1458">
        <v>1.6529206467623737E-3</v>
      </c>
      <c r="N1458">
        <v>0.14730718770766896</v>
      </c>
      <c r="O1458">
        <v>0.12555729296834175</v>
      </c>
      <c r="P1458">
        <v>1.6164273996218073E-2</v>
      </c>
      <c r="Q1458">
        <v>9.0541958715228607E-4</v>
      </c>
      <c r="R1458">
        <v>1.6492276744485719E-3</v>
      </c>
      <c r="S1458">
        <v>0.12665017681996973</v>
      </c>
      <c r="T1458">
        <v>0.85821246749334079</v>
      </c>
      <c r="U1458">
        <v>0</v>
      </c>
      <c r="V1458">
        <v>0.21008050650217669</v>
      </c>
      <c r="W1458">
        <v>9.7384807166992396E-2</v>
      </c>
      <c r="X1458">
        <v>2.8278796828276935E-2</v>
      </c>
      <c r="Y1458">
        <v>4.4886540620922444E-3</v>
      </c>
    </row>
    <row r="1459" spans="1:25" x14ac:dyDescent="0.25">
      <c r="A1459" s="1098"/>
      <c r="B1459" s="1457">
        <v>1209</v>
      </c>
      <c r="C1459" s="1102">
        <v>1.0012708238486085</v>
      </c>
      <c r="D1459" s="1102">
        <v>1.0066352944680226</v>
      </c>
      <c r="E1459" s="1102">
        <v>0.98657119536458349</v>
      </c>
      <c r="F1459" s="1102">
        <v>0.97191850328131468</v>
      </c>
      <c r="G1459" s="1102">
        <v>0.98299806990241523</v>
      </c>
      <c r="H1459" s="1102">
        <v>0.97082290148373174</v>
      </c>
      <c r="I1459" s="1102">
        <v>1.0088090952041797</v>
      </c>
      <c r="K1459">
        <v>1.5165402833880868</v>
      </c>
      <c r="L1459">
        <v>0</v>
      </c>
      <c r="M1459">
        <v>1.5465288013980472E-3</v>
      </c>
      <c r="N1459">
        <v>0.13663480222581301</v>
      </c>
      <c r="O1459">
        <v>0.11907882377363205</v>
      </c>
      <c r="P1459">
        <v>1.5164663951246637E-2</v>
      </c>
      <c r="Q1459">
        <v>8.8286075232171335E-4</v>
      </c>
      <c r="R1459">
        <v>1.5428959495777739E-3</v>
      </c>
      <c r="S1459">
        <v>0.11744129160591618</v>
      </c>
      <c r="T1459">
        <v>0.80293974071930296</v>
      </c>
      <c r="U1459">
        <v>0</v>
      </c>
      <c r="V1459">
        <v>0.20306002290806044</v>
      </c>
      <c r="W1459">
        <v>9.0482892293296133E-2</v>
      </c>
      <c r="X1459">
        <v>2.6659563851079152E-2</v>
      </c>
      <c r="Y1459">
        <v>4.1992541592376148E-3</v>
      </c>
    </row>
    <row r="1460" spans="1:25" x14ac:dyDescent="0.25">
      <c r="A1460" s="1098"/>
      <c r="B1460" s="1457">
        <v>1210</v>
      </c>
      <c r="C1460" s="1102">
        <v>0.97039163847855037</v>
      </c>
      <c r="D1460" s="1102">
        <v>0.99297061863998048</v>
      </c>
      <c r="E1460" s="1102">
        <v>0.9618831955985262</v>
      </c>
      <c r="F1460" s="1102">
        <v>0.9899031186940398</v>
      </c>
      <c r="G1460" s="1102">
        <v>1.0321963790106328</v>
      </c>
      <c r="H1460" s="1102">
        <v>1.0426337071198368</v>
      </c>
      <c r="I1460" s="1102">
        <v>1.0030170819408033</v>
      </c>
      <c r="K1460">
        <v>1.5751302862566607</v>
      </c>
      <c r="L1460">
        <v>0</v>
      </c>
      <c r="M1460">
        <v>1.8157310097593529E-3</v>
      </c>
      <c r="N1460">
        <v>0.14889222127647123</v>
      </c>
      <c r="O1460">
        <v>0.12262677749200739</v>
      </c>
      <c r="P1460">
        <v>1.5311499238284636E-2</v>
      </c>
      <c r="Q1460">
        <v>8.9248349875523667E-4</v>
      </c>
      <c r="R1460">
        <v>1.811764793548359E-3</v>
      </c>
      <c r="S1460">
        <v>0.12723234513554105</v>
      </c>
      <c r="T1460">
        <v>0.81943115184863391</v>
      </c>
      <c r="U1460">
        <v>0</v>
      </c>
      <c r="V1460">
        <v>0.20925339715885008</v>
      </c>
      <c r="W1460">
        <v>0.10008779003520818</v>
      </c>
      <c r="X1460">
        <v>2.6475560269185641E-2</v>
      </c>
      <c r="Y1460">
        <v>4.9310265199349543E-3</v>
      </c>
    </row>
    <row r="1461" spans="1:25" x14ac:dyDescent="0.25">
      <c r="A1461" s="1098"/>
      <c r="B1461" s="1457">
        <v>1211</v>
      </c>
      <c r="C1461" s="1102">
        <v>1.0247582147814163</v>
      </c>
      <c r="D1461" s="1102">
        <v>1.0250180688853301</v>
      </c>
      <c r="E1461" s="1102">
        <v>1.0125447971772736</v>
      </c>
      <c r="F1461" s="1102">
        <v>0.98190422215840412</v>
      </c>
      <c r="G1461" s="1102">
        <v>1.0401251766273183</v>
      </c>
      <c r="H1461" s="1102">
        <v>0.98793698125885332</v>
      </c>
      <c r="I1461" s="1102">
        <v>0.98409225367482855</v>
      </c>
      <c r="K1461">
        <v>1.5192470630609496</v>
      </c>
      <c r="L1461">
        <v>0</v>
      </c>
      <c r="M1461">
        <v>1.4457719865999762E-3</v>
      </c>
      <c r="N1461">
        <v>0.1381660358263222</v>
      </c>
      <c r="O1461">
        <v>0.11776687749529238</v>
      </c>
      <c r="P1461">
        <v>1.5489944654839579E-2</v>
      </c>
      <c r="Q1461">
        <v>8.7978563815343765E-4</v>
      </c>
      <c r="R1461">
        <v>1.4424328264329874E-3</v>
      </c>
      <c r="S1461">
        <v>0.11224624604090697</v>
      </c>
      <c r="T1461">
        <v>0.8095053734219172</v>
      </c>
      <c r="U1461">
        <v>0</v>
      </c>
      <c r="V1461">
        <v>0.20374569382618782</v>
      </c>
      <c r="W1461">
        <v>9.0094778814126558E-2</v>
      </c>
      <c r="X1461">
        <v>2.7429839847669994E-2</v>
      </c>
      <c r="Y1461">
        <v>3.9258266556971523E-3</v>
      </c>
    </row>
    <row r="1462" spans="1:25" x14ac:dyDescent="0.25">
      <c r="A1462" s="1098"/>
      <c r="B1462" s="1457">
        <v>1212</v>
      </c>
      <c r="C1462" s="1102">
        <v>1.0119691331908922</v>
      </c>
      <c r="D1462" s="1102">
        <v>0.98542643728002766</v>
      </c>
      <c r="E1462" s="1102">
        <v>1.0005782448318841</v>
      </c>
      <c r="F1462" s="1102">
        <v>0.97125364723902052</v>
      </c>
      <c r="G1462" s="1102">
        <v>0.9842455544414952</v>
      </c>
      <c r="H1462" s="1102">
        <v>0.9674275801171156</v>
      </c>
      <c r="I1462" s="1102">
        <v>1.018449808882012</v>
      </c>
      <c r="K1462">
        <v>1.518945690257415</v>
      </c>
      <c r="L1462">
        <v>0</v>
      </c>
      <c r="M1462">
        <v>1.500223874733013E-3</v>
      </c>
      <c r="N1462">
        <v>0.13827619993792814</v>
      </c>
      <c r="O1462">
        <v>0.11937354262192791</v>
      </c>
      <c r="P1462">
        <v>1.5318398687394714E-2</v>
      </c>
      <c r="Q1462">
        <v>8.9393188095662887E-4</v>
      </c>
      <c r="R1462">
        <v>1.4967023931322279E-3</v>
      </c>
      <c r="S1462">
        <v>0.11862051983911359</v>
      </c>
      <c r="T1462">
        <v>0.80148957318708192</v>
      </c>
      <c r="U1462">
        <v>0</v>
      </c>
      <c r="V1462">
        <v>0.20284473663073363</v>
      </c>
      <c r="W1462">
        <v>9.0806856993675966E-2</v>
      </c>
      <c r="X1462">
        <v>2.7251921433906583E-2</v>
      </c>
      <c r="Y1462">
        <v>4.0735305262946291E-3</v>
      </c>
    </row>
    <row r="1463" spans="1:25" x14ac:dyDescent="0.25">
      <c r="A1463" s="1098"/>
      <c r="B1463" s="1457">
        <v>1213</v>
      </c>
      <c r="C1463" s="1102">
        <v>1.0004261495507207</v>
      </c>
      <c r="D1463" s="1102">
        <v>0.99432393350458026</v>
      </c>
      <c r="E1463" s="1102">
        <v>1.0062086295574322</v>
      </c>
      <c r="F1463" s="1102">
        <v>0.96339951823933934</v>
      </c>
      <c r="G1463" s="1102">
        <v>0.97340648289932719</v>
      </c>
      <c r="H1463" s="1102">
        <v>0.99489653659937394</v>
      </c>
      <c r="I1463" s="1102">
        <v>1.0093134158175672</v>
      </c>
      <c r="K1463">
        <v>1.522168858166578</v>
      </c>
      <c r="L1463">
        <v>0</v>
      </c>
      <c r="M1463">
        <v>1.5323928672389248E-3</v>
      </c>
      <c r="N1463">
        <v>0.1436721229359047</v>
      </c>
      <c r="O1463">
        <v>0.11899384735774678</v>
      </c>
      <c r="P1463">
        <v>1.5310410075163832E-2</v>
      </c>
      <c r="Q1463">
        <v>9.0626633865362508E-4</v>
      </c>
      <c r="R1463">
        <v>1.5288847723689707E-3</v>
      </c>
      <c r="S1463">
        <v>0.12036999229112867</v>
      </c>
      <c r="T1463">
        <v>0.79465077016559404</v>
      </c>
      <c r="U1463">
        <v>0</v>
      </c>
      <c r="V1463">
        <v>0.2026509245163928</v>
      </c>
      <c r="W1463">
        <v>9.4036029407914806E-2</v>
      </c>
      <c r="X1463">
        <v>2.742088281928905E-2</v>
      </c>
      <c r="Y1463">
        <v>4.1611203536585789E-3</v>
      </c>
    </row>
    <row r="1464" spans="1:25" x14ac:dyDescent="0.25">
      <c r="A1464" s="1098"/>
      <c r="B1464" s="1457">
        <v>1214</v>
      </c>
      <c r="C1464" s="1102">
        <v>0.99970367169254215</v>
      </c>
      <c r="D1464" s="1102">
        <v>1.0068613620293165</v>
      </c>
      <c r="E1464" s="1102">
        <v>1.0053418040208464</v>
      </c>
      <c r="F1464" s="1102">
        <v>0.99372437804367064</v>
      </c>
      <c r="G1464" s="1102">
        <v>1.0133655431780371</v>
      </c>
      <c r="H1464" s="1102">
        <v>0.96216868829152535</v>
      </c>
      <c r="I1464" s="1102">
        <v>1.0106139214915604</v>
      </c>
      <c r="K1464">
        <v>1.5404795157028379</v>
      </c>
      <c r="L1464">
        <v>0</v>
      </c>
      <c r="M1464">
        <v>1.4787187152085822E-3</v>
      </c>
      <c r="N1464">
        <v>0.13826666109089714</v>
      </c>
      <c r="O1464">
        <v>0.12063291134167885</v>
      </c>
      <c r="P1464">
        <v>1.5643501495534225E-2</v>
      </c>
      <c r="Q1464">
        <v>9.015789628011449E-4</v>
      </c>
      <c r="R1464">
        <v>1.4752193445173756E-3</v>
      </c>
      <c r="S1464">
        <v>0.11728814235453131</v>
      </c>
      <c r="T1464">
        <v>0.81972064022986346</v>
      </c>
      <c r="U1464">
        <v>0</v>
      </c>
      <c r="V1464">
        <v>0.20572301381456917</v>
      </c>
      <c r="W1464">
        <v>9.0544479822278534E-2</v>
      </c>
      <c r="X1464">
        <v>2.7747025211524886E-2</v>
      </c>
      <c r="Y1464">
        <v>4.0150607498500744E-3</v>
      </c>
    </row>
    <row r="1465" spans="1:25" x14ac:dyDescent="0.25">
      <c r="A1465" s="1098"/>
      <c r="B1465" s="1457">
        <v>1215</v>
      </c>
      <c r="C1465" s="1102">
        <v>1.013977521290705</v>
      </c>
      <c r="D1465" s="1102">
        <v>0.99041138714457921</v>
      </c>
      <c r="E1465" s="1102">
        <v>1.0181023862975089</v>
      </c>
      <c r="F1465" s="1102">
        <v>0.99080304940190944</v>
      </c>
      <c r="G1465" s="1102">
        <v>0.99502693550457866</v>
      </c>
      <c r="H1465" s="1102">
        <v>0.98215157421964261</v>
      </c>
      <c r="I1465" s="1102">
        <v>0.97091151706639345</v>
      </c>
      <c r="K1465">
        <v>1.5382371058079967</v>
      </c>
      <c r="L1465">
        <v>0</v>
      </c>
      <c r="M1465">
        <v>1.4640150046750411E-3</v>
      </c>
      <c r="N1465">
        <v>0.14227568912567665</v>
      </c>
      <c r="O1465">
        <v>0.12039161974187876</v>
      </c>
      <c r="P1465">
        <v>1.5675870871674918E-2</v>
      </c>
      <c r="Q1465">
        <v>9.0660574824586891E-4</v>
      </c>
      <c r="R1465">
        <v>1.4606329681555736E-3</v>
      </c>
      <c r="S1465">
        <v>0.11380216581643754</v>
      </c>
      <c r="T1465">
        <v>0.8164810010683976</v>
      </c>
      <c r="U1465">
        <v>0</v>
      </c>
      <c r="V1465">
        <v>0.20407101298779129</v>
      </c>
      <c r="W1465">
        <v>9.2472312087164998E-2</v>
      </c>
      <c r="X1465">
        <v>2.8188848955456924E-2</v>
      </c>
      <c r="Y1465">
        <v>3.9753614417909243E-3</v>
      </c>
    </row>
    <row r="1466" spans="1:25" x14ac:dyDescent="0.25">
      <c r="A1466" s="1098"/>
      <c r="B1466" s="1457">
        <v>1216</v>
      </c>
      <c r="C1466" s="1102">
        <v>1.015901186658448</v>
      </c>
      <c r="D1466" s="1102">
        <v>1.0044329022598577</v>
      </c>
      <c r="E1466" s="1102">
        <v>1.0061999038687146</v>
      </c>
      <c r="F1466" s="1102">
        <v>0.99207773224552254</v>
      </c>
      <c r="G1466" s="1102">
        <v>1.0068396627118561</v>
      </c>
      <c r="H1466" s="1102">
        <v>1.022919271650222</v>
      </c>
      <c r="I1466" s="1102">
        <v>1.0080936135842684</v>
      </c>
      <c r="K1466">
        <v>1.5508887116450991</v>
      </c>
      <c r="L1466">
        <v>0</v>
      </c>
      <c r="M1466">
        <v>1.5479917619542248E-3</v>
      </c>
      <c r="N1466">
        <v>0.14514048203668478</v>
      </c>
      <c r="O1466">
        <v>0.11980264208345758</v>
      </c>
      <c r="P1466">
        <v>1.5650648101819285E-2</v>
      </c>
      <c r="Q1466">
        <v>8.8884960897577068E-4</v>
      </c>
      <c r="R1466">
        <v>1.5445509926899212E-3</v>
      </c>
      <c r="S1466">
        <v>0.12014684975456463</v>
      </c>
      <c r="T1466">
        <v>0.81830628720045495</v>
      </c>
      <c r="U1466">
        <v>0</v>
      </c>
      <c r="V1466">
        <v>0.20407071307291386</v>
      </c>
      <c r="W1466">
        <v>9.4997587524121879E-2</v>
      </c>
      <c r="X1466">
        <v>2.7684334390365346E-2</v>
      </c>
      <c r="Y1466">
        <v>4.2037586410040642E-3</v>
      </c>
    </row>
    <row r="1467" spans="1:25" x14ac:dyDescent="0.25">
      <c r="A1467" s="1098"/>
      <c r="B1467" s="1457">
        <v>1217</v>
      </c>
      <c r="C1467" s="1102">
        <v>1.0307649289904963</v>
      </c>
      <c r="D1467" s="1102">
        <v>1.0278419104914911</v>
      </c>
      <c r="E1467" s="1102">
        <v>1.0128928194975955</v>
      </c>
      <c r="F1467" s="1102">
        <v>0.98348776150271877</v>
      </c>
      <c r="G1467" s="1102">
        <v>0.99355535448416421</v>
      </c>
      <c r="H1467" s="1102">
        <v>1.0307758521774977</v>
      </c>
      <c r="I1467" s="1102">
        <v>0.97636610691367831</v>
      </c>
      <c r="K1467">
        <v>1.5276445949095168</v>
      </c>
      <c r="L1467">
        <v>0</v>
      </c>
      <c r="M1467">
        <v>1.4970417552713712E-3</v>
      </c>
      <c r="N1467">
        <v>0.14322982609340731</v>
      </c>
      <c r="O1467">
        <v>0.11746648222084539</v>
      </c>
      <c r="P1467">
        <v>1.5496739506446132E-2</v>
      </c>
      <c r="Q1467">
        <v>8.7400994266463258E-4</v>
      </c>
      <c r="R1467">
        <v>1.4937281026955124E-3</v>
      </c>
      <c r="S1467">
        <v>0.11374410150000293</v>
      </c>
      <c r="T1467">
        <v>0.8107884268352098</v>
      </c>
      <c r="U1467">
        <v>0</v>
      </c>
      <c r="V1467">
        <v>0.20116987792519786</v>
      </c>
      <c r="W1467">
        <v>9.3377631789881829E-2</v>
      </c>
      <c r="X1467">
        <v>2.7435377260236846E-2</v>
      </c>
      <c r="Y1467">
        <v>4.0654354882004688E-3</v>
      </c>
    </row>
    <row r="1468" spans="1:25" x14ac:dyDescent="0.25">
      <c r="A1468" s="1098"/>
      <c r="B1468" s="1457">
        <v>1218</v>
      </c>
      <c r="C1468" s="1102">
        <v>0.95629404552656561</v>
      </c>
      <c r="D1468" s="1102">
        <v>0.99313718024393438</v>
      </c>
      <c r="E1468" s="1102">
        <v>1.0307188617232605</v>
      </c>
      <c r="F1468" s="1102">
        <v>0.96722730417649205</v>
      </c>
      <c r="G1468" s="1102">
        <v>1.0095985331061468</v>
      </c>
      <c r="H1468" s="1102">
        <v>1.0022140774440365</v>
      </c>
      <c r="I1468" s="1102">
        <v>1.0144264532200891</v>
      </c>
      <c r="K1468">
        <v>1.5574748717390063</v>
      </c>
      <c r="L1468">
        <v>0</v>
      </c>
      <c r="M1468">
        <v>1.5308377781282341E-3</v>
      </c>
      <c r="N1468">
        <v>0.15454400785820968</v>
      </c>
      <c r="O1468">
        <v>0.12154558785576501</v>
      </c>
      <c r="P1468">
        <v>1.5784738426917189E-2</v>
      </c>
      <c r="Q1468">
        <v>9.7271516004505997E-4</v>
      </c>
      <c r="R1468">
        <v>1.5273485475366816E-3</v>
      </c>
      <c r="S1468">
        <v>0.12705412933942228</v>
      </c>
      <c r="T1468">
        <v>0.79625723229758327</v>
      </c>
      <c r="U1468">
        <v>0</v>
      </c>
      <c r="V1468">
        <v>0.20842070599188664</v>
      </c>
      <c r="W1468">
        <v>9.9709974373676888E-2</v>
      </c>
      <c r="X1468">
        <v>2.903233041000779E-2</v>
      </c>
      <c r="Y1468">
        <v>4.1569392560814678E-3</v>
      </c>
    </row>
    <row r="1469" spans="1:25" x14ac:dyDescent="0.25">
      <c r="A1469" s="1098"/>
      <c r="B1469" s="1457">
        <v>1219</v>
      </c>
      <c r="C1469" s="1102">
        <v>0.96291709747103815</v>
      </c>
      <c r="D1469" s="1102">
        <v>1.0170646540400625</v>
      </c>
      <c r="E1469" s="1102">
        <v>0.9854600939958208</v>
      </c>
      <c r="F1469" s="1102">
        <v>1.033808962483769</v>
      </c>
      <c r="G1469" s="1102">
        <v>1.0050019322378358</v>
      </c>
      <c r="H1469" s="1102">
        <v>1.0176501301090655</v>
      </c>
      <c r="I1469" s="1102">
        <v>0.98117422529922471</v>
      </c>
      <c r="K1469">
        <v>1.6072454799035976</v>
      </c>
      <c r="L1469">
        <v>0</v>
      </c>
      <c r="M1469">
        <v>1.6828862875433235E-3</v>
      </c>
      <c r="N1469">
        <v>0.14819922162108157</v>
      </c>
      <c r="O1469">
        <v>0.12499372730540714</v>
      </c>
      <c r="P1469">
        <v>1.6000657709827205E-2</v>
      </c>
      <c r="Q1469">
        <v>9.1318812857077588E-4</v>
      </c>
      <c r="R1469">
        <v>1.679115617430043E-3</v>
      </c>
      <c r="S1469">
        <v>0.12193260701098567</v>
      </c>
      <c r="T1469">
        <v>0.85414620696629251</v>
      </c>
      <c r="U1469">
        <v>0</v>
      </c>
      <c r="V1469">
        <v>0.21029821251845451</v>
      </c>
      <c r="W1469">
        <v>9.8206684968242919E-2</v>
      </c>
      <c r="X1469">
        <v>2.798874515451695E-2</v>
      </c>
      <c r="Y1469">
        <v>4.5699991903300537E-3</v>
      </c>
    </row>
    <row r="1470" spans="1:25" x14ac:dyDescent="0.25">
      <c r="A1470" s="1098"/>
      <c r="B1470" s="1457">
        <v>1220</v>
      </c>
      <c r="C1470" s="1102">
        <v>1.0103278397414777</v>
      </c>
      <c r="D1470" s="1102">
        <v>1.0094853188248971</v>
      </c>
      <c r="E1470" s="1102">
        <v>1.0295468269754962</v>
      </c>
      <c r="F1470" s="1102">
        <v>1.0116237163227055</v>
      </c>
      <c r="G1470" s="1102">
        <v>0.97761955192867578</v>
      </c>
      <c r="H1470" s="1102">
        <v>0.99755597673157104</v>
      </c>
      <c r="I1470" s="1102">
        <v>0.98609573305226483</v>
      </c>
      <c r="K1470">
        <v>1.5628911374107421</v>
      </c>
      <c r="L1470">
        <v>0</v>
      </c>
      <c r="M1470">
        <v>1.4434189622892603E-3</v>
      </c>
      <c r="N1470">
        <v>0.14520488564349354</v>
      </c>
      <c r="O1470">
        <v>0.12115981068158045</v>
      </c>
      <c r="P1470">
        <v>1.6067255194196696E-2</v>
      </c>
      <c r="Q1470">
        <v>9.1360640819329684E-4</v>
      </c>
      <c r="R1470">
        <v>1.4401298160858114E-3</v>
      </c>
      <c r="S1470">
        <v>0.11599289302884122</v>
      </c>
      <c r="T1470">
        <v>0.83288311368928281</v>
      </c>
      <c r="U1470">
        <v>0</v>
      </c>
      <c r="V1470">
        <v>0.20411716920878561</v>
      </c>
      <c r="W1470">
        <v>9.3748234793719493E-2</v>
      </c>
      <c r="X1470">
        <v>2.888789928813076E-2</v>
      </c>
      <c r="Y1470">
        <v>3.9195586207192955E-3</v>
      </c>
    </row>
    <row r="1471" spans="1:25" x14ac:dyDescent="0.25">
      <c r="A1471" s="1098"/>
      <c r="B1471" s="1457">
        <v>1221</v>
      </c>
      <c r="C1471" s="1102">
        <v>0.98734044820144873</v>
      </c>
      <c r="D1471" s="1102">
        <v>1.0133255760912045</v>
      </c>
      <c r="E1471" s="1102">
        <v>0.99142736411892862</v>
      </c>
      <c r="F1471" s="1102">
        <v>0.95859073852436738</v>
      </c>
      <c r="G1471" s="1102">
        <v>1.0060457226055819</v>
      </c>
      <c r="H1471" s="1102">
        <v>0.99909625493496657</v>
      </c>
      <c r="I1471" s="1102">
        <v>1.0026147023864711</v>
      </c>
      <c r="K1471">
        <v>1.5181030359122234</v>
      </c>
      <c r="L1471">
        <v>0</v>
      </c>
      <c r="M1471">
        <v>1.5885507891806091E-3</v>
      </c>
      <c r="N1471">
        <v>0.14243184247927732</v>
      </c>
      <c r="O1471">
        <v>0.11853709531161798</v>
      </c>
      <c r="P1471">
        <v>1.5119685267696378E-2</v>
      </c>
      <c r="Q1471">
        <v>8.9748170570320648E-4</v>
      </c>
      <c r="R1471">
        <v>1.5849131939581641E-3</v>
      </c>
      <c r="S1471">
        <v>0.11999566459480748</v>
      </c>
      <c r="T1471">
        <v>0.79162020106345921</v>
      </c>
      <c r="U1471">
        <v>0</v>
      </c>
      <c r="V1471">
        <v>0.20439229518862653</v>
      </c>
      <c r="W1471">
        <v>9.4047619839351074E-2</v>
      </c>
      <c r="X1471">
        <v>2.6751176809447764E-2</v>
      </c>
      <c r="Y1471">
        <v>4.3136112474601498E-3</v>
      </c>
    </row>
    <row r="1472" spans="1:25" x14ac:dyDescent="0.25">
      <c r="A1472" s="1098"/>
      <c r="B1472" s="1457">
        <v>1222</v>
      </c>
      <c r="C1472" s="1102">
        <v>1.0040279936091741</v>
      </c>
      <c r="D1472" s="1102">
        <v>0.96884258085854069</v>
      </c>
      <c r="E1472" s="1102">
        <v>1.0290295010486852</v>
      </c>
      <c r="F1472" s="1102">
        <v>0.96537009402217311</v>
      </c>
      <c r="G1472" s="1102">
        <v>0.99594692814413699</v>
      </c>
      <c r="H1472" s="1102">
        <v>1.010980044922055</v>
      </c>
      <c r="I1472" s="1102">
        <v>1.0260613661096649</v>
      </c>
      <c r="K1472">
        <v>1.5419458975482987</v>
      </c>
      <c r="L1472">
        <v>0</v>
      </c>
      <c r="M1472">
        <v>1.5021050497079009E-3</v>
      </c>
      <c r="N1472">
        <v>0.15087859401873185</v>
      </c>
      <c r="O1472">
        <v>0.1200080448592116</v>
      </c>
      <c r="P1472">
        <v>1.5662395456197672E-2</v>
      </c>
      <c r="Q1472">
        <v>9.3408199891814928E-4</v>
      </c>
      <c r="R1472">
        <v>1.4987367827128367E-3</v>
      </c>
      <c r="S1472">
        <v>0.12523166104197639</v>
      </c>
      <c r="T1472">
        <v>0.79483439344815021</v>
      </c>
      <c r="U1472">
        <v>0</v>
      </c>
      <c r="V1472">
        <v>0.20427849178107282</v>
      </c>
      <c r="W1472">
        <v>9.7440608566784423E-2</v>
      </c>
      <c r="X1472">
        <v>2.8601927180154689E-2</v>
      </c>
      <c r="Y1472">
        <v>4.0790674640967025E-3</v>
      </c>
    </row>
    <row r="1473" spans="1:25" x14ac:dyDescent="0.25">
      <c r="A1473" s="1098"/>
      <c r="B1473" s="1457">
        <v>1223</v>
      </c>
      <c r="C1473" s="1102">
        <v>0.97077557375504642</v>
      </c>
      <c r="D1473" s="1102">
        <v>0.98821929528207164</v>
      </c>
      <c r="E1473" s="1102">
        <v>0.99004275166302391</v>
      </c>
      <c r="F1473" s="1102">
        <v>1.0479129091290478</v>
      </c>
      <c r="G1473" s="1102">
        <v>0.98849580489105959</v>
      </c>
      <c r="H1473" s="1102">
        <v>1.019235746378734</v>
      </c>
      <c r="I1473" s="1102">
        <v>0.95599045306090258</v>
      </c>
      <c r="K1473">
        <v>1.6232250372721284</v>
      </c>
      <c r="L1473">
        <v>0</v>
      </c>
      <c r="M1473">
        <v>1.6860318231802492E-3</v>
      </c>
      <c r="N1473">
        <v>0.15055076659395517</v>
      </c>
      <c r="O1473">
        <v>0.1268459640938818</v>
      </c>
      <c r="P1473">
        <v>1.6187632238357397E-2</v>
      </c>
      <c r="Q1473">
        <v>9.2067301288560426E-4</v>
      </c>
      <c r="R1473">
        <v>1.6822841106815297E-3</v>
      </c>
      <c r="S1473">
        <v>0.12014466136298879</v>
      </c>
      <c r="T1473">
        <v>0.8654801549380885</v>
      </c>
      <c r="U1473">
        <v>0</v>
      </c>
      <c r="V1473">
        <v>0.2104753140132358</v>
      </c>
      <c r="W1473">
        <v>9.9490980617962646E-2</v>
      </c>
      <c r="X1473">
        <v>2.8554015328803119E-2</v>
      </c>
      <c r="Y1473">
        <v>4.5786227844670782E-3</v>
      </c>
    </row>
    <row r="1474" spans="1:25" x14ac:dyDescent="0.25">
      <c r="A1474" s="1098"/>
      <c r="B1474" s="1457">
        <v>1224</v>
      </c>
      <c r="C1474" s="1102">
        <v>0.99676187521862114</v>
      </c>
      <c r="D1474" s="1102">
        <v>0.99298431295506939</v>
      </c>
      <c r="E1474" s="1102">
        <v>0.99379736803116558</v>
      </c>
      <c r="F1474" s="1102">
        <v>1.0049326711692848</v>
      </c>
      <c r="G1474" s="1102">
        <v>0.97281364803618031</v>
      </c>
      <c r="H1474" s="1102">
        <v>1.0267448043347975</v>
      </c>
      <c r="I1474" s="1102">
        <v>1.0410429233965399</v>
      </c>
      <c r="K1474">
        <v>1.5784931347073612</v>
      </c>
      <c r="L1474">
        <v>0</v>
      </c>
      <c r="M1474">
        <v>1.6348152293613237E-3</v>
      </c>
      <c r="N1474">
        <v>0.14764553297824393</v>
      </c>
      <c r="O1474">
        <v>0.12221823239540218</v>
      </c>
      <c r="P1474">
        <v>1.5776742435151876E-2</v>
      </c>
      <c r="Q1474">
        <v>8.9845253153375581E-4</v>
      </c>
      <c r="R1474">
        <v>1.6312004653792436E-3</v>
      </c>
      <c r="S1474">
        <v>0.12758205706807574</v>
      </c>
      <c r="T1474">
        <v>0.82973234757358005</v>
      </c>
      <c r="U1474">
        <v>0</v>
      </c>
      <c r="V1474">
        <v>0.20512478034136844</v>
      </c>
      <c r="W1474">
        <v>9.7352184209811482E-2</v>
      </c>
      <c r="X1474">
        <v>2.7726829996499822E-2</v>
      </c>
      <c r="Y1474">
        <v>4.4395899416734058E-3</v>
      </c>
    </row>
    <row r="1475" spans="1:25" x14ac:dyDescent="0.25">
      <c r="A1475" s="1098"/>
      <c r="B1475" s="1457">
        <v>1225</v>
      </c>
      <c r="C1475" s="1102">
        <v>0.9984396258335736</v>
      </c>
      <c r="D1475" s="1102">
        <v>1.0175148987891378</v>
      </c>
      <c r="E1475" s="1102">
        <v>1.0401080550094244</v>
      </c>
      <c r="F1475" s="1102">
        <v>0.9873928617161235</v>
      </c>
      <c r="G1475" s="1102">
        <v>1.003159975780942</v>
      </c>
      <c r="H1475" s="1102">
        <v>0.96611858706155485</v>
      </c>
      <c r="I1475" s="1102">
        <v>0.9909180858611264</v>
      </c>
      <c r="K1475">
        <v>1.5351709591529561</v>
      </c>
      <c r="L1475">
        <v>0</v>
      </c>
      <c r="M1475">
        <v>1.3738796531373781E-3</v>
      </c>
      <c r="N1475">
        <v>0.14266687033121278</v>
      </c>
      <c r="O1475">
        <v>0.11969624427698462</v>
      </c>
      <c r="P1475">
        <v>1.5893069875192609E-2</v>
      </c>
      <c r="Q1475">
        <v>9.3151925893522993E-4</v>
      </c>
      <c r="R1475">
        <v>1.3706341433993761E-3</v>
      </c>
      <c r="S1475">
        <v>0.11475523891039335</v>
      </c>
      <c r="T1475">
        <v>0.81225686965532706</v>
      </c>
      <c r="U1475">
        <v>0</v>
      </c>
      <c r="V1475">
        <v>0.20478982430052281</v>
      </c>
      <c r="W1475">
        <v>9.1548787707619331E-2</v>
      </c>
      <c r="X1475">
        <v>2.8905366037597604E-2</v>
      </c>
      <c r="Y1475">
        <v>3.7304143089091617E-3</v>
      </c>
    </row>
    <row r="1476" spans="1:25" x14ac:dyDescent="0.25">
      <c r="A1476" s="1098"/>
      <c r="B1476" s="1457">
        <v>1226</v>
      </c>
      <c r="C1476" s="1102">
        <v>0.99669442449451495</v>
      </c>
      <c r="D1476" s="1102">
        <v>1.0333134073597208</v>
      </c>
      <c r="E1476" s="1102">
        <v>1.0059903361343245</v>
      </c>
      <c r="F1476" s="1102">
        <v>1.0186610658075803</v>
      </c>
      <c r="G1476" s="1102">
        <v>1.0474015410894038</v>
      </c>
      <c r="H1476" s="1102">
        <v>0.97638300225934538</v>
      </c>
      <c r="I1476" s="1102">
        <v>1.0170915405473131</v>
      </c>
      <c r="K1476">
        <v>1.5663706194387397</v>
      </c>
      <c r="L1476">
        <v>0</v>
      </c>
      <c r="M1476">
        <v>1.4835453317382664E-3</v>
      </c>
      <c r="N1476">
        <v>0.13899384261998968</v>
      </c>
      <c r="O1476">
        <v>0.12137931764982428</v>
      </c>
      <c r="P1476">
        <v>1.5971094030419571E-2</v>
      </c>
      <c r="Q1476">
        <v>8.9556933117567426E-4</v>
      </c>
      <c r="R1476">
        <v>1.4800762901661449E-3</v>
      </c>
      <c r="S1476">
        <v>0.11783112283892058</v>
      </c>
      <c r="T1476">
        <v>0.84024735847525689</v>
      </c>
      <c r="U1476">
        <v>0</v>
      </c>
      <c r="V1476">
        <v>0.20802607199735784</v>
      </c>
      <c r="W1476">
        <v>9.0985756677820245E-2</v>
      </c>
      <c r="X1476">
        <v>2.8015675104730443E-2</v>
      </c>
      <c r="Y1476">
        <v>4.0282797548143222E-3</v>
      </c>
    </row>
    <row r="1477" spans="1:25" x14ac:dyDescent="0.25">
      <c r="A1477" s="1098"/>
      <c r="B1477" s="1457">
        <v>1227</v>
      </c>
      <c r="C1477" s="1102">
        <v>1.0234653806130545</v>
      </c>
      <c r="D1477" s="1102">
        <v>1.0014343374004175</v>
      </c>
      <c r="E1477" s="1102">
        <v>1.0010296833642098</v>
      </c>
      <c r="F1477" s="1102">
        <v>0.97800031447014935</v>
      </c>
      <c r="G1477" s="1102">
        <v>1.0085272206152165</v>
      </c>
      <c r="H1477" s="1102">
        <v>1.0013898353559947</v>
      </c>
      <c r="I1477" s="1102">
        <v>1.0389972970970054</v>
      </c>
      <c r="K1477">
        <v>1.5302292177540202</v>
      </c>
      <c r="L1477">
        <v>0</v>
      </c>
      <c r="M1477">
        <v>1.5221937234309588E-3</v>
      </c>
      <c r="N1477">
        <v>0.14050344375394624</v>
      </c>
      <c r="O1477">
        <v>0.11859152601277724</v>
      </c>
      <c r="P1477">
        <v>1.5436903234083858E-2</v>
      </c>
      <c r="Q1477">
        <v>8.7862268809463489E-4</v>
      </c>
      <c r="R1477">
        <v>1.5187374070356791E-3</v>
      </c>
      <c r="S1477">
        <v>0.12134817232288794</v>
      </c>
      <c r="T1477">
        <v>0.80702786561926154</v>
      </c>
      <c r="U1477">
        <v>0</v>
      </c>
      <c r="V1477">
        <v>0.2028848015531598</v>
      </c>
      <c r="W1477">
        <v>9.2244764288376732E-2</v>
      </c>
      <c r="X1477">
        <v>2.7183072027525356E-2</v>
      </c>
      <c r="Y1477">
        <v>4.1335025702994421E-3</v>
      </c>
    </row>
    <row r="1478" spans="1:25" x14ac:dyDescent="0.25">
      <c r="A1478" s="1098"/>
      <c r="B1478" s="1457">
        <v>1228</v>
      </c>
      <c r="C1478" s="1102">
        <v>1.0363254016257468</v>
      </c>
      <c r="D1478" s="1102">
        <v>1.0020027390751536</v>
      </c>
      <c r="E1478" s="1102">
        <v>0.98209794836536357</v>
      </c>
      <c r="F1478" s="1102">
        <v>0.9773315193768447</v>
      </c>
      <c r="G1478" s="1102">
        <v>0.95661096863793094</v>
      </c>
      <c r="H1478" s="1102">
        <v>1.0074293502768819</v>
      </c>
      <c r="I1478" s="1102">
        <v>1.0050291447815127</v>
      </c>
      <c r="K1478">
        <v>1.5162593347321804</v>
      </c>
      <c r="L1478">
        <v>0</v>
      </c>
      <c r="M1478">
        <v>1.5737049974582145E-3</v>
      </c>
      <c r="N1478">
        <v>0.1371801769363595</v>
      </c>
      <c r="O1478">
        <v>0.11794958551126535</v>
      </c>
      <c r="P1478">
        <v>1.5114356527976654E-2</v>
      </c>
      <c r="Q1478">
        <v>8.5058516015042249E-4</v>
      </c>
      <c r="R1478">
        <v>1.5701558481325817E-3</v>
      </c>
      <c r="S1478">
        <v>0.11637970031590482</v>
      </c>
      <c r="T1478">
        <v>0.80770245817176911</v>
      </c>
      <c r="U1478">
        <v>0</v>
      </c>
      <c r="V1478">
        <v>0.19943649521490162</v>
      </c>
      <c r="W1478">
        <v>9.1088915458914968E-2</v>
      </c>
      <c r="X1478">
        <v>2.6287163967381146E-2</v>
      </c>
      <c r="Y1478">
        <v>4.2734466168806587E-3</v>
      </c>
    </row>
    <row r="1479" spans="1:25" x14ac:dyDescent="0.25">
      <c r="A1479" s="1098"/>
      <c r="B1479" s="1457">
        <v>1229</v>
      </c>
      <c r="C1479" s="1102">
        <v>1.0202782228154641</v>
      </c>
      <c r="D1479" s="1102">
        <v>1.0373046199907767</v>
      </c>
      <c r="E1479" s="1102">
        <v>1.0085765989843511</v>
      </c>
      <c r="F1479" s="1102">
        <v>1.0079080523937454</v>
      </c>
      <c r="G1479" s="1102">
        <v>0.99945076003440825</v>
      </c>
      <c r="H1479" s="1102">
        <v>0.97874225994195585</v>
      </c>
      <c r="I1479" s="1102">
        <v>0.99425581242579864</v>
      </c>
      <c r="K1479">
        <v>1.5397170113209659</v>
      </c>
      <c r="L1479">
        <v>0</v>
      </c>
      <c r="M1479">
        <v>1.4430228953359113E-3</v>
      </c>
      <c r="N1479">
        <v>0.13625806700481805</v>
      </c>
      <c r="O1479">
        <v>0.11927466169458205</v>
      </c>
      <c r="P1479">
        <v>1.5739092202180182E-2</v>
      </c>
      <c r="Q1479">
        <v>8.7585650260391351E-4</v>
      </c>
      <c r="R1479">
        <v>1.4396573864968649E-3</v>
      </c>
      <c r="S1479">
        <v>0.11250964840608496</v>
      </c>
      <c r="T1479">
        <v>0.83120621830247787</v>
      </c>
      <c r="U1479">
        <v>0</v>
      </c>
      <c r="V1479">
        <v>0.20325203573253781</v>
      </c>
      <c r="W1479">
        <v>8.9058695527413009E-2</v>
      </c>
      <c r="X1479">
        <v>2.7627828633990974E-2</v>
      </c>
      <c r="Y1479">
        <v>3.9182728231145552E-3</v>
      </c>
    </row>
    <row r="1480" spans="1:25" x14ac:dyDescent="0.25">
      <c r="A1480" s="1098"/>
      <c r="B1480" s="1457">
        <v>1230</v>
      </c>
      <c r="C1480" s="1102">
        <v>0.98267312322544265</v>
      </c>
      <c r="D1480" s="1102">
        <v>1.0129328466038305</v>
      </c>
      <c r="E1480" s="1102">
        <v>1.0014312321194183</v>
      </c>
      <c r="F1480" s="1102">
        <v>1.0299807116656157</v>
      </c>
      <c r="G1480" s="1102">
        <v>0.96421973732445365</v>
      </c>
      <c r="H1480" s="1102">
        <v>1.0204237861586678</v>
      </c>
      <c r="I1480" s="1102">
        <v>1.0042422604814132</v>
      </c>
      <c r="K1480">
        <v>1.5987869465336999</v>
      </c>
      <c r="L1480">
        <v>0</v>
      </c>
      <c r="M1480">
        <v>1.6053050793574891E-3</v>
      </c>
      <c r="N1480">
        <v>0.14836073204556241</v>
      </c>
      <c r="O1480">
        <v>0.12379523977708957</v>
      </c>
      <c r="P1480">
        <v>1.6099716639975017E-2</v>
      </c>
      <c r="Q1480">
        <v>9.1130533459157933E-4</v>
      </c>
      <c r="R1480">
        <v>1.6017246715792361E-3</v>
      </c>
      <c r="S1480">
        <v>0.12293896645411366</v>
      </c>
      <c r="T1480">
        <v>0.84989384685415748</v>
      </c>
      <c r="U1480">
        <v>0</v>
      </c>
      <c r="V1480">
        <v>0.20665622150618868</v>
      </c>
      <c r="W1480">
        <v>9.7380091115525022E-2</v>
      </c>
      <c r="X1480">
        <v>2.8395040666629377E-2</v>
      </c>
      <c r="Y1480">
        <v>4.3593665476425979E-3</v>
      </c>
    </row>
    <row r="1481" spans="1:25" x14ac:dyDescent="0.25">
      <c r="A1481" s="1098"/>
      <c r="B1481" s="1457">
        <v>1231</v>
      </c>
      <c r="C1481" s="1102">
        <v>1.0085058307642207</v>
      </c>
      <c r="D1481" s="1102">
        <v>0.99768563903500596</v>
      </c>
      <c r="E1481" s="1102">
        <v>1.0044346571025342</v>
      </c>
      <c r="F1481" s="1102">
        <v>1.0062143200464422</v>
      </c>
      <c r="G1481" s="1102">
        <v>1.0248933761083858</v>
      </c>
      <c r="H1481" s="1102">
        <v>1.0032114406496848</v>
      </c>
      <c r="I1481" s="1102">
        <v>1.0020504538736643</v>
      </c>
      <c r="K1481">
        <v>1.5640689403705232</v>
      </c>
      <c r="L1481">
        <v>0</v>
      </c>
      <c r="M1481">
        <v>1.5416372933917406E-3</v>
      </c>
      <c r="N1481">
        <v>0.1437704050932766</v>
      </c>
      <c r="O1481">
        <v>0.1214666089957903</v>
      </c>
      <c r="P1481">
        <v>1.5811488131528828E-2</v>
      </c>
      <c r="Q1481">
        <v>8.9614774804679912E-4</v>
      </c>
      <c r="R1481">
        <v>1.5381491764560563E-3</v>
      </c>
      <c r="S1481">
        <v>0.11927180603447093</v>
      </c>
      <c r="T1481">
        <v>0.83008367321124266</v>
      </c>
      <c r="U1481">
        <v>0</v>
      </c>
      <c r="V1481">
        <v>0.20642773124160108</v>
      </c>
      <c r="W1481">
        <v>9.4199207933328283E-2</v>
      </c>
      <c r="X1481">
        <v>2.7959025090597944E-2</v>
      </c>
      <c r="Y1481">
        <v>4.186335007573639E-3</v>
      </c>
    </row>
    <row r="1482" spans="1:25" x14ac:dyDescent="0.25">
      <c r="A1482" s="1098"/>
      <c r="B1482" s="1457">
        <v>1232</v>
      </c>
      <c r="C1482" s="1102">
        <v>1.0185720462048351</v>
      </c>
      <c r="D1482" s="1102">
        <v>1.0388803918835385</v>
      </c>
      <c r="E1482" s="1102">
        <v>0.96701582616354453</v>
      </c>
      <c r="F1482" s="1102">
        <v>1.000166986300028</v>
      </c>
      <c r="G1482" s="1102">
        <v>1.0195000489036303</v>
      </c>
      <c r="H1482" s="1102">
        <v>1.0168969948882833</v>
      </c>
      <c r="I1482" s="1102">
        <v>1.004510285242957</v>
      </c>
      <c r="K1482">
        <v>1.5406102678751938</v>
      </c>
      <c r="L1482">
        <v>0</v>
      </c>
      <c r="M1482">
        <v>1.6342211566697116E-3</v>
      </c>
      <c r="N1482">
        <v>0.13609942056418406</v>
      </c>
      <c r="O1482">
        <v>0.11887642775685028</v>
      </c>
      <c r="P1482">
        <v>1.5265594498754063E-2</v>
      </c>
      <c r="Q1482">
        <v>8.3957470635531424E-4</v>
      </c>
      <c r="R1482">
        <v>1.6305493286488289E-3</v>
      </c>
      <c r="S1482">
        <v>0.11655204263290156</v>
      </c>
      <c r="T1482">
        <v>0.82758270329661388</v>
      </c>
      <c r="U1482">
        <v>0</v>
      </c>
      <c r="V1482">
        <v>0.20378140801809422</v>
      </c>
      <c r="W1482">
        <v>9.1201646956719451E-2</v>
      </c>
      <c r="X1482">
        <v>2.5977303510602404E-2</v>
      </c>
      <c r="Y1482">
        <v>4.4378177621403822E-3</v>
      </c>
    </row>
    <row r="1483" spans="1:25" x14ac:dyDescent="0.25">
      <c r="A1483" s="1098"/>
      <c r="B1483" s="1457">
        <v>1233</v>
      </c>
      <c r="C1483" s="1102">
        <v>0.99538589576341829</v>
      </c>
      <c r="D1483" s="1102">
        <v>1.0025166472192053</v>
      </c>
      <c r="E1483" s="1102">
        <v>0.97248790528274642</v>
      </c>
      <c r="F1483" s="1102">
        <v>0.99816836460611247</v>
      </c>
      <c r="G1483" s="1102">
        <v>0.98492329450654326</v>
      </c>
      <c r="H1483" s="1102">
        <v>1.0177666956060107</v>
      </c>
      <c r="I1483" s="1102">
        <v>0.99035963351582645</v>
      </c>
      <c r="K1483">
        <v>1.5577195436933533</v>
      </c>
      <c r="L1483">
        <v>0</v>
      </c>
      <c r="M1483">
        <v>1.6857044078193446E-3</v>
      </c>
      <c r="N1483">
        <v>0.14273407632557183</v>
      </c>
      <c r="O1483">
        <v>0.12145019881267013</v>
      </c>
      <c r="P1483">
        <v>1.5367383915268578E-2</v>
      </c>
      <c r="Q1483">
        <v>8.7650289496013999E-4</v>
      </c>
      <c r="R1483">
        <v>1.6819359279391932E-3</v>
      </c>
      <c r="S1483">
        <v>0.12005022642630671</v>
      </c>
      <c r="T1483">
        <v>0.82556305267029095</v>
      </c>
      <c r="U1483">
        <v>0</v>
      </c>
      <c r="V1483">
        <v>0.20510913661322039</v>
      </c>
      <c r="W1483">
        <v>9.5329512951471421E-2</v>
      </c>
      <c r="X1483">
        <v>2.666554641765306E-2</v>
      </c>
      <c r="Y1483">
        <v>4.5776751458208517E-3</v>
      </c>
    </row>
    <row r="1484" spans="1:25" x14ac:dyDescent="0.25">
      <c r="A1484" s="1098"/>
      <c r="B1484" s="1457">
        <v>1234</v>
      </c>
      <c r="C1484" s="1102">
        <v>1.0458880694112758</v>
      </c>
      <c r="D1484" s="1102">
        <v>1.0110551749617622</v>
      </c>
      <c r="E1484" s="1102">
        <v>0.99949504415521484</v>
      </c>
      <c r="F1484" s="1102">
        <v>1.0161888310526999</v>
      </c>
      <c r="G1484" s="1102">
        <v>1.0061650235915518</v>
      </c>
      <c r="H1484" s="1102">
        <v>1.0203716950860813</v>
      </c>
      <c r="I1484" s="1102">
        <v>1.0044439216391701</v>
      </c>
      <c r="K1484">
        <v>1.5567255642096245</v>
      </c>
      <c r="L1484">
        <v>0</v>
      </c>
      <c r="M1484">
        <v>1.5209873004341922E-3</v>
      </c>
      <c r="N1484">
        <v>0.13974945247579651</v>
      </c>
      <c r="O1484">
        <v>0.11972502872051551</v>
      </c>
      <c r="P1484">
        <v>1.5773026067274463E-2</v>
      </c>
      <c r="Q1484">
        <v>8.5514250141339977E-4</v>
      </c>
      <c r="R1484">
        <v>1.5176072510983956E-3</v>
      </c>
      <c r="S1484">
        <v>0.11591307871435386</v>
      </c>
      <c r="T1484">
        <v>0.83864326152743396</v>
      </c>
      <c r="U1484">
        <v>0</v>
      </c>
      <c r="V1484">
        <v>0.20267634710011254</v>
      </c>
      <c r="W1484">
        <v>9.1833452471094576E-2</v>
      </c>
      <c r="X1484">
        <v>2.7429728022569697E-2</v>
      </c>
      <c r="Y1484">
        <v>4.1304266583939604E-3</v>
      </c>
    </row>
    <row r="1485" spans="1:25" x14ac:dyDescent="0.25">
      <c r="A1485" s="1098"/>
      <c r="B1485" s="1457">
        <v>1235</v>
      </c>
      <c r="C1485" s="1102">
        <v>1.0267342223867242</v>
      </c>
      <c r="D1485" s="1102">
        <v>0.99075798422666284</v>
      </c>
      <c r="E1485" s="1102">
        <v>1.0319625106003536</v>
      </c>
      <c r="F1485" s="1102">
        <v>0.97430026558438709</v>
      </c>
      <c r="G1485" s="1102">
        <v>0.96978724109762149</v>
      </c>
      <c r="H1485" s="1102">
        <v>0.9920454346797517</v>
      </c>
      <c r="I1485" s="1102">
        <v>1.0054427113847344</v>
      </c>
      <c r="K1485">
        <v>1.5238049066782229</v>
      </c>
      <c r="L1485">
        <v>0</v>
      </c>
      <c r="M1485">
        <v>1.4180420594570994E-3</v>
      </c>
      <c r="N1485">
        <v>0.1436932417527465</v>
      </c>
      <c r="O1485">
        <v>0.11854766165866817</v>
      </c>
      <c r="P1485">
        <v>1.5637602134252797E-2</v>
      </c>
      <c r="Q1485">
        <v>9.0800139964398834E-4</v>
      </c>
      <c r="R1485">
        <v>1.4147975125659675E-3</v>
      </c>
      <c r="S1485">
        <v>0.1171314024562683</v>
      </c>
      <c r="T1485">
        <v>0.80200119411859072</v>
      </c>
      <c r="U1485">
        <v>0</v>
      </c>
      <c r="V1485">
        <v>0.20105311457509947</v>
      </c>
      <c r="W1485">
        <v>9.2642354794962287E-2</v>
      </c>
      <c r="X1485">
        <v>2.8342965893550866E-2</v>
      </c>
      <c r="Y1485">
        <v>3.8506124413298908E-3</v>
      </c>
    </row>
    <row r="1486" spans="1:25" x14ac:dyDescent="0.25">
      <c r="A1486" s="1098"/>
      <c r="B1486" s="1457">
        <v>1236</v>
      </c>
      <c r="C1486" s="1102">
        <v>0.99324384145504263</v>
      </c>
      <c r="D1486" s="1102">
        <v>1.0210765486105371</v>
      </c>
      <c r="E1486" s="1102">
        <v>0.98885337917864569</v>
      </c>
      <c r="F1486" s="1102">
        <v>0.98914442367451216</v>
      </c>
      <c r="G1486" s="1102">
        <v>0.98722095595853032</v>
      </c>
      <c r="H1486" s="1102">
        <v>0.97851865106870017</v>
      </c>
      <c r="I1486" s="1102">
        <v>0.99391952684501261</v>
      </c>
      <c r="K1486">
        <v>1.534774523727767</v>
      </c>
      <c r="L1486">
        <v>0</v>
      </c>
      <c r="M1486">
        <v>1.5526206205746481E-3</v>
      </c>
      <c r="N1486">
        <v>0.13812498649358779</v>
      </c>
      <c r="O1486">
        <v>0.12007769536071047</v>
      </c>
      <c r="P1486">
        <v>1.5384235046632623E-2</v>
      </c>
      <c r="Q1486">
        <v>8.8704940934740927E-4</v>
      </c>
      <c r="R1486">
        <v>1.5489963807446298E-3</v>
      </c>
      <c r="S1486">
        <v>0.11632078912269703</v>
      </c>
      <c r="T1486">
        <v>0.81702082839468315</v>
      </c>
      <c r="U1486">
        <v>0</v>
      </c>
      <c r="V1486">
        <v>0.20440849265135255</v>
      </c>
      <c r="W1486">
        <v>9.1344533366248579E-2</v>
      </c>
      <c r="X1486">
        <v>2.6993680600468771E-2</v>
      </c>
      <c r="Y1486">
        <v>4.2158575218672039E-3</v>
      </c>
    </row>
    <row r="1487" spans="1:25" x14ac:dyDescent="0.25">
      <c r="A1487" s="1098"/>
      <c r="B1487" s="1457">
        <v>1237</v>
      </c>
      <c r="C1487" s="1102">
        <v>1.0279120109327193</v>
      </c>
      <c r="D1487" s="1102">
        <v>0.98373154652290451</v>
      </c>
      <c r="E1487" s="1102">
        <v>0.96561156769804202</v>
      </c>
      <c r="F1487" s="1102">
        <v>0.98136947034444189</v>
      </c>
      <c r="G1487" s="1102">
        <v>1.0000834595242178</v>
      </c>
      <c r="H1487" s="1102">
        <v>0.98775873933134517</v>
      </c>
      <c r="I1487" s="1102">
        <v>0.96753549167847797</v>
      </c>
      <c r="K1487">
        <v>1.5184792279221491</v>
      </c>
      <c r="L1487">
        <v>0</v>
      </c>
      <c r="M1487">
        <v>1.6259191154621815E-3</v>
      </c>
      <c r="N1487">
        <v>0.1348269947015725</v>
      </c>
      <c r="O1487">
        <v>0.1194765814572722</v>
      </c>
      <c r="P1487">
        <v>1.4978906204561323E-2</v>
      </c>
      <c r="Q1487">
        <v>8.4903760930979042E-4</v>
      </c>
      <c r="R1487">
        <v>1.6221896034726022E-3</v>
      </c>
      <c r="S1487">
        <v>0.11266968321994822</v>
      </c>
      <c r="T1487">
        <v>0.81212127249751198</v>
      </c>
      <c r="U1487">
        <v>0</v>
      </c>
      <c r="V1487">
        <v>0.20278458026472412</v>
      </c>
      <c r="W1487">
        <v>9.0426460071786771E-2</v>
      </c>
      <c r="X1487">
        <v>2.5934376061458222E-2</v>
      </c>
      <c r="Y1487">
        <v>4.4150653459933582E-3</v>
      </c>
    </row>
    <row r="1488" spans="1:25" x14ac:dyDescent="0.25">
      <c r="A1488" s="1098"/>
      <c r="B1488" s="1457">
        <v>1238</v>
      </c>
      <c r="C1488" s="1102">
        <v>0.99937869598034712</v>
      </c>
      <c r="D1488" s="1102">
        <v>1.0210771296789871</v>
      </c>
      <c r="E1488" s="1102">
        <v>0.9931183899145356</v>
      </c>
      <c r="F1488" s="1102">
        <v>0.99452758409227104</v>
      </c>
      <c r="G1488" s="1102">
        <v>1.0097017386424536</v>
      </c>
      <c r="H1488" s="1102">
        <v>1.015199036336067</v>
      </c>
      <c r="I1488" s="1102">
        <v>0.99876023470349418</v>
      </c>
      <c r="K1488">
        <v>1.5511386253040893</v>
      </c>
      <c r="L1488">
        <v>0</v>
      </c>
      <c r="M1488">
        <v>1.5882093219602856E-3</v>
      </c>
      <c r="N1488">
        <v>0.14313703123067031</v>
      </c>
      <c r="O1488">
        <v>0.12013047898531851</v>
      </c>
      <c r="P1488">
        <v>1.5538714675869463E-2</v>
      </c>
      <c r="Q1488">
        <v>8.8552985101462381E-4</v>
      </c>
      <c r="R1488">
        <v>1.5846390125591016E-3</v>
      </c>
      <c r="S1488">
        <v>0.1191134143841299</v>
      </c>
      <c r="T1488">
        <v>0.82118600659673058</v>
      </c>
      <c r="U1488">
        <v>0</v>
      </c>
      <c r="V1488">
        <v>0.20519069419712108</v>
      </c>
      <c r="W1488">
        <v>9.4417731091947371E-2</v>
      </c>
      <c r="X1488">
        <v>2.7229729584612627E-2</v>
      </c>
      <c r="Y1488">
        <v>4.3128650160757752E-3</v>
      </c>
    </row>
    <row r="1489" spans="1:25" x14ac:dyDescent="0.25">
      <c r="A1489" s="1098"/>
      <c r="B1489" s="1457">
        <v>1239</v>
      </c>
      <c r="C1489" s="1102">
        <v>1.0253607101513305</v>
      </c>
      <c r="D1489" s="1102">
        <v>0.99106185353321752</v>
      </c>
      <c r="E1489" s="1102">
        <v>0.97590260985774491</v>
      </c>
      <c r="F1489" s="1102">
        <v>0.99084973677353561</v>
      </c>
      <c r="G1489" s="1102">
        <v>1.0298408433187902</v>
      </c>
      <c r="H1489" s="1102">
        <v>0.97711497474380349</v>
      </c>
      <c r="I1489" s="1102">
        <v>0.99774221287264431</v>
      </c>
      <c r="K1489">
        <v>1.5300686625057562</v>
      </c>
      <c r="L1489">
        <v>0</v>
      </c>
      <c r="M1489">
        <v>1.5727453330031441E-3</v>
      </c>
      <c r="N1489">
        <v>0.13454162490284644</v>
      </c>
      <c r="O1489">
        <v>0.11991866629834085</v>
      </c>
      <c r="P1489">
        <v>1.5251924146246012E-2</v>
      </c>
      <c r="Q1489">
        <v>8.5787384363803626E-4</v>
      </c>
      <c r="R1489">
        <v>1.5690959982898765E-3</v>
      </c>
      <c r="S1489">
        <v>0.11519675263725528</v>
      </c>
      <c r="T1489">
        <v>0.81928380401859269</v>
      </c>
      <c r="U1489">
        <v>0</v>
      </c>
      <c r="V1489">
        <v>0.20462285389238782</v>
      </c>
      <c r="W1489">
        <v>8.9671984078989395E-2</v>
      </c>
      <c r="X1489">
        <v>2.6456265967183704E-2</v>
      </c>
      <c r="Y1489">
        <v>4.2705620549882209E-3</v>
      </c>
    </row>
    <row r="1490" spans="1:25" x14ac:dyDescent="0.25">
      <c r="A1490" s="1098"/>
      <c r="B1490" s="1457">
        <v>1240</v>
      </c>
      <c r="C1490" s="1102">
        <v>1.0210716077743995</v>
      </c>
      <c r="D1490" s="1102">
        <v>1.0155333233595885</v>
      </c>
      <c r="E1490" s="1102">
        <v>0.98793510393079642</v>
      </c>
      <c r="F1490" s="1102">
        <v>1.0262046092466099</v>
      </c>
      <c r="G1490" s="1102">
        <v>1.0043257365556233</v>
      </c>
      <c r="H1490" s="1102">
        <v>1.0058014738798877</v>
      </c>
      <c r="I1490" s="1102">
        <v>0.98248427634244229</v>
      </c>
      <c r="K1490">
        <v>1.5680469806343982</v>
      </c>
      <c r="L1490">
        <v>0</v>
      </c>
      <c r="M1490">
        <v>1.5675025497195428E-3</v>
      </c>
      <c r="N1490">
        <v>0.13907284373553894</v>
      </c>
      <c r="O1490">
        <v>0.12147542801885854</v>
      </c>
      <c r="P1490">
        <v>1.5772094620689028E-2</v>
      </c>
      <c r="Q1490">
        <v>8.6392709068271222E-4</v>
      </c>
      <c r="R1490">
        <v>1.5639626741612378E-3</v>
      </c>
      <c r="S1490">
        <v>0.11462785725456133</v>
      </c>
      <c r="T1490">
        <v>0.84769463529554656</v>
      </c>
      <c r="U1490">
        <v>0</v>
      </c>
      <c r="V1490">
        <v>0.20493160874914021</v>
      </c>
      <c r="W1490">
        <v>9.2022040352618489E-2</v>
      </c>
      <c r="X1490">
        <v>2.7333494553410366E-2</v>
      </c>
      <c r="Y1490">
        <v>4.2565908389099122E-3</v>
      </c>
    </row>
    <row r="1491" spans="1:25" x14ac:dyDescent="0.25">
      <c r="A1491" s="1098"/>
      <c r="B1491" s="1457">
        <v>1241</v>
      </c>
      <c r="C1491" s="1102">
        <v>0.96225803624572603</v>
      </c>
      <c r="D1491" s="1102">
        <v>1.0016313902160923</v>
      </c>
      <c r="E1491" s="1102">
        <v>1.0140849821503082</v>
      </c>
      <c r="F1491" s="1102">
        <v>1.0216737226640644</v>
      </c>
      <c r="G1491" s="1102">
        <v>0.96236485596198884</v>
      </c>
      <c r="H1491" s="1102">
        <v>0.97363852785189253</v>
      </c>
      <c r="I1491" s="1102">
        <v>1.0016079758903007</v>
      </c>
      <c r="K1491">
        <v>1.5902502758437846</v>
      </c>
      <c r="L1491">
        <v>0</v>
      </c>
      <c r="M1491">
        <v>1.5300564845286892E-3</v>
      </c>
      <c r="N1491">
        <v>0.14689784071394046</v>
      </c>
      <c r="O1491">
        <v>0.12478651987226554</v>
      </c>
      <c r="P1491">
        <v>1.6156178707722943E-2</v>
      </c>
      <c r="Q1491">
        <v>9.4711951846003734E-4</v>
      </c>
      <c r="R1491">
        <v>1.5264789303701593E-3</v>
      </c>
      <c r="S1491">
        <v>0.1220503318539207</v>
      </c>
      <c r="T1491">
        <v>0.84218910211421749</v>
      </c>
      <c r="U1491">
        <v>0</v>
      </c>
      <c r="V1491">
        <v>0.20833004516408399</v>
      </c>
      <c r="W1491">
        <v>9.5701850609068398E-2</v>
      </c>
      <c r="X1491">
        <v>2.9040292399438755E-2</v>
      </c>
      <c r="Y1491">
        <v>4.1545724448234156E-3</v>
      </c>
    </row>
    <row r="1492" spans="1:25" x14ac:dyDescent="0.25">
      <c r="A1492" s="1098"/>
      <c r="B1492" s="1457">
        <v>1242</v>
      </c>
      <c r="C1492" s="1102">
        <v>1.0352923760666841</v>
      </c>
      <c r="D1492" s="1102">
        <v>0.99242010432553418</v>
      </c>
      <c r="E1492" s="1102">
        <v>0.9977778972114939</v>
      </c>
      <c r="F1492" s="1102">
        <v>1.0305708198183354</v>
      </c>
      <c r="G1492" s="1102">
        <v>0.96841467257438163</v>
      </c>
      <c r="H1492" s="1102">
        <v>1.0020356575963785</v>
      </c>
      <c r="I1492" s="1102">
        <v>1.0010022970598429</v>
      </c>
      <c r="K1492">
        <v>1.5731668645545493</v>
      </c>
      <c r="L1492">
        <v>0</v>
      </c>
      <c r="M1492">
        <v>1.5310096181204386E-3</v>
      </c>
      <c r="N1492">
        <v>0.13993775876664333</v>
      </c>
      <c r="O1492">
        <v>0.12205402223754092</v>
      </c>
      <c r="P1492">
        <v>1.5931123565281216E-2</v>
      </c>
      <c r="Q1492">
        <v>8.6879767415438806E-4</v>
      </c>
      <c r="R1492">
        <v>1.5275571988293448E-3</v>
      </c>
      <c r="S1492">
        <v>0.11661149343533803</v>
      </c>
      <c r="T1492">
        <v>0.85062937005681605</v>
      </c>
      <c r="U1492">
        <v>0</v>
      </c>
      <c r="V1492">
        <v>0.20309458590714724</v>
      </c>
      <c r="W1492">
        <v>9.2051192654906785E-2</v>
      </c>
      <c r="X1492">
        <v>2.7834465539894E-2</v>
      </c>
      <c r="Y1492">
        <v>4.1575071361182178E-3</v>
      </c>
    </row>
    <row r="1493" spans="1:25" x14ac:dyDescent="0.25">
      <c r="A1493" s="1098"/>
      <c r="B1493" s="1457">
        <v>1243</v>
      </c>
      <c r="C1493" s="1102">
        <v>1.0134384842826156</v>
      </c>
      <c r="D1493" s="1102">
        <v>0.95694071847259776</v>
      </c>
      <c r="E1493" s="1102">
        <v>0.9770995030361892</v>
      </c>
      <c r="F1493" s="1102">
        <v>1.0441384746247679</v>
      </c>
      <c r="G1493" s="1102">
        <v>0.97438150888292863</v>
      </c>
      <c r="H1493" s="1102">
        <v>0.99299287512242695</v>
      </c>
      <c r="I1493" s="1102">
        <v>1.0430132148198579</v>
      </c>
      <c r="K1493">
        <v>1.6073483525144234</v>
      </c>
      <c r="L1493">
        <v>0</v>
      </c>
      <c r="M1493">
        <v>1.6507731401549026E-3</v>
      </c>
      <c r="N1493">
        <v>0.14173722724758547</v>
      </c>
      <c r="O1493">
        <v>0.12581002999515103</v>
      </c>
      <c r="P1493">
        <v>1.6031101520285276E-2</v>
      </c>
      <c r="Q1493">
        <v>8.813222681927584E-4</v>
      </c>
      <c r="R1493">
        <v>1.6470380161307749E-3</v>
      </c>
      <c r="S1493">
        <v>0.12601846121859958</v>
      </c>
      <c r="T1493">
        <v>0.86326213386592365</v>
      </c>
      <c r="U1493">
        <v>0</v>
      </c>
      <c r="V1493">
        <v>0.20692579348014842</v>
      </c>
      <c r="W1493">
        <v>9.4399414630777209E-2</v>
      </c>
      <c r="X1493">
        <v>2.7803908877811864E-2</v>
      </c>
      <c r="Y1493">
        <v>4.4826945339718717E-3</v>
      </c>
    </row>
    <row r="1494" spans="1:25" x14ac:dyDescent="0.25">
      <c r="A1494" s="1098"/>
      <c r="B1494" s="1457">
        <v>1244</v>
      </c>
      <c r="C1494" s="1102">
        <v>0.97822604125197066</v>
      </c>
      <c r="D1494" s="1102">
        <v>0.98677008569125912</v>
      </c>
      <c r="E1494" s="1102">
        <v>0.97851615557701577</v>
      </c>
      <c r="F1494" s="1102">
        <v>1.0137667704898248</v>
      </c>
      <c r="G1494" s="1102">
        <v>0.98552511708999502</v>
      </c>
      <c r="H1494" s="1102">
        <v>1.0347668801413379</v>
      </c>
      <c r="I1494" s="1102">
        <v>0.99202443231913828</v>
      </c>
      <c r="K1494">
        <v>1.5934034775447814</v>
      </c>
      <c r="L1494">
        <v>0</v>
      </c>
      <c r="M1494">
        <v>1.7376680066163522E-3</v>
      </c>
      <c r="N1494">
        <v>0.14984952245736322</v>
      </c>
      <c r="O1494">
        <v>0.12413799966723028</v>
      </c>
      <c r="P1494">
        <v>1.5708773129688706E-2</v>
      </c>
      <c r="Q1494">
        <v>9.0324598006591352E-4</v>
      </c>
      <c r="R1494">
        <v>1.7338568299959019E-3</v>
      </c>
      <c r="S1494">
        <v>0.12490137213011261</v>
      </c>
      <c r="T1494">
        <v>0.83805589187182039</v>
      </c>
      <c r="U1494">
        <v>0</v>
      </c>
      <c r="V1494">
        <v>0.20792549787494682</v>
      </c>
      <c r="W1494">
        <v>9.9716858232655511E-2</v>
      </c>
      <c r="X1494">
        <v>2.7489140652020398E-2</v>
      </c>
      <c r="Y1494">
        <v>4.7189867254984483E-3</v>
      </c>
    </row>
    <row r="1495" spans="1:25" x14ac:dyDescent="0.25">
      <c r="A1495" s="1098"/>
      <c r="B1495" s="1457">
        <v>1245</v>
      </c>
      <c r="C1495" s="1102">
        <v>1.0281845807040635</v>
      </c>
      <c r="D1495" s="1102">
        <v>1.0243956596637736</v>
      </c>
      <c r="E1495" s="1102">
        <v>1.0393151952022495</v>
      </c>
      <c r="F1495" s="1102">
        <v>1.0150232069575744</v>
      </c>
      <c r="G1495" s="1102">
        <v>0.95764122684490516</v>
      </c>
      <c r="H1495" s="1102">
        <v>1.0252945352090852</v>
      </c>
      <c r="I1495" s="1102">
        <v>1.0464506463161558</v>
      </c>
      <c r="K1495">
        <v>1.5700559063844759</v>
      </c>
      <c r="L1495">
        <v>0</v>
      </c>
      <c r="M1495">
        <v>1.4185889569357996E-3</v>
      </c>
      <c r="N1495">
        <v>0.14697922693247356</v>
      </c>
      <c r="O1495">
        <v>0.1198255726337871</v>
      </c>
      <c r="P1495">
        <v>1.6262864790597444E-2</v>
      </c>
      <c r="Q1495">
        <v>9.0140965348236137E-4</v>
      </c>
      <c r="R1495">
        <v>1.4154406185508204E-3</v>
      </c>
      <c r="S1495">
        <v>0.12224850728439257</v>
      </c>
      <c r="T1495">
        <v>0.83503845455535208</v>
      </c>
      <c r="U1495">
        <v>0</v>
      </c>
      <c r="V1495">
        <v>0.20151421643351267</v>
      </c>
      <c r="W1495">
        <v>9.4359098782745884E-2</v>
      </c>
      <c r="X1495">
        <v>2.9077340892695976E-2</v>
      </c>
      <c r="Y1495">
        <v>3.8523627638208293E-3</v>
      </c>
    </row>
    <row r="1496" spans="1:25" x14ac:dyDescent="0.25">
      <c r="A1496" s="1098"/>
      <c r="B1496" s="1457">
        <v>1246</v>
      </c>
      <c r="C1496" s="1102">
        <v>1.0084878382746845</v>
      </c>
      <c r="D1496" s="1102">
        <v>0.96017871334883398</v>
      </c>
      <c r="E1496" s="1102">
        <v>1.0356961032017931</v>
      </c>
      <c r="F1496" s="1102">
        <v>1.0026944130275046</v>
      </c>
      <c r="G1496" s="1102">
        <v>1.0277772440749979</v>
      </c>
      <c r="H1496" s="1102">
        <v>0.99187619353177914</v>
      </c>
      <c r="I1496" s="1102">
        <v>1.0438119271156054</v>
      </c>
      <c r="K1496">
        <v>1.5781315107403653</v>
      </c>
      <c r="L1496">
        <v>0</v>
      </c>
      <c r="M1496">
        <v>1.4592197219240298E-3</v>
      </c>
      <c r="N1496">
        <v>0.14954107953901083</v>
      </c>
      <c r="O1496">
        <v>0.12282318129003758</v>
      </c>
      <c r="P1496">
        <v>1.622234508607687E-2</v>
      </c>
      <c r="Q1496">
        <v>9.396613452631971E-4</v>
      </c>
      <c r="R1496">
        <v>1.4559007245557804E-3</v>
      </c>
      <c r="S1496">
        <v>0.1262086555272528</v>
      </c>
      <c r="T1496">
        <v>0.8251309685751399</v>
      </c>
      <c r="U1496">
        <v>0</v>
      </c>
      <c r="V1496">
        <v>0.20758956574813228</v>
      </c>
      <c r="W1496">
        <v>9.6204491345996623E-2</v>
      </c>
      <c r="X1496">
        <v>2.9512399446126793E-2</v>
      </c>
      <c r="Y1496">
        <v>3.9624818346959707E-3</v>
      </c>
    </row>
    <row r="1497" spans="1:25" x14ac:dyDescent="0.25">
      <c r="A1497" s="1098"/>
      <c r="B1497" s="1457">
        <v>1247</v>
      </c>
      <c r="C1497" s="1102">
        <v>1.0119070487053363</v>
      </c>
      <c r="D1497" s="1102">
        <v>1.0251004552036556</v>
      </c>
      <c r="E1497" s="1102">
        <v>0.97362604522584462</v>
      </c>
      <c r="F1497" s="1102">
        <v>1.003550418708103</v>
      </c>
      <c r="G1497" s="1102">
        <v>0.99853677686029363</v>
      </c>
      <c r="H1497" s="1102">
        <v>1.0211935024119634</v>
      </c>
      <c r="I1497" s="1102">
        <v>0.98419287103188247</v>
      </c>
      <c r="K1497">
        <v>1.5497942035282868</v>
      </c>
      <c r="L1497">
        <v>0</v>
      </c>
      <c r="M1497">
        <v>1.6416233964214615E-3</v>
      </c>
      <c r="N1497">
        <v>0.13948171623153713</v>
      </c>
      <c r="O1497">
        <v>0.12000495944094915</v>
      </c>
      <c r="P1497">
        <v>1.5372190333498268E-2</v>
      </c>
      <c r="Q1497">
        <v>8.5556734404086589E-4</v>
      </c>
      <c r="R1497">
        <v>1.6379579558210727E-3</v>
      </c>
      <c r="S1497">
        <v>0.11619073886901767</v>
      </c>
      <c r="T1497">
        <v>0.82993803813544598</v>
      </c>
      <c r="U1497">
        <v>0</v>
      </c>
      <c r="V1497">
        <v>0.20395782055790782</v>
      </c>
      <c r="W1497">
        <v>9.3092968034165974E-2</v>
      </c>
      <c r="X1497">
        <v>2.6445888419275011E-2</v>
      </c>
      <c r="Y1497">
        <v>4.4579816030499387E-3</v>
      </c>
    </row>
    <row r="1498" spans="1:25" x14ac:dyDescent="0.25">
      <c r="A1498" s="1098"/>
      <c r="B1498" s="1457">
        <v>1248</v>
      </c>
      <c r="C1498" s="1102">
        <v>0.98286305430096377</v>
      </c>
      <c r="D1498" s="1102">
        <v>1.0081857522568161</v>
      </c>
      <c r="E1498" s="1102">
        <v>1.0134365982609057</v>
      </c>
      <c r="F1498" s="1102">
        <v>1.0203540109179527</v>
      </c>
      <c r="G1498" s="1102">
        <v>0.95803605720184659</v>
      </c>
      <c r="H1498" s="1102">
        <v>0.97988057089281755</v>
      </c>
      <c r="I1498" s="1102">
        <v>0.9926397576473569</v>
      </c>
      <c r="K1498">
        <v>1.5771888359384048</v>
      </c>
      <c r="L1498">
        <v>0</v>
      </c>
      <c r="M1498">
        <v>1.5062445462322915E-3</v>
      </c>
      <c r="N1498">
        <v>0.14433126317079448</v>
      </c>
      <c r="O1498">
        <v>0.12329167358526669</v>
      </c>
      <c r="P1498">
        <v>1.605441107799167E-2</v>
      </c>
      <c r="Q1498">
        <v>9.2423082008248625E-4</v>
      </c>
      <c r="R1498">
        <v>1.5027464074019736E-3</v>
      </c>
      <c r="S1498">
        <v>0.11857087280758813</v>
      </c>
      <c r="T1498">
        <v>0.84114461297419585</v>
      </c>
      <c r="U1498">
        <v>0</v>
      </c>
      <c r="V1498">
        <v>0.20602972303120864</v>
      </c>
      <c r="W1498">
        <v>9.4065613416503921E-2</v>
      </c>
      <c r="X1498">
        <v>2.8689952852874102E-2</v>
      </c>
      <c r="Y1498">
        <v>4.0899803407281072E-3</v>
      </c>
    </row>
    <row r="1499" spans="1:25" x14ac:dyDescent="0.25">
      <c r="A1499" s="1098"/>
      <c r="B1499" s="1457">
        <v>1249</v>
      </c>
      <c r="C1499" s="1102">
        <v>0.96759582258143617</v>
      </c>
      <c r="D1499" s="1102">
        <v>0.98399961406333114</v>
      </c>
      <c r="E1499" s="1102">
        <v>1.0022782270386743</v>
      </c>
      <c r="F1499" s="1102">
        <v>0.99509361588771739</v>
      </c>
      <c r="G1499" s="1102">
        <v>1.0282897900024999</v>
      </c>
      <c r="H1499" s="1102">
        <v>0.97007314097116004</v>
      </c>
      <c r="I1499" s="1102">
        <v>1.0017022151657287</v>
      </c>
      <c r="K1499">
        <v>1.566207440663469</v>
      </c>
      <c r="L1499">
        <v>0</v>
      </c>
      <c r="M1499">
        <v>1.5667269527650301E-3</v>
      </c>
      <c r="N1499">
        <v>0.14514981950323752</v>
      </c>
      <c r="O1499">
        <v>0.12343664154113576</v>
      </c>
      <c r="P1499">
        <v>1.5751352827132289E-2</v>
      </c>
      <c r="Q1499">
        <v>9.3711805083659722E-4</v>
      </c>
      <c r="R1499">
        <v>1.5630548178185359E-3</v>
      </c>
      <c r="S1499">
        <v>0.12222878211436289</v>
      </c>
      <c r="T1499">
        <v>0.82105099274883042</v>
      </c>
      <c r="U1499">
        <v>0</v>
      </c>
      <c r="V1499">
        <v>0.20994901420710829</v>
      </c>
      <c r="W1499">
        <v>9.5224653687028371E-2</v>
      </c>
      <c r="X1499">
        <v>2.8228618165524903E-2</v>
      </c>
      <c r="Y1499">
        <v>4.2541199532198405E-3</v>
      </c>
    </row>
    <row r="1500" spans="1:25" x14ac:dyDescent="0.25">
      <c r="A1500" s="1098"/>
      <c r="B1500" s="1457">
        <v>1250</v>
      </c>
      <c r="C1500" s="1102">
        <v>1.0186532132782911</v>
      </c>
      <c r="D1500" s="1102">
        <v>0.99951912752187588</v>
      </c>
      <c r="E1500" s="1102">
        <v>0.9649943430069744</v>
      </c>
      <c r="F1500" s="1102">
        <v>0.99421625559556748</v>
      </c>
      <c r="G1500" s="1102">
        <v>1.030247140813197</v>
      </c>
      <c r="H1500" s="1102">
        <v>1.0102603724846693</v>
      </c>
      <c r="I1500" s="1102">
        <v>0.97228067976611343</v>
      </c>
      <c r="K1500">
        <v>1.5399421895592365</v>
      </c>
      <c r="L1500">
        <v>0</v>
      </c>
      <c r="M1500">
        <v>1.665664299670128E-3</v>
      </c>
      <c r="N1500">
        <v>0.13787116042053291</v>
      </c>
      <c r="O1500">
        <v>0.12014700842004364</v>
      </c>
      <c r="P1500">
        <v>1.5173659976860383E-2</v>
      </c>
      <c r="Q1500">
        <v>8.5076099859633344E-4</v>
      </c>
      <c r="R1500">
        <v>1.6619200158905028E-3</v>
      </c>
      <c r="S1500">
        <v>0.11489707566157439</v>
      </c>
      <c r="T1500">
        <v>0.8227936817318362</v>
      </c>
      <c r="U1500">
        <v>0</v>
      </c>
      <c r="V1500">
        <v>0.20508866372736137</v>
      </c>
      <c r="W1500">
        <v>9.2503010101512378E-2</v>
      </c>
      <c r="X1500">
        <v>2.6097714373229951E-2</v>
      </c>
      <c r="Y1500">
        <v>4.5231984314679499E-3</v>
      </c>
    </row>
    <row r="1501" spans="1:25" x14ac:dyDescent="0.25">
      <c r="A1501" s="1098"/>
      <c r="B1501" s="1457">
        <v>1251</v>
      </c>
      <c r="C1501" s="1102">
        <v>0.97577341558156216</v>
      </c>
      <c r="D1501" s="1102">
        <v>1.0147853329438448</v>
      </c>
      <c r="E1501" s="1102">
        <v>1.0175536958669225</v>
      </c>
      <c r="F1501" s="1102">
        <v>1.0067204439146555</v>
      </c>
      <c r="G1501" s="1102">
        <v>0.9812507905971718</v>
      </c>
      <c r="H1501" s="1102">
        <v>0.98343181109893518</v>
      </c>
      <c r="I1501" s="1102">
        <v>1.0190689492026601</v>
      </c>
      <c r="K1501">
        <v>1.5712877923642847</v>
      </c>
      <c r="L1501">
        <v>0</v>
      </c>
      <c r="M1501">
        <v>1.5018154136301261E-3</v>
      </c>
      <c r="N1501">
        <v>0.14570631336271014</v>
      </c>
      <c r="O1501">
        <v>0.12241057940883948</v>
      </c>
      <c r="P1501">
        <v>1.6006552896346102E-2</v>
      </c>
      <c r="Q1501">
        <v>9.3245881190622676E-4</v>
      </c>
      <c r="R1501">
        <v>1.4983309987402771E-3</v>
      </c>
      <c r="S1501">
        <v>0.12231066024153218</v>
      </c>
      <c r="T1501">
        <v>0.82963403315629414</v>
      </c>
      <c r="U1501">
        <v>0</v>
      </c>
      <c r="V1501">
        <v>0.20680023292170929</v>
      </c>
      <c r="W1501">
        <v>9.4732509267926271E-2</v>
      </c>
      <c r="X1501">
        <v>2.8679973658019355E-2</v>
      </c>
      <c r="Y1501">
        <v>4.0779630538900448E-3</v>
      </c>
    </row>
    <row r="1502" spans="1:25" x14ac:dyDescent="0.25">
      <c r="A1502" s="1098"/>
      <c r="B1502" s="1457">
        <v>1252</v>
      </c>
      <c r="C1502" s="1102">
        <v>1.014387609601785</v>
      </c>
      <c r="D1502" s="1102">
        <v>1.0031988481191607</v>
      </c>
      <c r="E1502" s="1102">
        <v>1.0150903060686693</v>
      </c>
      <c r="F1502" s="1102">
        <v>1.0077240615731773</v>
      </c>
      <c r="G1502" s="1102">
        <v>1.0249727511341769</v>
      </c>
      <c r="H1502" s="1102">
        <v>0.96616983377207577</v>
      </c>
      <c r="I1502" s="1102">
        <v>0.97989502653773863</v>
      </c>
      <c r="K1502">
        <v>1.5481249325638564</v>
      </c>
      <c r="L1502">
        <v>0</v>
      </c>
      <c r="M1502">
        <v>1.4400387318161797E-3</v>
      </c>
      <c r="N1502">
        <v>0.13867383471853151</v>
      </c>
      <c r="O1502">
        <v>0.12099672918391952</v>
      </c>
      <c r="P1502">
        <v>1.5847165678863299E-2</v>
      </c>
      <c r="Q1502">
        <v>8.9881422410616511E-4</v>
      </c>
      <c r="R1502">
        <v>1.4366542319488901E-3</v>
      </c>
      <c r="S1502">
        <v>0.11280085687533739</v>
      </c>
      <c r="T1502">
        <v>0.83062367558214278</v>
      </c>
      <c r="U1502">
        <v>0</v>
      </c>
      <c r="V1502">
        <v>0.20587296630637661</v>
      </c>
      <c r="W1502">
        <v>9.0290679419566727E-2</v>
      </c>
      <c r="X1502">
        <v>2.8213495848456064E-2</v>
      </c>
      <c r="Y1502">
        <v>3.9100992264245963E-3</v>
      </c>
    </row>
    <row r="1503" spans="1:25" x14ac:dyDescent="0.25">
      <c r="A1503" s="1098"/>
      <c r="B1503" s="1457">
        <v>1253</v>
      </c>
      <c r="C1503" s="1102">
        <v>1.0269071307083324</v>
      </c>
      <c r="D1503" s="1102">
        <v>1.0197207835025335</v>
      </c>
      <c r="E1503" s="1102">
        <v>0.99256609620483627</v>
      </c>
      <c r="F1503" s="1102">
        <v>0.97737733735420917</v>
      </c>
      <c r="G1503" s="1102">
        <v>1.0107640534489051</v>
      </c>
      <c r="H1503" s="1102">
        <v>0.96881945706763539</v>
      </c>
      <c r="I1503" s="1102">
        <v>0.97707852630798464</v>
      </c>
      <c r="K1503">
        <v>1.5043658924364196</v>
      </c>
      <c r="L1503">
        <v>0</v>
      </c>
      <c r="M1503">
        <v>1.4787746980837102E-3</v>
      </c>
      <c r="N1503">
        <v>0.13303786696521624</v>
      </c>
      <c r="O1503">
        <v>0.11762711363174963</v>
      </c>
      <c r="P1503">
        <v>1.5176749115627599E-2</v>
      </c>
      <c r="Q1503">
        <v>8.6175417765473668E-4</v>
      </c>
      <c r="R1503">
        <v>1.475294269984182E-3</v>
      </c>
      <c r="S1503">
        <v>0.11008148390399725</v>
      </c>
      <c r="T1503">
        <v>0.8070607279912837</v>
      </c>
      <c r="U1503">
        <v>0</v>
      </c>
      <c r="V1503">
        <v>0.20213468400338494</v>
      </c>
      <c r="W1503">
        <v>8.7784975971148108E-2</v>
      </c>
      <c r="X1503">
        <v>2.6588752432183754E-2</v>
      </c>
      <c r="Y1503">
        <v>4.0152646722715476E-3</v>
      </c>
    </row>
    <row r="1504" spans="1:25" x14ac:dyDescent="0.25">
      <c r="A1504" s="1098"/>
      <c r="B1504" s="1457">
        <v>1254</v>
      </c>
      <c r="C1504" s="1102">
        <v>1.0288778260446054</v>
      </c>
      <c r="D1504" s="1102">
        <v>0.99419540283614294</v>
      </c>
      <c r="E1504" s="1102">
        <v>1.0229936978336682</v>
      </c>
      <c r="F1504" s="1102">
        <v>1.0362013258642295</v>
      </c>
      <c r="G1504" s="1102">
        <v>1.0102897608497785</v>
      </c>
      <c r="H1504" s="1102">
        <v>1.0296421696576845</v>
      </c>
      <c r="I1504" s="1102">
        <v>1.0411306774745235</v>
      </c>
      <c r="K1504">
        <v>1.6005299095704353</v>
      </c>
      <c r="L1504">
        <v>0</v>
      </c>
      <c r="M1504">
        <v>1.500617477779929E-3</v>
      </c>
      <c r="N1504">
        <v>0.14801759976777665</v>
      </c>
      <c r="O1504">
        <v>0.12261068859009616</v>
      </c>
      <c r="P1504">
        <v>1.6414176895060664E-2</v>
      </c>
      <c r="Q1504">
        <v>8.9660071213158233E-4</v>
      </c>
      <c r="R1504">
        <v>1.4973232008188401E-3</v>
      </c>
      <c r="S1504">
        <v>0.1241917070409955</v>
      </c>
      <c r="T1504">
        <v>0.85356067790093459</v>
      </c>
      <c r="U1504">
        <v>0</v>
      </c>
      <c r="V1504">
        <v>0.20577803298745334</v>
      </c>
      <c r="W1504">
        <v>9.592948215336046E-2</v>
      </c>
      <c r="X1504">
        <v>2.9059017639417786E-2</v>
      </c>
      <c r="Y1504">
        <v>4.0752201601683899E-3</v>
      </c>
    </row>
    <row r="1505" spans="1:25" x14ac:dyDescent="0.25">
      <c r="A1505" s="1098"/>
      <c r="B1505" s="1457">
        <v>1255</v>
      </c>
      <c r="C1505" s="1102">
        <v>0.99167641778458471</v>
      </c>
      <c r="D1505" s="1102">
        <v>0.97324725818987867</v>
      </c>
      <c r="E1505" s="1102">
        <v>1.0201184477196332</v>
      </c>
      <c r="F1505" s="1102">
        <v>1.0027143555674123</v>
      </c>
      <c r="G1505" s="1102">
        <v>1.0083544631057684</v>
      </c>
      <c r="H1505" s="1102">
        <v>0.99117111036602279</v>
      </c>
      <c r="I1505" s="1102">
        <v>1.0235870306565344</v>
      </c>
      <c r="K1505">
        <v>1.5764937961888257</v>
      </c>
      <c r="L1505">
        <v>0</v>
      </c>
      <c r="M1505">
        <v>1.5181988695672965E-3</v>
      </c>
      <c r="N1505">
        <v>0.14844538404074412</v>
      </c>
      <c r="O1505">
        <v>0.12313694395640343</v>
      </c>
      <c r="P1505">
        <v>1.6033644212948912E-2</v>
      </c>
      <c r="Q1505">
        <v>9.3543238654129391E-4</v>
      </c>
      <c r="R1505">
        <v>1.5147310850835384E-3</v>
      </c>
      <c r="S1505">
        <v>0.1246545185020453</v>
      </c>
      <c r="T1505">
        <v>0.82616442866346296</v>
      </c>
      <c r="U1505">
        <v>0</v>
      </c>
      <c r="V1505">
        <v>0.20770031018264157</v>
      </c>
      <c r="W1505">
        <v>9.6368501541810689E-2</v>
      </c>
      <c r="X1505">
        <v>2.8935501804080294E-2</v>
      </c>
      <c r="Y1505">
        <v>4.122598682629393E-3</v>
      </c>
    </row>
    <row r="1506" spans="1:25" x14ac:dyDescent="0.25">
      <c r="A1506" s="1098"/>
      <c r="B1506" s="1457">
        <v>1256</v>
      </c>
      <c r="C1506" s="1102">
        <v>1.0139352339505283</v>
      </c>
      <c r="D1506" s="1102">
        <v>1.0311114605921772</v>
      </c>
      <c r="E1506" s="1102">
        <v>0.99715326099519153</v>
      </c>
      <c r="F1506" s="1102">
        <v>0.98153898318161747</v>
      </c>
      <c r="G1506" s="1102">
        <v>1.0001223066053997</v>
      </c>
      <c r="H1506" s="1102">
        <v>1.0023645362826208</v>
      </c>
      <c r="I1506" s="1102">
        <v>1.0136683459910916</v>
      </c>
      <c r="K1506">
        <v>1.526222545082512</v>
      </c>
      <c r="L1506">
        <v>0</v>
      </c>
      <c r="M1506">
        <v>1.5243516386487274E-3</v>
      </c>
      <c r="N1506">
        <v>0.13906292689131675</v>
      </c>
      <c r="O1506">
        <v>0.11806026276340971</v>
      </c>
      <c r="P1506">
        <v>1.5378777660560004E-2</v>
      </c>
      <c r="Q1506">
        <v>8.730634071127968E-4</v>
      </c>
      <c r="R1506">
        <v>1.5208755183365895E-3</v>
      </c>
      <c r="S1506">
        <v>0.11747536450384463</v>
      </c>
      <c r="T1506">
        <v>0.81019919588968514</v>
      </c>
      <c r="U1506">
        <v>0</v>
      </c>
      <c r="V1506">
        <v>0.20260020315402649</v>
      </c>
      <c r="W1506">
        <v>9.1509762093514774E-2</v>
      </c>
      <c r="X1506">
        <v>2.6927143034921618E-2</v>
      </c>
      <c r="Y1506">
        <v>4.139321804432319E-3</v>
      </c>
    </row>
    <row r="1507" spans="1:25" x14ac:dyDescent="0.25">
      <c r="A1507" s="1098"/>
      <c r="B1507" s="1457">
        <v>1257</v>
      </c>
      <c r="C1507" s="1102">
        <v>1.0210551766433256</v>
      </c>
      <c r="D1507" s="1102">
        <v>0.97735170052158948</v>
      </c>
      <c r="E1507" s="1102">
        <v>0.96375528491185569</v>
      </c>
      <c r="F1507" s="1102">
        <v>1.0020852268070026</v>
      </c>
      <c r="G1507" s="1102">
        <v>0.97080214004377108</v>
      </c>
      <c r="H1507" s="1102">
        <v>1.0224603442322953</v>
      </c>
      <c r="I1507" s="1102">
        <v>0.95703585577471917</v>
      </c>
      <c r="K1507">
        <v>1.5521672878674004</v>
      </c>
      <c r="L1507">
        <v>0</v>
      </c>
      <c r="M1507">
        <v>1.7090332603074943E-3</v>
      </c>
      <c r="N1507">
        <v>0.14093617519482257</v>
      </c>
      <c r="O1507">
        <v>0.12156142564659569</v>
      </c>
      <c r="P1507">
        <v>1.5228388591840647E-2</v>
      </c>
      <c r="Q1507">
        <v>8.5528755187024724E-4</v>
      </c>
      <c r="R1507">
        <v>1.7052544777333199E-3</v>
      </c>
      <c r="S1507">
        <v>0.11532712648274629</v>
      </c>
      <c r="T1507">
        <v>0.8293892787624616</v>
      </c>
      <c r="U1507">
        <v>0</v>
      </c>
      <c r="V1507">
        <v>0.2032837732281865</v>
      </c>
      <c r="W1507">
        <v>9.4631102098052353E-2</v>
      </c>
      <c r="X1507">
        <v>2.6317368541994807E-2</v>
      </c>
      <c r="Y1507">
        <v>4.6411405514025905E-3</v>
      </c>
    </row>
    <row r="1508" spans="1:25" x14ac:dyDescent="0.25">
      <c r="A1508" s="1098"/>
      <c r="B1508" s="1457">
        <v>1258</v>
      </c>
      <c r="C1508" s="1102">
        <v>0.97913291585203654</v>
      </c>
      <c r="D1508" s="1102">
        <v>0.96739535020855427</v>
      </c>
      <c r="E1508" s="1102">
        <v>1.0089704837298235</v>
      </c>
      <c r="F1508" s="1102">
        <v>0.96737687442989606</v>
      </c>
      <c r="G1508" s="1102">
        <v>0.99181365631713925</v>
      </c>
      <c r="H1508" s="1102">
        <v>1.0341989555738147</v>
      </c>
      <c r="I1508" s="1102">
        <v>0.98078522441856675</v>
      </c>
      <c r="K1508">
        <v>1.5558093258290941</v>
      </c>
      <c r="L1508">
        <v>0</v>
      </c>
      <c r="M1508">
        <v>1.6412710454039483E-3</v>
      </c>
      <c r="N1508">
        <v>0.15518343727388109</v>
      </c>
      <c r="O1508">
        <v>0.12155896775627392</v>
      </c>
      <c r="P1508">
        <v>1.5492475594082527E-2</v>
      </c>
      <c r="Q1508">
        <v>9.3887415345549042E-4</v>
      </c>
      <c r="R1508">
        <v>1.6376678043826586E-3</v>
      </c>
      <c r="S1508">
        <v>0.1245441573946275</v>
      </c>
      <c r="T1508">
        <v>0.79775573556754709</v>
      </c>
      <c r="U1508">
        <v>0</v>
      </c>
      <c r="V1508">
        <v>0.20634356096818621</v>
      </c>
      <c r="W1508">
        <v>0.10140479803664941</v>
      </c>
      <c r="X1508">
        <v>2.8133730418927486E-2</v>
      </c>
      <c r="Y1508">
        <v>4.4571919064829721E-3</v>
      </c>
    </row>
    <row r="1509" spans="1:25" x14ac:dyDescent="0.25">
      <c r="A1509" s="1098"/>
      <c r="B1509" s="1457">
        <v>1259</v>
      </c>
      <c r="C1509" s="1102">
        <v>0.99785357594621171</v>
      </c>
      <c r="D1509" s="1102">
        <v>0.99399950909385026</v>
      </c>
      <c r="E1509" s="1102">
        <v>1.0338725836174034</v>
      </c>
      <c r="F1509" s="1102">
        <v>0.95866851414872067</v>
      </c>
      <c r="G1509" s="1102">
        <v>0.95737448278409054</v>
      </c>
      <c r="H1509" s="1102">
        <v>0.9748034886915502</v>
      </c>
      <c r="I1509" s="1102">
        <v>1.0337022921669958</v>
      </c>
      <c r="K1509">
        <v>1.5184445125631185</v>
      </c>
      <c r="L1509">
        <v>0</v>
      </c>
      <c r="M1509">
        <v>1.4205398103103166E-3</v>
      </c>
      <c r="N1509">
        <v>0.14477019766436588</v>
      </c>
      <c r="O1509">
        <v>0.11871779890958548</v>
      </c>
      <c r="P1509">
        <v>1.5558144106112245E-2</v>
      </c>
      <c r="Q1509">
        <v>9.3487916901905885E-4</v>
      </c>
      <c r="R1509">
        <v>1.4172189659286821E-3</v>
      </c>
      <c r="S1509">
        <v>0.12197658935132887</v>
      </c>
      <c r="T1509">
        <v>0.78901489061067176</v>
      </c>
      <c r="U1509">
        <v>0</v>
      </c>
      <c r="V1509">
        <v>0.20195105902292987</v>
      </c>
      <c r="W1509">
        <v>9.3233499670339948E-2</v>
      </c>
      <c r="X1509">
        <v>2.8433572063993166E-2</v>
      </c>
      <c r="Y1509">
        <v>3.8572028391513141E-3</v>
      </c>
    </row>
    <row r="1510" spans="1:25" x14ac:dyDescent="0.25">
      <c r="A1510" s="1098"/>
      <c r="B1510" s="1457">
        <v>1260</v>
      </c>
      <c r="C1510" s="1102">
        <v>1.0133705531995549</v>
      </c>
      <c r="D1510" s="1102">
        <v>1.0053608511524406</v>
      </c>
      <c r="E1510" s="1102">
        <v>0.98396896925007715</v>
      </c>
      <c r="F1510" s="1102">
        <v>1.0223323675446518</v>
      </c>
      <c r="G1510" s="1102">
        <v>0.99415540259416257</v>
      </c>
      <c r="H1510" s="1102">
        <v>0.99769648550968293</v>
      </c>
      <c r="I1510" s="1102">
        <v>0.96135380982250185</v>
      </c>
      <c r="K1510">
        <v>1.5646115170715003</v>
      </c>
      <c r="L1510">
        <v>0</v>
      </c>
      <c r="M1510">
        <v>1.5874216163303553E-3</v>
      </c>
      <c r="N1510">
        <v>0.139158570066785</v>
      </c>
      <c r="O1510">
        <v>0.12205750145913413</v>
      </c>
      <c r="P1510">
        <v>1.5667409859128904E-2</v>
      </c>
      <c r="Q1510">
        <v>8.7039139428173875E-4</v>
      </c>
      <c r="R1510">
        <v>1.5838109291024041E-3</v>
      </c>
      <c r="S1510">
        <v>0.11302145364546501</v>
      </c>
      <c r="T1510">
        <v>0.84476548288721132</v>
      </c>
      <c r="U1510">
        <v>0</v>
      </c>
      <c r="V1510">
        <v>0.20520236033645031</v>
      </c>
      <c r="W1510">
        <v>9.2298502900093032E-2</v>
      </c>
      <c r="X1510">
        <v>2.7262843964292467E-2</v>
      </c>
      <c r="Y1510">
        <v>4.3106112458842832E-3</v>
      </c>
    </row>
    <row r="1511" spans="1:25" x14ac:dyDescent="0.25">
      <c r="A1511" s="1098"/>
      <c r="B1511" s="1457">
        <v>1261</v>
      </c>
      <c r="C1511" s="1102">
        <v>1.0268173509673877</v>
      </c>
      <c r="D1511" s="1102">
        <v>0.96319118144310445</v>
      </c>
      <c r="E1511" s="1102">
        <v>0.95028851508149481</v>
      </c>
      <c r="F1511" s="1102">
        <v>0.97654762093738035</v>
      </c>
      <c r="G1511" s="1102">
        <v>1.0032191490483802</v>
      </c>
      <c r="H1511" s="1102">
        <v>1.0292721567748588</v>
      </c>
      <c r="I1511" s="1102">
        <v>1.0043858680793756</v>
      </c>
      <c r="K1511">
        <v>1.5355453016477241</v>
      </c>
      <c r="L1511">
        <v>0</v>
      </c>
      <c r="M1511">
        <v>1.7706762734859306E-3</v>
      </c>
      <c r="N1511">
        <v>0.14018212485101611</v>
      </c>
      <c r="O1511">
        <v>0.12014554851485201</v>
      </c>
      <c r="P1511">
        <v>1.4890187328745978E-2</v>
      </c>
      <c r="Q1511">
        <v>8.4333170216302521E-4</v>
      </c>
      <c r="R1511">
        <v>1.7667903722193084E-3</v>
      </c>
      <c r="S1511">
        <v>0.12179059819727417</v>
      </c>
      <c r="T1511">
        <v>0.80913910314379123</v>
      </c>
      <c r="U1511">
        <v>0</v>
      </c>
      <c r="V1511">
        <v>0.20336168552860895</v>
      </c>
      <c r="W1511">
        <v>9.4907519015492658E-2</v>
      </c>
      <c r="X1511">
        <v>2.5480468296156158E-2</v>
      </c>
      <c r="Y1511">
        <v>4.8086209708912853E-3</v>
      </c>
    </row>
    <row r="1512" spans="1:25" x14ac:dyDescent="0.25">
      <c r="A1512" s="1098"/>
      <c r="B1512" s="1457">
        <v>1262</v>
      </c>
      <c r="C1512" s="1102">
        <v>1.0211166640562974</v>
      </c>
      <c r="D1512" s="1102">
        <v>0.96772572798077561</v>
      </c>
      <c r="E1512" s="1102">
        <v>0.99606977587853107</v>
      </c>
      <c r="F1512" s="1102">
        <v>1.0109233724118076</v>
      </c>
      <c r="G1512" s="1102">
        <v>1.0188121083332489</v>
      </c>
      <c r="H1512" s="1102">
        <v>1.0102532853264554</v>
      </c>
      <c r="I1512" s="1102">
        <v>1.0021359317995417</v>
      </c>
      <c r="K1512">
        <v>1.5724606979816467</v>
      </c>
      <c r="L1512">
        <v>0</v>
      </c>
      <c r="M1512">
        <v>1.589380068719472E-3</v>
      </c>
      <c r="N1512">
        <v>0.14452827025425444</v>
      </c>
      <c r="O1512">
        <v>0.12252595171899701</v>
      </c>
      <c r="P1512">
        <v>1.5789500965464661E-2</v>
      </c>
      <c r="Q1512">
        <v>8.8820500430582651E-4</v>
      </c>
      <c r="R1512">
        <v>1.5858317180318894E-3</v>
      </c>
      <c r="S1512">
        <v>0.12061978429931329</v>
      </c>
      <c r="T1512">
        <v>0.83452660243790255</v>
      </c>
      <c r="U1512">
        <v>0</v>
      </c>
      <c r="V1512">
        <v>0.20625901656649945</v>
      </c>
      <c r="W1512">
        <v>9.5167636774579997E-2</v>
      </c>
      <c r="X1512">
        <v>2.7843167143819365E-2</v>
      </c>
      <c r="Y1512">
        <v>4.3161111671974504E-3</v>
      </c>
    </row>
    <row r="1513" spans="1:25" x14ac:dyDescent="0.25">
      <c r="A1513" s="1098"/>
      <c r="B1513" s="1457">
        <v>1263</v>
      </c>
      <c r="C1513" s="1102">
        <v>1.017811904153372</v>
      </c>
      <c r="D1513" s="1102">
        <v>1.0278546659977321</v>
      </c>
      <c r="E1513" s="1102">
        <v>1.0122868852817428</v>
      </c>
      <c r="F1513" s="1102">
        <v>1.027323053997995</v>
      </c>
      <c r="G1513" s="1102">
        <v>0.99574441740227093</v>
      </c>
      <c r="H1513" s="1102">
        <v>1.0203759391373344</v>
      </c>
      <c r="I1513" s="1102">
        <v>0.98979730103758701</v>
      </c>
      <c r="K1513">
        <v>1.5757220832977799</v>
      </c>
      <c r="L1513">
        <v>0</v>
      </c>
      <c r="M1513">
        <v>1.5061049478884757E-3</v>
      </c>
      <c r="N1513">
        <v>0.14383112226654823</v>
      </c>
      <c r="O1513">
        <v>0.12111341634589569</v>
      </c>
      <c r="P1513">
        <v>1.6067332794351945E-2</v>
      </c>
      <c r="Q1513">
        <v>8.8457631460306342E-4</v>
      </c>
      <c r="R1513">
        <v>1.5027449125589107E-3</v>
      </c>
      <c r="S1513">
        <v>0.11616084662070113</v>
      </c>
      <c r="T1513">
        <v>0.84696713165107151</v>
      </c>
      <c r="U1513">
        <v>0</v>
      </c>
      <c r="V1513">
        <v>0.20455157202228169</v>
      </c>
      <c r="W1513">
        <v>9.3803084447492024E-2</v>
      </c>
      <c r="X1513">
        <v>2.8256384597903857E-2</v>
      </c>
      <c r="Y1513">
        <v>4.0899762722580663E-3</v>
      </c>
    </row>
    <row r="1514" spans="1:25" x14ac:dyDescent="0.25">
      <c r="A1514" s="1098"/>
      <c r="B1514" s="1457">
        <v>1264</v>
      </c>
      <c r="C1514" s="1102">
        <v>0.99824282203996295</v>
      </c>
      <c r="D1514" s="1102">
        <v>1.0217573590772686</v>
      </c>
      <c r="E1514" s="1102">
        <v>1.0196454810529965</v>
      </c>
      <c r="F1514" s="1102">
        <v>1.0428415953704337</v>
      </c>
      <c r="G1514" s="1102">
        <v>1.0087986180668018</v>
      </c>
      <c r="H1514" s="1102">
        <v>1.0148437120545573</v>
      </c>
      <c r="I1514" s="1102">
        <v>0.99889740583890063</v>
      </c>
      <c r="K1514">
        <v>1.6034426625444178</v>
      </c>
      <c r="L1514">
        <v>0</v>
      </c>
      <c r="M1514">
        <v>1.5088494141369548E-3</v>
      </c>
      <c r="N1514">
        <v>0.14732717752153959</v>
      </c>
      <c r="O1514">
        <v>0.12342006189235483</v>
      </c>
      <c r="P1514">
        <v>1.6415351663293342E-2</v>
      </c>
      <c r="Q1514">
        <v>9.1093130780332322E-4</v>
      </c>
      <c r="R1514">
        <v>1.5054674933637866E-3</v>
      </c>
      <c r="S1514">
        <v>0.11951277169144592</v>
      </c>
      <c r="T1514">
        <v>0.85925862812609644</v>
      </c>
      <c r="U1514">
        <v>0</v>
      </c>
      <c r="V1514">
        <v>0.20775441174609452</v>
      </c>
      <c r="W1514">
        <v>9.566905019073968E-2</v>
      </c>
      <c r="X1514">
        <v>2.9080274086112967E-2</v>
      </c>
      <c r="Y1514">
        <v>4.0973862397104171E-3</v>
      </c>
    </row>
    <row r="1515" spans="1:25" x14ac:dyDescent="0.25">
      <c r="A1515" s="1098"/>
      <c r="B1515" s="1457">
        <v>1265</v>
      </c>
      <c r="C1515" s="1102">
        <v>0.98663072607005486</v>
      </c>
      <c r="D1515" s="1102">
        <v>1.0111995959517559</v>
      </c>
      <c r="E1515" s="1102">
        <v>1.0091692097700216</v>
      </c>
      <c r="F1515" s="1102">
        <v>1.0023604502621488</v>
      </c>
      <c r="G1515" s="1102">
        <v>0.99033616340045483</v>
      </c>
      <c r="H1515" s="1102">
        <v>1.0100907877914254</v>
      </c>
      <c r="I1515" s="1102">
        <v>1.0019750391458011</v>
      </c>
      <c r="K1515">
        <v>1.5683855609811785</v>
      </c>
      <c r="L1515">
        <v>0</v>
      </c>
      <c r="M1515">
        <v>1.5562280309810547E-3</v>
      </c>
      <c r="N1515">
        <v>0.14722185061703996</v>
      </c>
      <c r="O1515">
        <v>0.1217158657963994</v>
      </c>
      <c r="P1515">
        <v>1.5843531982620226E-2</v>
      </c>
      <c r="Q1515">
        <v>9.1556734019464464E-4</v>
      </c>
      <c r="R1515">
        <v>1.552716407891924E-3</v>
      </c>
      <c r="S1515">
        <v>0.12133983546370011</v>
      </c>
      <c r="T1515">
        <v>0.82659215368655103</v>
      </c>
      <c r="U1515">
        <v>0</v>
      </c>
      <c r="V1515">
        <v>0.20612864875930964</v>
      </c>
      <c r="W1515">
        <v>9.6191008978991799E-2</v>
      </c>
      <c r="X1515">
        <v>2.8214627770005368E-2</v>
      </c>
      <c r="Y1515">
        <v>4.2259822094555194E-3</v>
      </c>
    </row>
    <row r="1516" spans="1:25" x14ac:dyDescent="0.25">
      <c r="A1516" s="1098"/>
      <c r="B1516" s="1457">
        <v>1266</v>
      </c>
      <c r="C1516" s="1102">
        <v>1.0125702066313909</v>
      </c>
      <c r="D1516" s="1102">
        <v>0.98566964692757375</v>
      </c>
      <c r="E1516" s="1102">
        <v>1.0057962790478299</v>
      </c>
      <c r="F1516" s="1102">
        <v>1.0269659160114135</v>
      </c>
      <c r="G1516" s="1102">
        <v>0.99732348111048863</v>
      </c>
      <c r="H1516" s="1102">
        <v>0.98073616996886881</v>
      </c>
      <c r="I1516" s="1102">
        <v>1.0008415323497901</v>
      </c>
      <c r="K1516">
        <v>1.5778660128859894</v>
      </c>
      <c r="L1516">
        <v>0</v>
      </c>
      <c r="M1516">
        <v>1.5099177729551204E-3</v>
      </c>
      <c r="N1516">
        <v>0.14138645849214551</v>
      </c>
      <c r="O1516">
        <v>0.12323382430106905</v>
      </c>
      <c r="P1516">
        <v>1.6039551696225757E-2</v>
      </c>
      <c r="Q1516">
        <v>8.981508046983878E-4</v>
      </c>
      <c r="R1516">
        <v>1.5064366317607727E-3</v>
      </c>
      <c r="S1516">
        <v>0.11787967809553516</v>
      </c>
      <c r="T1516">
        <v>0.84711077113280386</v>
      </c>
      <c r="U1516">
        <v>0</v>
      </c>
      <c r="V1516">
        <v>0.2062840530445666</v>
      </c>
      <c r="W1516">
        <v>9.256259544088738E-2</v>
      </c>
      <c r="X1516">
        <v>2.8374387104299608E-2</v>
      </c>
      <c r="Y1516">
        <v>4.1000239149506261E-3</v>
      </c>
    </row>
    <row r="1517" spans="1:25" x14ac:dyDescent="0.25">
      <c r="A1517" s="1098"/>
      <c r="B1517" s="1457">
        <v>1267</v>
      </c>
      <c r="C1517" s="1102">
        <v>1.028463444774097</v>
      </c>
      <c r="D1517" s="1102">
        <v>1.019703016416208</v>
      </c>
      <c r="E1517" s="1102">
        <v>1.0381773792313309</v>
      </c>
      <c r="F1517" s="1102">
        <v>0.98314096120076833</v>
      </c>
      <c r="G1517" s="1102">
        <v>1.0268034803113766</v>
      </c>
      <c r="H1517" s="1102">
        <v>0.98834534264756457</v>
      </c>
      <c r="I1517" s="1102">
        <v>0.98004576076921379</v>
      </c>
      <c r="K1517">
        <v>1.5229069765134398</v>
      </c>
      <c r="L1517">
        <v>0</v>
      </c>
      <c r="M1517">
        <v>1.3707686693301196E-3</v>
      </c>
      <c r="N1517">
        <v>0.14152632126232084</v>
      </c>
      <c r="O1517">
        <v>0.11782383073439574</v>
      </c>
      <c r="P1517">
        <v>1.5759002758546477E-2</v>
      </c>
      <c r="Q1517">
        <v>9.0177900394677489E-4</v>
      </c>
      <c r="R1517">
        <v>1.3676079039039179E-3</v>
      </c>
      <c r="S1517">
        <v>0.11183119376654811</v>
      </c>
      <c r="T1517">
        <v>0.80888203965498329</v>
      </c>
      <c r="U1517">
        <v>0</v>
      </c>
      <c r="V1517">
        <v>0.20310801500717793</v>
      </c>
      <c r="W1517">
        <v>9.0918010548636907E-2</v>
      </c>
      <c r="X1517">
        <v>2.8437766659707368E-2</v>
      </c>
      <c r="Y1517">
        <v>3.7221778826021074E-3</v>
      </c>
    </row>
    <row r="1518" spans="1:25" x14ac:dyDescent="0.25">
      <c r="A1518" s="1098"/>
      <c r="B1518" s="1457">
        <v>1268</v>
      </c>
      <c r="C1518" s="1102">
        <v>0.98994200711306823</v>
      </c>
      <c r="D1518" s="1102">
        <v>1.015697747098278</v>
      </c>
      <c r="E1518" s="1102">
        <v>1.0073979796915264</v>
      </c>
      <c r="F1518" s="1102">
        <v>0.9930008584845591</v>
      </c>
      <c r="G1518" s="1102">
        <v>0.99763461505959494</v>
      </c>
      <c r="H1518" s="1102">
        <v>0.98477342227980114</v>
      </c>
      <c r="I1518" s="1102">
        <v>0.98796664696486602</v>
      </c>
      <c r="K1518">
        <v>1.5461673049578397</v>
      </c>
      <c r="L1518">
        <v>0</v>
      </c>
      <c r="M1518">
        <v>1.5131980047909887E-3</v>
      </c>
      <c r="N1518">
        <v>0.14237892703290406</v>
      </c>
      <c r="O1518">
        <v>0.12069330524045359</v>
      </c>
      <c r="P1518">
        <v>1.5649703946007999E-2</v>
      </c>
      <c r="Q1518">
        <v>9.0922233478753591E-4</v>
      </c>
      <c r="R1518">
        <v>1.5096914598565964E-3</v>
      </c>
      <c r="S1518">
        <v>0.11690424129260781</v>
      </c>
      <c r="T1518">
        <v>0.81898944443975219</v>
      </c>
      <c r="U1518">
        <v>0</v>
      </c>
      <c r="V1518">
        <v>0.20554754820459434</v>
      </c>
      <c r="W1518">
        <v>9.3124110420200926E-2</v>
      </c>
      <c r="X1518">
        <v>2.7865426107391698E-2</v>
      </c>
      <c r="Y1518">
        <v>4.1088824840736652E-3</v>
      </c>
    </row>
    <row r="1519" spans="1:25" x14ac:dyDescent="0.25">
      <c r="A1519" s="1098"/>
      <c r="B1519" s="1457">
        <v>1269</v>
      </c>
      <c r="C1519" s="1102">
        <v>0.99226616215392061</v>
      </c>
      <c r="D1519" s="1102">
        <v>1.0357328539643023</v>
      </c>
      <c r="E1519" s="1102">
        <v>1.0002389991207534</v>
      </c>
      <c r="F1519" s="1102">
        <v>1.0023946258451744</v>
      </c>
      <c r="G1519" s="1102">
        <v>1.0136806753009564</v>
      </c>
      <c r="H1519" s="1102">
        <v>0.99027960892423905</v>
      </c>
      <c r="I1519" s="1102">
        <v>1.0038693837655908</v>
      </c>
      <c r="K1519">
        <v>1.5521652578903804</v>
      </c>
      <c r="L1519">
        <v>0</v>
      </c>
      <c r="M1519">
        <v>1.525212607098534E-3</v>
      </c>
      <c r="N1519">
        <v>0.14044068161437026</v>
      </c>
      <c r="O1519">
        <v>0.12039402188820292</v>
      </c>
      <c r="P1519">
        <v>1.5694118979922476E-2</v>
      </c>
      <c r="Q1519">
        <v>8.9339058548236483E-4</v>
      </c>
      <c r="R1519">
        <v>1.5216895415535636E-3</v>
      </c>
      <c r="S1519">
        <v>0.1176217467463235</v>
      </c>
      <c r="T1519">
        <v>0.82720990759224422</v>
      </c>
      <c r="U1519">
        <v>0</v>
      </c>
      <c r="V1519">
        <v>0.20596458467639325</v>
      </c>
      <c r="W1519">
        <v>9.22468776098989E-2</v>
      </c>
      <c r="X1519">
        <v>2.7561913955801209E-2</v>
      </c>
      <c r="Y1519">
        <v>4.1415373072862414E-3</v>
      </c>
    </row>
    <row r="1520" spans="1:25" x14ac:dyDescent="0.25">
      <c r="A1520" s="1098"/>
      <c r="B1520" s="1457">
        <v>1270</v>
      </c>
      <c r="C1520" s="1102">
        <v>1.0300488211837158</v>
      </c>
      <c r="D1520" s="1102">
        <v>1.0006453929602439</v>
      </c>
      <c r="E1520" s="1102">
        <v>0.99863091852296093</v>
      </c>
      <c r="F1520" s="1102">
        <v>1.0062153129203917</v>
      </c>
      <c r="G1520" s="1102">
        <v>0.99110369094886763</v>
      </c>
      <c r="H1520" s="1102">
        <v>0.99981041070045573</v>
      </c>
      <c r="I1520" s="1102">
        <v>0.99671553256951906</v>
      </c>
      <c r="K1520">
        <v>1.5488966462367306</v>
      </c>
      <c r="L1520">
        <v>0</v>
      </c>
      <c r="M1520">
        <v>1.5222409087910617E-3</v>
      </c>
      <c r="N1520">
        <v>0.13949354691987631</v>
      </c>
      <c r="O1520">
        <v>0.12026953357918613</v>
      </c>
      <c r="P1520">
        <v>1.5654935263452532E-2</v>
      </c>
      <c r="Q1520">
        <v>8.7111293449418294E-4</v>
      </c>
      <c r="R1520">
        <v>1.5187884647806604E-3</v>
      </c>
      <c r="S1520">
        <v>0.11579427246581073</v>
      </c>
      <c r="T1520">
        <v>0.83046971292079708</v>
      </c>
      <c r="U1520">
        <v>0</v>
      </c>
      <c r="V1520">
        <v>0.20304354368191488</v>
      </c>
      <c r="W1520">
        <v>9.171241467869462E-2</v>
      </c>
      <c r="X1520">
        <v>2.7457384703864999E-2</v>
      </c>
      <c r="Y1520">
        <v>4.1336415326500998E-3</v>
      </c>
    </row>
    <row r="1521" spans="1:25" x14ac:dyDescent="0.25">
      <c r="A1521" s="1098"/>
      <c r="B1521" s="1457">
        <v>1271</v>
      </c>
      <c r="C1521" s="1102">
        <v>0.99352894244811518</v>
      </c>
      <c r="D1521" s="1102">
        <v>1.0030661453921565</v>
      </c>
      <c r="E1521" s="1102">
        <v>1.0034256727455888</v>
      </c>
      <c r="F1521" s="1102">
        <v>1.0219235022658035</v>
      </c>
      <c r="G1521" s="1102">
        <v>0.98339099705978583</v>
      </c>
      <c r="H1521" s="1102">
        <v>0.99719082512917145</v>
      </c>
      <c r="I1521" s="1102">
        <v>0.99116703637031467</v>
      </c>
      <c r="K1521">
        <v>1.580166180368429</v>
      </c>
      <c r="L1521">
        <v>0</v>
      </c>
      <c r="M1521">
        <v>1.5541298366233542E-3</v>
      </c>
      <c r="N1521">
        <v>0.14449217546499685</v>
      </c>
      <c r="O1521">
        <v>0.12309755564294403</v>
      </c>
      <c r="P1521">
        <v>1.5973131688369422E-2</v>
      </c>
      <c r="Q1521">
        <v>9.0675465384324513E-4</v>
      </c>
      <c r="R1521">
        <v>1.5505893407543726E-3</v>
      </c>
      <c r="S1521">
        <v>0.11889965418592295</v>
      </c>
      <c r="T1521">
        <v>0.84311101156954338</v>
      </c>
      <c r="U1521">
        <v>0</v>
      </c>
      <c r="V1521">
        <v>0.20646888440034963</v>
      </c>
      <c r="W1521">
        <v>9.4728730649671647E-2</v>
      </c>
      <c r="X1521">
        <v>2.8271629574761984E-2</v>
      </c>
      <c r="Y1521">
        <v>4.220193033894596E-3</v>
      </c>
    </row>
    <row r="1522" spans="1:25" x14ac:dyDescent="0.25">
      <c r="A1522" s="1098"/>
      <c r="B1522" s="1457">
        <v>1272</v>
      </c>
      <c r="C1522" s="1102">
        <v>0.98691740647482951</v>
      </c>
      <c r="D1522" s="1102">
        <v>1.0033012284455434</v>
      </c>
      <c r="E1522" s="1102">
        <v>0.97680704476272029</v>
      </c>
      <c r="F1522" s="1102">
        <v>1.0032061158653935</v>
      </c>
      <c r="G1522" s="1102">
        <v>0.9845418061676674</v>
      </c>
      <c r="H1522" s="1102">
        <v>1.0330993678046725</v>
      </c>
      <c r="I1522" s="1102">
        <v>0.99100502517931732</v>
      </c>
      <c r="K1522">
        <v>1.57238649768968</v>
      </c>
      <c r="L1522">
        <v>0</v>
      </c>
      <c r="M1522">
        <v>1.7092834066748436E-3</v>
      </c>
      <c r="N1522">
        <v>0.1466398857130142</v>
      </c>
      <c r="O1522">
        <v>0.12219946988793165</v>
      </c>
      <c r="P1522">
        <v>1.5513212084051885E-2</v>
      </c>
      <c r="Q1522">
        <v>8.8776799328202198E-4</v>
      </c>
      <c r="R1522">
        <v>1.7055175343300365E-3</v>
      </c>
      <c r="S1522">
        <v>0.122308697539389</v>
      </c>
      <c r="T1522">
        <v>0.82944008319407014</v>
      </c>
      <c r="U1522">
        <v>0</v>
      </c>
      <c r="V1522">
        <v>0.20606512091400825</v>
      </c>
      <c r="W1522">
        <v>9.7681959074400249E-2</v>
      </c>
      <c r="X1522">
        <v>2.7012210657132933E-2</v>
      </c>
      <c r="Y1522">
        <v>4.6418565047422668E-3</v>
      </c>
    </row>
    <row r="1523" spans="1:25" x14ac:dyDescent="0.25">
      <c r="A1523" s="1098"/>
      <c r="B1523" s="1457">
        <v>1273</v>
      </c>
      <c r="C1523" s="1102">
        <v>0.99039847760298361</v>
      </c>
      <c r="D1523" s="1102">
        <v>0.95924605901623938</v>
      </c>
      <c r="E1523" s="1102">
        <v>0.9989846324143461</v>
      </c>
      <c r="F1523" s="1102">
        <v>1.0159929087776316</v>
      </c>
      <c r="G1523" s="1102">
        <v>0.98095719477965182</v>
      </c>
      <c r="H1523" s="1102">
        <v>0.99384009180979094</v>
      </c>
      <c r="I1523" s="1102">
        <v>0.96528636113525346</v>
      </c>
      <c r="K1523">
        <v>1.583964242904911</v>
      </c>
      <c r="L1523">
        <v>0</v>
      </c>
      <c r="M1523">
        <v>1.6072868494572887E-3</v>
      </c>
      <c r="N1523">
        <v>0.14744404016360221</v>
      </c>
      <c r="O1523">
        <v>0.12486137542577429</v>
      </c>
      <c r="P1523">
        <v>1.5875263440961712E-2</v>
      </c>
      <c r="Q1523">
        <v>9.2176825920264915E-4</v>
      </c>
      <c r="R1523">
        <v>1.6036376636885032E-3</v>
      </c>
      <c r="S1523">
        <v>0.11897334144317752</v>
      </c>
      <c r="T1523">
        <v>0.83851581618965987</v>
      </c>
      <c r="U1523">
        <v>0</v>
      </c>
      <c r="V1523">
        <v>0.20768131707702259</v>
      </c>
      <c r="W1523">
        <v>9.6919205757538957E-2</v>
      </c>
      <c r="X1523">
        <v>2.8411191252192953E-2</v>
      </c>
      <c r="Y1523">
        <v>4.3645730815463453E-3</v>
      </c>
    </row>
    <row r="1524" spans="1:25" x14ac:dyDescent="0.25">
      <c r="A1524" s="1098"/>
      <c r="B1524" s="1457">
        <v>1274</v>
      </c>
      <c r="C1524" s="1102">
        <v>0.98898320008510154</v>
      </c>
      <c r="D1524" s="1102">
        <v>0.98763855177039528</v>
      </c>
      <c r="E1524" s="1102">
        <v>1.0087195431645795</v>
      </c>
      <c r="F1524" s="1102">
        <v>0.98065622914653183</v>
      </c>
      <c r="G1524" s="1102">
        <v>1.027288142040452</v>
      </c>
      <c r="H1524" s="1102">
        <v>0.9731662997879581</v>
      </c>
      <c r="I1524" s="1102">
        <v>0.97295939221990313</v>
      </c>
      <c r="K1524">
        <v>1.5383245311494065</v>
      </c>
      <c r="L1524">
        <v>0</v>
      </c>
      <c r="M1524">
        <v>1.5149195834695001E-3</v>
      </c>
      <c r="N1524">
        <v>0.1431080714977446</v>
      </c>
      <c r="O1524">
        <v>0.12109170739347873</v>
      </c>
      <c r="P1524">
        <v>1.5536576114454108E-2</v>
      </c>
      <c r="Q1524">
        <v>9.2161607638328446E-4</v>
      </c>
      <c r="R1524">
        <v>1.5113798154195533E-3</v>
      </c>
      <c r="S1524">
        <v>0.11619189860471651</v>
      </c>
      <c r="T1524">
        <v>0.80872284554538088</v>
      </c>
      <c r="U1524">
        <v>0</v>
      </c>
      <c r="V1524">
        <v>0.20716223377859597</v>
      </c>
      <c r="W1524">
        <v>9.3527987443888766E-2</v>
      </c>
      <c r="X1524">
        <v>2.7951656831460975E-2</v>
      </c>
      <c r="Y1524">
        <v>4.1134776313497719E-3</v>
      </c>
    </row>
    <row r="1525" spans="1:25" x14ac:dyDescent="0.25">
      <c r="A1525" s="1098"/>
      <c r="B1525" s="1457">
        <v>1275</v>
      </c>
      <c r="C1525" s="1102">
        <v>1.0072704851969525</v>
      </c>
      <c r="D1525" s="1102">
        <v>1.0085006552311395</v>
      </c>
      <c r="E1525" s="1102">
        <v>1.0080751197159308</v>
      </c>
      <c r="F1525" s="1102">
        <v>0.98127103771113311</v>
      </c>
      <c r="G1525" s="1102">
        <v>1.0147411952907863</v>
      </c>
      <c r="H1525" s="1102">
        <v>1.0174582855400691</v>
      </c>
      <c r="I1525" s="1102">
        <v>1.0026496281661761</v>
      </c>
      <c r="K1525">
        <v>1.5412923771748201</v>
      </c>
      <c r="L1525">
        <v>0</v>
      </c>
      <c r="M1525">
        <v>1.541104921190091E-3</v>
      </c>
      <c r="N1525">
        <v>0.14531285500503952</v>
      </c>
      <c r="O1525">
        <v>0.11929588143587727</v>
      </c>
      <c r="P1525">
        <v>1.5547622007705977E-2</v>
      </c>
      <c r="Q1525">
        <v>8.9675273726917671E-4</v>
      </c>
      <c r="R1525">
        <v>1.5376537409742526E-3</v>
      </c>
      <c r="S1525">
        <v>0.1196901343199203</v>
      </c>
      <c r="T1525">
        <v>0.80927143564504866</v>
      </c>
      <c r="U1525">
        <v>0</v>
      </c>
      <c r="V1525">
        <v>0.20446069537736708</v>
      </c>
      <c r="W1525">
        <v>9.500505997253067E-2</v>
      </c>
      <c r="X1525">
        <v>2.7630405258763289E-2</v>
      </c>
      <c r="Y1525">
        <v>4.1849865955124327E-3</v>
      </c>
    </row>
    <row r="1526" spans="1:25" x14ac:dyDescent="0.25">
      <c r="A1526" s="1098"/>
      <c r="B1526" s="1457">
        <v>1276</v>
      </c>
      <c r="C1526" s="1102">
        <v>1.0006981518262237</v>
      </c>
      <c r="D1526" s="1102">
        <v>0.97387407185772679</v>
      </c>
      <c r="E1526" s="1102">
        <v>0.99128014084229243</v>
      </c>
      <c r="F1526" s="1102">
        <v>1.0042638136249169</v>
      </c>
      <c r="G1526" s="1102">
        <v>1.0160082509653365</v>
      </c>
      <c r="H1526" s="1102">
        <v>0.97842462511699968</v>
      </c>
      <c r="I1526" s="1102">
        <v>1.0222198419348316</v>
      </c>
      <c r="K1526">
        <v>1.5650449347602318</v>
      </c>
      <c r="L1526">
        <v>0</v>
      </c>
      <c r="M1526">
        <v>1.5775028005489016E-3</v>
      </c>
      <c r="N1526">
        <v>0.14137515252887928</v>
      </c>
      <c r="O1526">
        <v>0.12283604011315676</v>
      </c>
      <c r="P1526">
        <v>1.5699125554998805E-2</v>
      </c>
      <c r="Q1526">
        <v>8.9954173669443648E-4</v>
      </c>
      <c r="R1526">
        <v>1.5738551843891269E-3</v>
      </c>
      <c r="S1526">
        <v>0.1222789330342243</v>
      </c>
      <c r="T1526">
        <v>0.82934758887317073</v>
      </c>
      <c r="U1526">
        <v>0</v>
      </c>
      <c r="V1526">
        <v>0.20728766181916655</v>
      </c>
      <c r="W1526">
        <v>9.3358113007954241E-2</v>
      </c>
      <c r="X1526">
        <v>2.7682910717461075E-2</v>
      </c>
      <c r="Y1526">
        <v>4.2835149906851056E-3</v>
      </c>
    </row>
    <row r="1527" spans="1:25" x14ac:dyDescent="0.25">
      <c r="A1527" s="1098"/>
      <c r="B1527" s="1457">
        <v>1277</v>
      </c>
      <c r="C1527" s="1102">
        <v>0.98429375305219191</v>
      </c>
      <c r="D1527" s="1102">
        <v>0.98352764920677349</v>
      </c>
      <c r="E1527" s="1102">
        <v>1.0152289016257061</v>
      </c>
      <c r="F1527" s="1102">
        <v>0.97266585649747106</v>
      </c>
      <c r="G1527" s="1102">
        <v>0.98330957636090899</v>
      </c>
      <c r="H1527" s="1102">
        <v>1.0395123551478007</v>
      </c>
      <c r="I1527" s="1102">
        <v>0.99737444321582325</v>
      </c>
      <c r="K1527">
        <v>1.5579420488124001</v>
      </c>
      <c r="L1527">
        <v>0</v>
      </c>
      <c r="M1527">
        <v>1.6062136557764499E-3</v>
      </c>
      <c r="N1527">
        <v>0.15476611117672026</v>
      </c>
      <c r="O1527">
        <v>0.12092942797944942</v>
      </c>
      <c r="P1527">
        <v>1.5614504388937493E-2</v>
      </c>
      <c r="Q1527">
        <v>9.3379432426648654E-4</v>
      </c>
      <c r="R1527">
        <v>1.6026989518797725E-3</v>
      </c>
      <c r="S1527">
        <v>0.12526866125771691</v>
      </c>
      <c r="T1527">
        <v>0.80171786927771516</v>
      </c>
      <c r="U1527">
        <v>0</v>
      </c>
      <c r="V1527">
        <v>0.2053024931125739</v>
      </c>
      <c r="W1527">
        <v>0.10076017580284569</v>
      </c>
      <c r="X1527">
        <v>2.8290507978621753E-2</v>
      </c>
      <c r="Y1527">
        <v>4.3620182174492449E-3</v>
      </c>
    </row>
    <row r="1528" spans="1:25" x14ac:dyDescent="0.25">
      <c r="A1528" s="1098"/>
      <c r="B1528" s="1457">
        <v>1278</v>
      </c>
      <c r="C1528" s="1102">
        <v>0.96998232527907691</v>
      </c>
      <c r="D1528" s="1102">
        <v>1.0146769916252425</v>
      </c>
      <c r="E1528" s="1102">
        <v>1.012993431841859</v>
      </c>
      <c r="F1528" s="1102">
        <v>0.97128756524164406</v>
      </c>
      <c r="G1528" s="1102">
        <v>1.0075142247056368</v>
      </c>
      <c r="H1528" s="1102">
        <v>0.96511492365320162</v>
      </c>
      <c r="I1528" s="1102">
        <v>0.97449286154506953</v>
      </c>
      <c r="K1528">
        <v>1.5277682668825321</v>
      </c>
      <c r="L1528">
        <v>0</v>
      </c>
      <c r="M1528">
        <v>1.4920509204782706E-3</v>
      </c>
      <c r="N1528">
        <v>0.14277303346618569</v>
      </c>
      <c r="O1528">
        <v>0.12022233918592333</v>
      </c>
      <c r="P1528">
        <v>1.5465315674445758E-2</v>
      </c>
      <c r="Q1528">
        <v>9.3367683230184445E-4</v>
      </c>
      <c r="R1528">
        <v>1.4885121583503478E-3</v>
      </c>
      <c r="S1528">
        <v>0.11596784313718086</v>
      </c>
      <c r="T1528">
        <v>0.800724160925255</v>
      </c>
      <c r="U1528">
        <v>0</v>
      </c>
      <c r="V1528">
        <v>0.20663497232402619</v>
      </c>
      <c r="W1528">
        <v>9.3074319840832254E-2</v>
      </c>
      <c r="X1528">
        <v>2.7924904851379495E-2</v>
      </c>
      <c r="Y1528">
        <v>4.0512394071285217E-3</v>
      </c>
    </row>
    <row r="1529" spans="1:25" x14ac:dyDescent="0.25">
      <c r="A1529" s="1098"/>
      <c r="B1529" s="1457">
        <v>1279</v>
      </c>
      <c r="C1529" s="1102">
        <v>0.97712786507142524</v>
      </c>
      <c r="D1529" s="1102">
        <v>1.0409690995607501</v>
      </c>
      <c r="E1529" s="1102">
        <v>1.0325626069416307</v>
      </c>
      <c r="F1529" s="1102">
        <v>0.9740034813109324</v>
      </c>
      <c r="G1529" s="1102">
        <v>1.0143628266660198</v>
      </c>
      <c r="H1529" s="1102">
        <v>1.0238018619734461</v>
      </c>
      <c r="I1529" s="1102">
        <v>1.0109650997171002</v>
      </c>
      <c r="K1529">
        <v>1.5465092952768134</v>
      </c>
      <c r="L1529">
        <v>0</v>
      </c>
      <c r="M1529">
        <v>1.4880683990662982E-3</v>
      </c>
      <c r="N1529">
        <v>0.15106890533519787</v>
      </c>
      <c r="O1529">
        <v>0.11888221626661941</v>
      </c>
      <c r="P1529">
        <v>1.5779740356831429E-2</v>
      </c>
      <c r="Q1529">
        <v>9.3598886183971126E-4</v>
      </c>
      <c r="R1529">
        <v>1.4847300685094302E-3</v>
      </c>
      <c r="S1529">
        <v>0.12241160189535362</v>
      </c>
      <c r="T1529">
        <v>0.8017189187985011</v>
      </c>
      <c r="U1529">
        <v>0</v>
      </c>
      <c r="V1529">
        <v>0.20573759980046197</v>
      </c>
      <c r="W1529">
        <v>9.7363754052830473E-2</v>
      </c>
      <c r="X1529">
        <v>2.8572962434387957E-2</v>
      </c>
      <c r="Y1529">
        <v>4.0409458053471247E-3</v>
      </c>
    </row>
    <row r="1530" spans="1:25" x14ac:dyDescent="0.25">
      <c r="A1530" s="1098"/>
      <c r="B1530" s="1457">
        <v>1280</v>
      </c>
      <c r="C1530" s="1102">
        <v>1.0074222456079174</v>
      </c>
      <c r="D1530" s="1102">
        <v>1.0132348159287681</v>
      </c>
      <c r="E1530" s="1102">
        <v>1.0078520947287433</v>
      </c>
      <c r="F1530" s="1102">
        <v>1.0359256485750614</v>
      </c>
      <c r="G1530" s="1102">
        <v>0.98716800022629736</v>
      </c>
      <c r="H1530" s="1102">
        <v>0.97974806030157768</v>
      </c>
      <c r="I1530" s="1102">
        <v>1.0190493476758344</v>
      </c>
      <c r="K1530">
        <v>1.5828896630888853</v>
      </c>
      <c r="L1530">
        <v>0</v>
      </c>
      <c r="M1530">
        <v>1.4865275581063373E-3</v>
      </c>
      <c r="N1530">
        <v>0.14006128959372116</v>
      </c>
      <c r="O1530">
        <v>0.12287983056809547</v>
      </c>
      <c r="P1530">
        <v>1.6167949818224017E-2</v>
      </c>
      <c r="Q1530">
        <v>8.9473353764522802E-4</v>
      </c>
      <c r="R1530">
        <v>1.4830817601936893E-3</v>
      </c>
      <c r="S1530">
        <v>0.11860701382940229</v>
      </c>
      <c r="T1530">
        <v>0.85436124411207603</v>
      </c>
      <c r="U1530">
        <v>0</v>
      </c>
      <c r="V1530">
        <v>0.20588443327132688</v>
      </c>
      <c r="W1530">
        <v>9.1583666968460653E-2</v>
      </c>
      <c r="X1530">
        <v>2.8416487534370059E-2</v>
      </c>
      <c r="Y1530">
        <v>4.0364596534763694E-3</v>
      </c>
    </row>
    <row r="1531" spans="1:25" x14ac:dyDescent="0.25">
      <c r="A1531" s="1098"/>
      <c r="B1531" s="1457">
        <v>1281</v>
      </c>
      <c r="C1531" s="1102">
        <v>1.0009234986480686</v>
      </c>
      <c r="D1531" s="1102">
        <v>1.0425117540970681</v>
      </c>
      <c r="E1531" s="1102">
        <v>0.96966694512001794</v>
      </c>
      <c r="F1531" s="1102">
        <v>0.96710316268563745</v>
      </c>
      <c r="G1531" s="1102">
        <v>0.99595830372516614</v>
      </c>
      <c r="H1531" s="1102">
        <v>0.96899314605980091</v>
      </c>
      <c r="I1531" s="1102">
        <v>0.99531335205271942</v>
      </c>
      <c r="K1531">
        <v>1.4982419301702508</v>
      </c>
      <c r="L1531">
        <v>0</v>
      </c>
      <c r="M1531">
        <v>1.5671373074554705E-3</v>
      </c>
      <c r="N1531">
        <v>0.13154864637381924</v>
      </c>
      <c r="O1531">
        <v>0.11730538572544476</v>
      </c>
      <c r="P1531">
        <v>1.486805517576489E-2</v>
      </c>
      <c r="Q1531">
        <v>8.5557519504663772E-4</v>
      </c>
      <c r="R1531">
        <v>1.5634263094410901E-3</v>
      </c>
      <c r="S1531">
        <v>0.11331571286186849</v>
      </c>
      <c r="T1531">
        <v>0.8000523512723946</v>
      </c>
      <c r="U1531">
        <v>0</v>
      </c>
      <c r="V1531">
        <v>0.20237413235049831</v>
      </c>
      <c r="W1531">
        <v>8.8009814293311714E-2</v>
      </c>
      <c r="X1531">
        <v>2.5660836889160609E-2</v>
      </c>
      <c r="Y1531">
        <v>4.2551310309542527E-3</v>
      </c>
    </row>
    <row r="1532" spans="1:25" x14ac:dyDescent="0.25">
      <c r="A1532" s="1098"/>
      <c r="B1532" s="1457">
        <v>1282</v>
      </c>
      <c r="C1532" s="1102">
        <v>1.0172355887122324</v>
      </c>
      <c r="D1532" s="1102">
        <v>1.0046694651384573</v>
      </c>
      <c r="E1532" s="1102">
        <v>0.98678468414547948</v>
      </c>
      <c r="F1532" s="1102">
        <v>1.0096632442048501</v>
      </c>
      <c r="G1532" s="1102">
        <v>1.0060866334140159</v>
      </c>
      <c r="H1532" s="1102">
        <v>1.0039177495436051</v>
      </c>
      <c r="I1532" s="1102">
        <v>1.0049232179956966</v>
      </c>
      <c r="K1532">
        <v>1.5584694862105257</v>
      </c>
      <c r="L1532">
        <v>0</v>
      </c>
      <c r="M1532">
        <v>1.5815878498436464E-3</v>
      </c>
      <c r="N1532">
        <v>0.13983473262987209</v>
      </c>
      <c r="O1532">
        <v>0.12100717322289828</v>
      </c>
      <c r="P1532">
        <v>1.5621256892219269E-2</v>
      </c>
      <c r="Q1532">
        <v>8.6987854972707022E-4</v>
      </c>
      <c r="R1532">
        <v>1.5780107969906145E-3</v>
      </c>
      <c r="S1532">
        <v>0.11818418809125872</v>
      </c>
      <c r="T1532">
        <v>0.83410781955001745</v>
      </c>
      <c r="U1532">
        <v>0</v>
      </c>
      <c r="V1532">
        <v>0.20479650631902477</v>
      </c>
      <c r="W1532">
        <v>9.2590090571571138E-2</v>
      </c>
      <c r="X1532">
        <v>2.7166592238500403E-2</v>
      </c>
      <c r="Y1532">
        <v>4.2948251982890297E-3</v>
      </c>
    </row>
    <row r="1533" spans="1:25" x14ac:dyDescent="0.25">
      <c r="A1533" s="1098"/>
      <c r="B1533" s="1457">
        <v>1283</v>
      </c>
      <c r="C1533" s="1102">
        <v>0.99687709370386079</v>
      </c>
      <c r="D1533" s="1102">
        <v>1.0184311700923179</v>
      </c>
      <c r="E1533" s="1102">
        <v>0.99027630048184589</v>
      </c>
      <c r="F1533" s="1102">
        <v>1.0163292976409852</v>
      </c>
      <c r="G1533" s="1102">
        <v>1.0027584682514588</v>
      </c>
      <c r="H1533" s="1102">
        <v>1.0124236917607856</v>
      </c>
      <c r="I1533" s="1102">
        <v>1.0039127696301084</v>
      </c>
      <c r="K1533">
        <v>1.5738962332901691</v>
      </c>
      <c r="L1533">
        <v>0</v>
      </c>
      <c r="M1533">
        <v>1.6018663547995933E-3</v>
      </c>
      <c r="N1533">
        <v>0.14313252077908487</v>
      </c>
      <c r="O1533">
        <v>0.12189232471192211</v>
      </c>
      <c r="P1533">
        <v>1.5779936526903092E-2</v>
      </c>
      <c r="Q1533">
        <v>8.8604751251182383E-4</v>
      </c>
      <c r="R1533">
        <v>1.5982622112706631E-3</v>
      </c>
      <c r="S1533">
        <v>0.12010443828483881</v>
      </c>
      <c r="T1533">
        <v>0.83937923779306034</v>
      </c>
      <c r="U1533">
        <v>0</v>
      </c>
      <c r="V1533">
        <v>0.20628247026346255</v>
      </c>
      <c r="W1533">
        <v>9.457542588839199E-2</v>
      </c>
      <c r="X1533">
        <v>2.7517492801441286E-2</v>
      </c>
      <c r="Y1533">
        <v>4.3499428720823984E-3</v>
      </c>
    </row>
    <row r="1534" spans="1:25" x14ac:dyDescent="0.25">
      <c r="A1534" s="1098"/>
      <c r="B1534" s="1457">
        <v>1284</v>
      </c>
      <c r="C1534" s="1102">
        <v>1.0216291551049628</v>
      </c>
      <c r="D1534" s="1102">
        <v>0.98665354692522811</v>
      </c>
      <c r="E1534" s="1102">
        <v>0.99714995440536425</v>
      </c>
      <c r="F1534" s="1102">
        <v>1.0125150787896082</v>
      </c>
      <c r="G1534" s="1102">
        <v>1.0274210650967845</v>
      </c>
      <c r="H1534" s="1102">
        <v>0.99581006586130538</v>
      </c>
      <c r="I1534" s="1102">
        <v>1.0270536608640048</v>
      </c>
      <c r="K1534">
        <v>1.5670145265874413</v>
      </c>
      <c r="L1534">
        <v>0</v>
      </c>
      <c r="M1534">
        <v>1.5455028118139707E-3</v>
      </c>
      <c r="N1534">
        <v>0.14099227986302185</v>
      </c>
      <c r="O1534">
        <v>0.12175156507187981</v>
      </c>
      <c r="P1534">
        <v>1.5822062978123871E-2</v>
      </c>
      <c r="Q1534">
        <v>8.8189647040173998E-4</v>
      </c>
      <c r="R1534">
        <v>1.5419914863455939E-3</v>
      </c>
      <c r="S1534">
        <v>0.120986020326615</v>
      </c>
      <c r="T1534">
        <v>0.83576825164689283</v>
      </c>
      <c r="U1534">
        <v>0</v>
      </c>
      <c r="V1534">
        <v>0.20610553853895899</v>
      </c>
      <c r="W1534">
        <v>9.2779547280505609E-2</v>
      </c>
      <c r="X1534">
        <v>2.7734083228034598E-2</v>
      </c>
      <c r="Y1534">
        <v>4.1967925084758469E-3</v>
      </c>
    </row>
    <row r="1535" spans="1:25" x14ac:dyDescent="0.25">
      <c r="A1535" s="1098"/>
      <c r="B1535" s="1457">
        <v>1285</v>
      </c>
      <c r="C1535" s="1102">
        <v>0.98794043334653781</v>
      </c>
      <c r="D1535" s="1102">
        <v>1.0186252881285756</v>
      </c>
      <c r="E1535" s="1102">
        <v>0.97304245458923566</v>
      </c>
      <c r="F1535" s="1102">
        <v>0.99878374278711779</v>
      </c>
      <c r="G1535" s="1102">
        <v>0.99410800616253847</v>
      </c>
      <c r="H1535" s="1102">
        <v>0.99620244518273982</v>
      </c>
      <c r="I1535" s="1102">
        <v>0.95893268751169713</v>
      </c>
      <c r="K1535">
        <v>1.5471487373462502</v>
      </c>
      <c r="L1535">
        <v>0</v>
      </c>
      <c r="M1535">
        <v>1.644784171541662E-3</v>
      </c>
      <c r="N1535">
        <v>0.13949545237021954</v>
      </c>
      <c r="O1535">
        <v>0.12117309654528569</v>
      </c>
      <c r="P1535">
        <v>1.5311824960675459E-2</v>
      </c>
      <c r="Q1535">
        <v>8.7800764598503487E-4</v>
      </c>
      <c r="R1535">
        <v>1.6410157423747142E-3</v>
      </c>
      <c r="S1535">
        <v>0.11433193965559378</v>
      </c>
      <c r="T1535">
        <v>0.82603496820152511</v>
      </c>
      <c r="U1535">
        <v>0</v>
      </c>
      <c r="V1535">
        <v>0.20571360514837475</v>
      </c>
      <c r="W1535">
        <v>9.3135123430453604E-2</v>
      </c>
      <c r="X1535">
        <v>2.6612183927255111E-2</v>
      </c>
      <c r="Y1535">
        <v>4.4663038900498841E-3</v>
      </c>
    </row>
    <row r="1536" spans="1:25" x14ac:dyDescent="0.25">
      <c r="A1536" s="1098"/>
      <c r="B1536" s="1457">
        <v>1286</v>
      </c>
      <c r="C1536" s="1102">
        <v>0.96121359866404033</v>
      </c>
      <c r="D1536" s="1102">
        <v>0.99361501771051264</v>
      </c>
      <c r="E1536" s="1102">
        <v>1.0214944846897676</v>
      </c>
      <c r="F1536" s="1102">
        <v>1.0120933796675424</v>
      </c>
      <c r="G1536" s="1102">
        <v>1.0439328754042523</v>
      </c>
      <c r="H1536" s="1102">
        <v>1.0356797852243602</v>
      </c>
      <c r="I1536" s="1102">
        <v>1.0125846502960347</v>
      </c>
      <c r="K1536">
        <v>1.611141707660888</v>
      </c>
      <c r="L1536">
        <v>0</v>
      </c>
      <c r="M1536">
        <v>1.610379794594349E-3</v>
      </c>
      <c r="N1536">
        <v>0.15812735699853225</v>
      </c>
      <c r="O1536">
        <v>0.1245039881455549</v>
      </c>
      <c r="P1536">
        <v>1.6277035086908212E-2</v>
      </c>
      <c r="Q1536">
        <v>9.5846727060784381E-4</v>
      </c>
      <c r="R1536">
        <v>1.6068417717796676E-3</v>
      </c>
      <c r="S1536">
        <v>0.12925444053525467</v>
      </c>
      <c r="T1536">
        <v>0.83380106912968976</v>
      </c>
      <c r="U1536">
        <v>0</v>
      </c>
      <c r="V1536">
        <v>0.2118603257493881</v>
      </c>
      <c r="W1536">
        <v>0.10257133577135037</v>
      </c>
      <c r="X1536">
        <v>2.9417933388880105E-2</v>
      </c>
      <c r="Y1536">
        <v>4.3732936075365466E-3</v>
      </c>
    </row>
    <row r="1537" spans="1:25" x14ac:dyDescent="0.25">
      <c r="A1537" s="1098"/>
      <c r="B1537" s="1457">
        <v>1287</v>
      </c>
      <c r="C1537" s="1102">
        <v>1.0232601003075426</v>
      </c>
      <c r="D1537" s="1102">
        <v>1.0173322407011973</v>
      </c>
      <c r="E1537" s="1102">
        <v>0.95991069807843954</v>
      </c>
      <c r="F1537" s="1102">
        <v>0.99111568202391487</v>
      </c>
      <c r="G1537" s="1102">
        <v>1.0410000723113422</v>
      </c>
      <c r="H1537" s="1102">
        <v>0.98933862804176653</v>
      </c>
      <c r="I1537" s="1102">
        <v>1.0052244680560676</v>
      </c>
      <c r="K1537">
        <v>1.5269702587311311</v>
      </c>
      <c r="L1537">
        <v>0</v>
      </c>
      <c r="M1537">
        <v>1.6247032860435358E-3</v>
      </c>
      <c r="N1537">
        <v>0.13241822417755672</v>
      </c>
      <c r="O1537">
        <v>0.11894715724546347</v>
      </c>
      <c r="P1537">
        <v>1.5083685264508049E-2</v>
      </c>
      <c r="Q1537">
        <v>8.3645708928524703E-4</v>
      </c>
      <c r="R1537">
        <v>1.6209631042175909E-3</v>
      </c>
      <c r="S1537">
        <v>0.11539730066952156</v>
      </c>
      <c r="T1537">
        <v>0.82056641926831997</v>
      </c>
      <c r="U1537">
        <v>0</v>
      </c>
      <c r="V1537">
        <v>0.20450929759975472</v>
      </c>
      <c r="W1537">
        <v>8.9121403919311462E-2</v>
      </c>
      <c r="X1537">
        <v>2.5682326459898031E-2</v>
      </c>
      <c r="Y1537">
        <v>4.4117272193365869E-3</v>
      </c>
    </row>
    <row r="1538" spans="1:25" x14ac:dyDescent="0.25">
      <c r="A1538" s="1098"/>
      <c r="B1538" s="1457">
        <v>1288</v>
      </c>
      <c r="C1538" s="1102">
        <v>1.0213562800545277</v>
      </c>
      <c r="D1538" s="1102">
        <v>0.97444312054240834</v>
      </c>
      <c r="E1538" s="1102">
        <v>0.99062830060705775</v>
      </c>
      <c r="F1538" s="1102">
        <v>0.97868355484289005</v>
      </c>
      <c r="G1538" s="1102">
        <v>1.0104355366132556</v>
      </c>
      <c r="H1538" s="1102">
        <v>0.97403695296939319</v>
      </c>
      <c r="I1538" s="1102">
        <v>1.0083628861550376</v>
      </c>
      <c r="K1538">
        <v>1.5259504709462473</v>
      </c>
      <c r="L1538">
        <v>0</v>
      </c>
      <c r="M1538">
        <v>1.5394878736771829E-3</v>
      </c>
      <c r="N1538">
        <v>0.13769502558738542</v>
      </c>
      <c r="O1538">
        <v>0.11995255077316729</v>
      </c>
      <c r="P1538">
        <v>1.5299713225655362E-2</v>
      </c>
      <c r="Q1538">
        <v>8.8054336098302506E-4</v>
      </c>
      <c r="R1538">
        <v>1.5359100422336078E-3</v>
      </c>
      <c r="S1538">
        <v>0.11775312345807507</v>
      </c>
      <c r="T1538">
        <v>0.80826503505720682</v>
      </c>
      <c r="U1538">
        <v>0</v>
      </c>
      <c r="V1538">
        <v>0.20396542529072159</v>
      </c>
      <c r="W1538">
        <v>9.0963401095945459E-2</v>
      </c>
      <c r="X1538">
        <v>2.6998990106199459E-2</v>
      </c>
      <c r="Y1538">
        <v>4.180240822350534E-3</v>
      </c>
    </row>
    <row r="1539" spans="1:25" x14ac:dyDescent="0.25">
      <c r="A1539" s="1098"/>
      <c r="B1539" s="1457">
        <v>1289</v>
      </c>
      <c r="C1539" s="1102">
        <v>1.0101769206293842</v>
      </c>
      <c r="D1539" s="1102">
        <v>0.97472135987199604</v>
      </c>
      <c r="E1539" s="1102">
        <v>0.99754218706246423</v>
      </c>
      <c r="F1539" s="1102">
        <v>1.0076443231566408</v>
      </c>
      <c r="G1539" s="1102">
        <v>1.0407893234702854</v>
      </c>
      <c r="H1539" s="1102">
        <v>0.97874807006812581</v>
      </c>
      <c r="I1539" s="1102">
        <v>1.0072126482017858</v>
      </c>
      <c r="K1539">
        <v>1.5639115611027663</v>
      </c>
      <c r="L1539">
        <v>0</v>
      </c>
      <c r="M1539">
        <v>1.54379076063296E-3</v>
      </c>
      <c r="N1539">
        <v>0.14099779815474039</v>
      </c>
      <c r="O1539">
        <v>0.1225291797724516</v>
      </c>
      <c r="P1539">
        <v>1.5772762200245181E-2</v>
      </c>
      <c r="Q1539">
        <v>8.9661083741558083E-4</v>
      </c>
      <c r="R1539">
        <v>1.5402252034883252E-3</v>
      </c>
      <c r="S1539">
        <v>0.11940506672914279</v>
      </c>
      <c r="T1539">
        <v>0.83172162099069724</v>
      </c>
      <c r="U1539">
        <v>0</v>
      </c>
      <c r="V1539">
        <v>0.20776831904690909</v>
      </c>
      <c r="W1539">
        <v>9.2761505964258847E-2</v>
      </c>
      <c r="X1539">
        <v>2.7870277695255491E-2</v>
      </c>
      <c r="Y1539">
        <v>4.1919852687933475E-3</v>
      </c>
    </row>
    <row r="1540" spans="1:25" x14ac:dyDescent="0.25">
      <c r="A1540" s="1098"/>
      <c r="B1540" s="1457">
        <v>1290</v>
      </c>
      <c r="C1540" s="1102">
        <v>0.98304746944569277</v>
      </c>
      <c r="D1540" s="1102">
        <v>1.0095293398691088</v>
      </c>
      <c r="E1540" s="1102">
        <v>1.0082172273448724</v>
      </c>
      <c r="F1540" s="1102">
        <v>0.98278856667431991</v>
      </c>
      <c r="G1540" s="1102">
        <v>1.009260749090926</v>
      </c>
      <c r="H1540" s="1102">
        <v>0.997150321456024</v>
      </c>
      <c r="I1540" s="1102">
        <v>0.96996105794147069</v>
      </c>
      <c r="K1540">
        <v>1.543617838004141</v>
      </c>
      <c r="L1540">
        <v>0</v>
      </c>
      <c r="M1540">
        <v>1.5436274693150787E-3</v>
      </c>
      <c r="N1540">
        <v>0.14560590497058853</v>
      </c>
      <c r="O1540">
        <v>0.12059684234831006</v>
      </c>
      <c r="P1540">
        <v>1.5552962713477926E-2</v>
      </c>
      <c r="Q1540">
        <v>9.1860950949206738E-4</v>
      </c>
      <c r="R1540">
        <v>1.5400937343574581E-3</v>
      </c>
      <c r="S1540">
        <v>0.11686097885065037</v>
      </c>
      <c r="T1540">
        <v>0.81051378550645792</v>
      </c>
      <c r="U1540">
        <v>0</v>
      </c>
      <c r="V1540">
        <v>0.20631855217827363</v>
      </c>
      <c r="W1540">
        <v>9.5188666496209204E-2</v>
      </c>
      <c r="X1540">
        <v>2.7873441712480313E-2</v>
      </c>
      <c r="Y1540">
        <v>4.1916274531579156E-3</v>
      </c>
    </row>
    <row r="1541" spans="1:25" x14ac:dyDescent="0.25">
      <c r="A1541" s="1098"/>
      <c r="B1541" s="1457">
        <v>1291</v>
      </c>
      <c r="C1541" s="1102">
        <v>1.0348719972478515</v>
      </c>
      <c r="D1541" s="1102">
        <v>0.96910363402878252</v>
      </c>
      <c r="E1541" s="1102">
        <v>1.0212551140751547</v>
      </c>
      <c r="F1541" s="1102">
        <v>1.0356588705767282</v>
      </c>
      <c r="G1541" s="1102">
        <v>0.96933943548003765</v>
      </c>
      <c r="H1541" s="1102">
        <v>1.0019163591907252</v>
      </c>
      <c r="I1541" s="1102">
        <v>1.0060069816072876</v>
      </c>
      <c r="K1541">
        <v>1.5893677315359371</v>
      </c>
      <c r="L1541">
        <v>0</v>
      </c>
      <c r="M1541">
        <v>1.4790099376758188E-3</v>
      </c>
      <c r="N1541">
        <v>0.14511595995550944</v>
      </c>
      <c r="O1541">
        <v>0.12341869508676506</v>
      </c>
      <c r="P1541">
        <v>1.6294662734910623E-2</v>
      </c>
      <c r="Q1541">
        <v>8.9896578269341718E-4</v>
      </c>
      <c r="R1541">
        <v>1.4756890864867675E-3</v>
      </c>
      <c r="S1541">
        <v>0.11898969925674011</v>
      </c>
      <c r="T1541">
        <v>0.85323141205670772</v>
      </c>
      <c r="U1541">
        <v>0</v>
      </c>
      <c r="V1541">
        <v>0.20419305884534125</v>
      </c>
      <c r="W1541">
        <v>9.4144495656316093E-2</v>
      </c>
      <c r="X1541">
        <v>2.906776377950308E-2</v>
      </c>
      <c r="Y1541">
        <v>4.0163392326403599E-3</v>
      </c>
    </row>
    <row r="1542" spans="1:25" x14ac:dyDescent="0.25">
      <c r="A1542" s="1098"/>
      <c r="B1542" s="1457">
        <v>1292</v>
      </c>
      <c r="C1542" s="1102">
        <v>1.0209067932926033</v>
      </c>
      <c r="D1542" s="1102">
        <v>1.0025066608052258</v>
      </c>
      <c r="E1542" s="1102">
        <v>0.99552670646014352</v>
      </c>
      <c r="F1542" s="1102">
        <v>1.0106304332267797</v>
      </c>
      <c r="G1542" s="1102">
        <v>0.9673140350814432</v>
      </c>
      <c r="H1542" s="1102">
        <v>0.9591418068225549</v>
      </c>
      <c r="I1542" s="1102">
        <v>0.99524008280069387</v>
      </c>
      <c r="K1542">
        <v>1.5424344846101379</v>
      </c>
      <c r="L1542">
        <v>0</v>
      </c>
      <c r="M1542">
        <v>1.4808873160826756E-3</v>
      </c>
      <c r="N1542">
        <v>0.13442385223793035</v>
      </c>
      <c r="O1542">
        <v>0.12095621008529014</v>
      </c>
      <c r="P1542">
        <v>1.5635437078900936E-2</v>
      </c>
      <c r="Q1542">
        <v>8.7543400691779362E-4</v>
      </c>
      <c r="R1542">
        <v>1.4773840693723054E-3</v>
      </c>
      <c r="S1542">
        <v>0.11335344140058451</v>
      </c>
      <c r="T1542">
        <v>0.8343210842297335</v>
      </c>
      <c r="U1542">
        <v>0</v>
      </c>
      <c r="V1542">
        <v>0.20287512668680802</v>
      </c>
      <c r="W1542">
        <v>8.854284258210203E-2</v>
      </c>
      <c r="X1542">
        <v>2.7433607131276766E-2</v>
      </c>
      <c r="Y1542">
        <v>4.020952417303836E-3</v>
      </c>
    </row>
    <row r="1543" spans="1:25" x14ac:dyDescent="0.25">
      <c r="A1543" s="1098"/>
      <c r="B1543" s="1457">
        <v>1293</v>
      </c>
      <c r="C1543" s="1102">
        <v>1.0348720309280162</v>
      </c>
      <c r="D1543" s="1102">
        <v>1.0195968389338899</v>
      </c>
      <c r="E1543" s="1102">
        <v>0.98652030517720768</v>
      </c>
      <c r="F1543" s="1102">
        <v>1.0223543914438116</v>
      </c>
      <c r="G1543" s="1102">
        <v>0.99076025239535992</v>
      </c>
      <c r="H1543" s="1102">
        <v>1.0120717096647724</v>
      </c>
      <c r="I1543" s="1102">
        <v>0.96093616805095428</v>
      </c>
      <c r="K1543">
        <v>1.5552941598599515</v>
      </c>
      <c r="L1543">
        <v>0</v>
      </c>
      <c r="M1543">
        <v>1.5582559795666363E-3</v>
      </c>
      <c r="N1543">
        <v>0.13766414380845768</v>
      </c>
      <c r="O1543">
        <v>0.12035499968262151</v>
      </c>
      <c r="P1543">
        <v>1.5635166731567184E-2</v>
      </c>
      <c r="Q1543">
        <v>8.4978979571414984E-4</v>
      </c>
      <c r="R1543">
        <v>1.5547586560088465E-3</v>
      </c>
      <c r="S1543">
        <v>0.1108573952544257</v>
      </c>
      <c r="T1543">
        <v>0.84461025003613144</v>
      </c>
      <c r="U1543">
        <v>0</v>
      </c>
      <c r="V1543">
        <v>0.20289382530511818</v>
      </c>
      <c r="W1543">
        <v>9.1167334269272204E-2</v>
      </c>
      <c r="X1543">
        <v>2.703321176459747E-2</v>
      </c>
      <c r="Y1543">
        <v>4.2315405356028717E-3</v>
      </c>
    </row>
    <row r="1544" spans="1:25" x14ac:dyDescent="0.25">
      <c r="A1544" s="1098"/>
      <c r="B1544" s="1457">
        <v>1294</v>
      </c>
      <c r="C1544" s="1102">
        <v>1.0279160509262022</v>
      </c>
      <c r="D1544" s="1102">
        <v>0.97438802890576304</v>
      </c>
      <c r="E1544" s="1102">
        <v>1.0142789276234681</v>
      </c>
      <c r="F1544" s="1102">
        <v>1.0020953355034117</v>
      </c>
      <c r="G1544" s="1102">
        <v>1.0106858933398055</v>
      </c>
      <c r="H1544" s="1102">
        <v>0.99325655397327817</v>
      </c>
      <c r="I1544" s="1102">
        <v>1.000045119126943</v>
      </c>
      <c r="K1544">
        <v>1.5549224005515097</v>
      </c>
      <c r="L1544">
        <v>0</v>
      </c>
      <c r="M1544">
        <v>1.4886319770446054E-3</v>
      </c>
      <c r="N1544">
        <v>0.14301366567462831</v>
      </c>
      <c r="O1544">
        <v>0.12121342349792948</v>
      </c>
      <c r="P1544">
        <v>1.5826983886483983E-2</v>
      </c>
      <c r="Q1544">
        <v>8.9663513738486847E-4</v>
      </c>
      <c r="R1544">
        <v>1.4852471583411265E-3</v>
      </c>
      <c r="S1544">
        <v>0.1177693842112721</v>
      </c>
      <c r="T1544">
        <v>0.82603744724598216</v>
      </c>
      <c r="U1544">
        <v>0</v>
      </c>
      <c r="V1544">
        <v>0.20470869329408969</v>
      </c>
      <c r="W1544">
        <v>9.3160745999875241E-2</v>
      </c>
      <c r="X1544">
        <v>2.8256453269155532E-2</v>
      </c>
      <c r="Y1544">
        <v>4.0423531534103854E-3</v>
      </c>
    </row>
    <row r="1545" spans="1:25" x14ac:dyDescent="0.25">
      <c r="A1545" s="1098"/>
      <c r="B1545" s="1457">
        <v>1295</v>
      </c>
      <c r="C1545" s="1102">
        <v>1.0120589289177591</v>
      </c>
      <c r="D1545" s="1102">
        <v>1.0137930460723394</v>
      </c>
      <c r="E1545" s="1102">
        <v>0.97527061912100266</v>
      </c>
      <c r="F1545" s="1102">
        <v>1.0154286922619566</v>
      </c>
      <c r="G1545" s="1102">
        <v>0.97367086030843575</v>
      </c>
      <c r="H1545" s="1102">
        <v>0.95250118519887383</v>
      </c>
      <c r="I1545" s="1102">
        <v>0.99134941033006996</v>
      </c>
      <c r="K1545">
        <v>1.5432078046041335</v>
      </c>
      <c r="L1545">
        <v>0</v>
      </c>
      <c r="M1545">
        <v>1.5367742219037142E-3</v>
      </c>
      <c r="N1545">
        <v>0.13120442383540087</v>
      </c>
      <c r="O1545">
        <v>0.12130031421312794</v>
      </c>
      <c r="P1545">
        <v>1.5470340974428566E-2</v>
      </c>
      <c r="Q1545">
        <v>8.607292641394452E-4</v>
      </c>
      <c r="R1545">
        <v>1.533105521102283E-3</v>
      </c>
      <c r="S1545">
        <v>0.11256711443930051</v>
      </c>
      <c r="T1545">
        <v>0.83964977539447783</v>
      </c>
      <c r="U1545">
        <v>0</v>
      </c>
      <c r="V1545">
        <v>0.20376560920133469</v>
      </c>
      <c r="W1545">
        <v>8.7481234195796051E-2</v>
      </c>
      <c r="X1545">
        <v>2.6739323946586197E-2</v>
      </c>
      <c r="Y1545">
        <v>4.1726078403412073E-3</v>
      </c>
    </row>
    <row r="1546" spans="1:25" x14ac:dyDescent="0.25">
      <c r="A1546" s="1098"/>
      <c r="B1546" s="1457">
        <v>1296</v>
      </c>
      <c r="C1546" s="1102">
        <v>1.0238949646724143</v>
      </c>
      <c r="D1546" s="1102">
        <v>0.99524294476418718</v>
      </c>
      <c r="E1546" s="1102">
        <v>1.0139941290166194</v>
      </c>
      <c r="F1546" s="1102">
        <v>0.95981675623029761</v>
      </c>
      <c r="G1546" s="1102">
        <v>0.96994537482165621</v>
      </c>
      <c r="H1546" s="1102">
        <v>1.0269826126534203</v>
      </c>
      <c r="I1546" s="1102">
        <v>1.0047236407518343</v>
      </c>
      <c r="K1546">
        <v>1.5178237180726524</v>
      </c>
      <c r="L1546">
        <v>0</v>
      </c>
      <c r="M1546">
        <v>1.5221679859556215E-3</v>
      </c>
      <c r="N1546">
        <v>0.14611846870592424</v>
      </c>
      <c r="O1546">
        <v>0.11751554970453192</v>
      </c>
      <c r="P1546">
        <v>1.5309784292726282E-2</v>
      </c>
      <c r="Q1546">
        <v>8.9230196402145345E-4</v>
      </c>
      <c r="R1546">
        <v>1.5187965422941113E-3</v>
      </c>
      <c r="S1546">
        <v>0.11963830326759045</v>
      </c>
      <c r="T1546">
        <v>0.79120470178617863</v>
      </c>
      <c r="U1546">
        <v>0</v>
      </c>
      <c r="V1546">
        <v>0.20036494776524646</v>
      </c>
      <c r="W1546">
        <v>9.5199184706241502E-2</v>
      </c>
      <c r="X1546">
        <v>2.7450183806874872E-2</v>
      </c>
      <c r="Y1546">
        <v>4.1336635169789615E-3</v>
      </c>
    </row>
    <row r="1547" spans="1:25" x14ac:dyDescent="0.25">
      <c r="A1547" s="1098"/>
      <c r="B1547" s="1457">
        <v>1297</v>
      </c>
      <c r="C1547" s="1102">
        <v>1.0036664595176206</v>
      </c>
      <c r="D1547" s="1102">
        <v>1.0077936396233065</v>
      </c>
      <c r="E1547" s="1102">
        <v>1.0102641346560124</v>
      </c>
      <c r="F1547" s="1102">
        <v>0.99232231130054849</v>
      </c>
      <c r="G1547" s="1102">
        <v>1.0296118207418632</v>
      </c>
      <c r="H1547" s="1102">
        <v>0.9941188521353419</v>
      </c>
      <c r="I1547" s="1102">
        <v>0.98747358187139922</v>
      </c>
      <c r="K1547">
        <v>1.5459441480134022</v>
      </c>
      <c r="L1547">
        <v>0</v>
      </c>
      <c r="M1547">
        <v>1.5057948728146473E-3</v>
      </c>
      <c r="N1547">
        <v>0.14291760571893783</v>
      </c>
      <c r="O1547">
        <v>0.12027837438573817</v>
      </c>
      <c r="P1547">
        <v>1.5675028493991588E-2</v>
      </c>
      <c r="Q1547">
        <v>9.022608350238413E-4</v>
      </c>
      <c r="R1547">
        <v>1.5023460460620779E-3</v>
      </c>
      <c r="S1547">
        <v>0.11659019456352954</v>
      </c>
      <c r="T1547">
        <v>0.8182428619052734</v>
      </c>
      <c r="U1547">
        <v>0</v>
      </c>
      <c r="V1547">
        <v>0.20603069377865049</v>
      </c>
      <c r="W1547">
        <v>9.3318440879844394E-2</v>
      </c>
      <c r="X1547">
        <v>2.7903245590025865E-2</v>
      </c>
      <c r="Y1547">
        <v>4.088890689139992E-3</v>
      </c>
    </row>
    <row r="1548" spans="1:25" x14ac:dyDescent="0.25">
      <c r="A1548" s="1098"/>
      <c r="B1548" s="1457">
        <v>1298</v>
      </c>
      <c r="C1548" s="1102">
        <v>0.98379401800975574</v>
      </c>
      <c r="D1548" s="1102">
        <v>1.017563971501084</v>
      </c>
      <c r="E1548" s="1102">
        <v>0.98935894969191174</v>
      </c>
      <c r="F1548" s="1102">
        <v>0.97252844093701385</v>
      </c>
      <c r="G1548" s="1102">
        <v>1.0011221236717109</v>
      </c>
      <c r="H1548" s="1102">
        <v>0.99058092018339128</v>
      </c>
      <c r="I1548" s="1102">
        <v>0.95898184413063636</v>
      </c>
      <c r="K1548">
        <v>1.5240474069362073</v>
      </c>
      <c r="L1548">
        <v>0</v>
      </c>
      <c r="M1548">
        <v>1.5851017385593886E-3</v>
      </c>
      <c r="N1548">
        <v>0.14123386959814049</v>
      </c>
      <c r="O1548">
        <v>0.11953438744350005</v>
      </c>
      <c r="P1548">
        <v>1.5185958494420015E-2</v>
      </c>
      <c r="Q1548">
        <v>8.9727820976080188E-4</v>
      </c>
      <c r="R1548">
        <v>1.5814414730326214E-3</v>
      </c>
      <c r="S1548">
        <v>0.11431374402543747</v>
      </c>
      <c r="T1548">
        <v>0.80326360521469076</v>
      </c>
      <c r="U1548">
        <v>0</v>
      </c>
      <c r="V1548">
        <v>0.20507801148822055</v>
      </c>
      <c r="W1548">
        <v>9.3372189882941173E-2</v>
      </c>
      <c r="X1548">
        <v>2.6867860477070446E-2</v>
      </c>
      <c r="Y1548">
        <v>4.3041623675533188E-3</v>
      </c>
    </row>
    <row r="1549" spans="1:25" x14ac:dyDescent="0.25">
      <c r="A1549" s="1098"/>
      <c r="B1549" s="1457">
        <v>1299</v>
      </c>
      <c r="C1549" s="1102">
        <v>0.98213753920816382</v>
      </c>
      <c r="D1549" s="1102">
        <v>1.0058547604396995</v>
      </c>
      <c r="E1549" s="1102">
        <v>0.96745579800228099</v>
      </c>
      <c r="F1549" s="1102">
        <v>1.0337921254886886</v>
      </c>
      <c r="G1549" s="1102">
        <v>1.0127742088817586</v>
      </c>
      <c r="H1549" s="1102">
        <v>1.0212764846875613</v>
      </c>
      <c r="I1549" s="1102">
        <v>1.0099309591248566</v>
      </c>
      <c r="K1549">
        <v>1.6031222852457128</v>
      </c>
      <c r="L1549">
        <v>0</v>
      </c>
      <c r="M1549">
        <v>1.7319004812791515E-3</v>
      </c>
      <c r="N1549">
        <v>0.14442966873297539</v>
      </c>
      <c r="O1549">
        <v>0.12450732582892954</v>
      </c>
      <c r="P1549">
        <v>1.5815519715944276E-2</v>
      </c>
      <c r="Q1549">
        <v>8.8245488576921076E-4</v>
      </c>
      <c r="R1549">
        <v>1.7280464113674033E-3</v>
      </c>
      <c r="S1549">
        <v>0.12424326876942098</v>
      </c>
      <c r="T1549">
        <v>0.85537513437864909</v>
      </c>
      <c r="U1549">
        <v>0</v>
      </c>
      <c r="V1549">
        <v>0.20924486256426617</v>
      </c>
      <c r="W1549">
        <v>9.6757863082032033E-2</v>
      </c>
      <c r="X1549">
        <v>2.716686867624013E-2</v>
      </c>
      <c r="Y1549">
        <v>4.7031726813956615E-3</v>
      </c>
    </row>
    <row r="1550" spans="1:25" x14ac:dyDescent="0.25">
      <c r="A1550" s="1098"/>
      <c r="B1550" s="1457">
        <v>1300</v>
      </c>
      <c r="C1550" s="1102">
        <v>0.9923071216854078</v>
      </c>
      <c r="D1550" s="1102">
        <v>0.9860419128777187</v>
      </c>
      <c r="E1550" s="1102">
        <v>1.0047353686484746</v>
      </c>
      <c r="F1550" s="1102">
        <v>1.009703409089169</v>
      </c>
      <c r="G1550" s="1102">
        <v>0.96520070533195312</v>
      </c>
      <c r="H1550" s="1102">
        <v>1.0151775545235864</v>
      </c>
      <c r="I1550" s="1102">
        <v>0.96111742344863504</v>
      </c>
      <c r="K1550">
        <v>1.5751482330938094</v>
      </c>
      <c r="L1550">
        <v>0</v>
      </c>
      <c r="M1550">
        <v>1.5935984172532173E-3</v>
      </c>
      <c r="N1550">
        <v>0.14875556347490854</v>
      </c>
      <c r="O1550">
        <v>0.12306206323818777</v>
      </c>
      <c r="P1550">
        <v>1.582510803070783E-2</v>
      </c>
      <c r="Q1550">
        <v>9.1534820653914935E-4</v>
      </c>
      <c r="R1550">
        <v>1.5900388960193629E-3</v>
      </c>
      <c r="S1550">
        <v>0.11793950780032772</v>
      </c>
      <c r="T1550">
        <v>0.83294202322403055</v>
      </c>
      <c r="U1550">
        <v>0</v>
      </c>
      <c r="V1550">
        <v>0.2056404463932372</v>
      </c>
      <c r="W1550">
        <v>9.7448157571083951E-2</v>
      </c>
      <c r="X1550">
        <v>2.8296012957236865E-2</v>
      </c>
      <c r="Y1550">
        <v>4.3275617187835029E-3</v>
      </c>
    </row>
    <row r="1551" spans="1:25" x14ac:dyDescent="0.25">
      <c r="A1551" s="1098"/>
      <c r="B1551" s="1457">
        <v>1301</v>
      </c>
      <c r="C1551" s="1102">
        <v>1.0201591530387399</v>
      </c>
      <c r="D1551" s="1102">
        <v>1.0211330851609517</v>
      </c>
      <c r="E1551" s="1102">
        <v>0.99200648240540801</v>
      </c>
      <c r="F1551" s="1102">
        <v>1.0031000275417554</v>
      </c>
      <c r="G1551" s="1102">
        <v>0.9726370494691764</v>
      </c>
      <c r="H1551" s="1102">
        <v>0.97789640168648495</v>
      </c>
      <c r="I1551" s="1102">
        <v>1.0143900551812397</v>
      </c>
      <c r="K1551">
        <v>1.5380053410544818</v>
      </c>
      <c r="L1551">
        <v>0</v>
      </c>
      <c r="M1551">
        <v>1.5052507922964948E-3</v>
      </c>
      <c r="N1551">
        <v>0.13519424090883889</v>
      </c>
      <c r="O1551">
        <v>0.11968171552990213</v>
      </c>
      <c r="P1551">
        <v>1.553717505285618E-2</v>
      </c>
      <c r="Q1551">
        <v>8.6646931038510068E-4</v>
      </c>
      <c r="R1551">
        <v>1.5017452194055275E-3</v>
      </c>
      <c r="S1551">
        <v>0.11576282054655924</v>
      </c>
      <c r="T1551">
        <v>0.82833820958163584</v>
      </c>
      <c r="U1551">
        <v>0</v>
      </c>
      <c r="V1551">
        <v>0.20224040905398355</v>
      </c>
      <c r="W1551">
        <v>8.923771558835894E-2</v>
      </c>
      <c r="X1551">
        <v>2.7062835617807347E-2</v>
      </c>
      <c r="Y1551">
        <v>4.0872554370433153E-3</v>
      </c>
    </row>
    <row r="1552" spans="1:25" x14ac:dyDescent="0.25">
      <c r="A1552" s="1098"/>
      <c r="B1552" s="1457">
        <v>1302</v>
      </c>
      <c r="C1552" s="1102">
        <v>1.0047080138579025</v>
      </c>
      <c r="D1552" s="1102">
        <v>1.0003444092431422</v>
      </c>
      <c r="E1552" s="1102">
        <v>0.97024155918290245</v>
      </c>
      <c r="F1552" s="1102">
        <v>0.9945716826326092</v>
      </c>
      <c r="G1552" s="1102">
        <v>0.99543067087656312</v>
      </c>
      <c r="H1552" s="1102">
        <v>0.99722559261730803</v>
      </c>
      <c r="I1552" s="1102">
        <v>1.0097233772894187</v>
      </c>
      <c r="K1552">
        <v>1.5462077927199498</v>
      </c>
      <c r="L1552">
        <v>0</v>
      </c>
      <c r="M1552">
        <v>1.6466591942028057E-3</v>
      </c>
      <c r="N1552">
        <v>0.13847681093258979</v>
      </c>
      <c r="O1552">
        <v>0.12082345531205498</v>
      </c>
      <c r="P1552">
        <v>1.5294300461415444E-2</v>
      </c>
      <c r="Q1552">
        <v>8.6707107139762823E-4</v>
      </c>
      <c r="R1552">
        <v>1.6429050658328006E-3</v>
      </c>
      <c r="S1552">
        <v>0.11981221857277419</v>
      </c>
      <c r="T1552">
        <v>0.82273786562538609</v>
      </c>
      <c r="U1552">
        <v>0</v>
      </c>
      <c r="V1552">
        <v>0.20467259464689053</v>
      </c>
      <c r="W1552">
        <v>9.2612558767571268E-2</v>
      </c>
      <c r="X1552">
        <v>2.6443225452550661E-2</v>
      </c>
      <c r="Y1552">
        <v>4.4714460056874857E-3</v>
      </c>
    </row>
    <row r="1553" spans="1:25" x14ac:dyDescent="0.25">
      <c r="A1553" s="1098"/>
      <c r="B1553" s="1457">
        <v>1303</v>
      </c>
      <c r="C1553" s="1102">
        <v>1.0082612467158674</v>
      </c>
      <c r="D1553" s="1102">
        <v>1.044786756729351</v>
      </c>
      <c r="E1553" s="1102">
        <v>1.0218406334959964</v>
      </c>
      <c r="F1553" s="1102">
        <v>0.9810447618524597</v>
      </c>
      <c r="G1553" s="1102">
        <v>0.97896456241051677</v>
      </c>
      <c r="H1553" s="1102">
        <v>1.0078174542793394</v>
      </c>
      <c r="I1553" s="1102">
        <v>1.0243607123991698</v>
      </c>
      <c r="K1553">
        <v>1.5302038486310832</v>
      </c>
      <c r="L1553">
        <v>0</v>
      </c>
      <c r="M1553">
        <v>1.4527012717150381E-3</v>
      </c>
      <c r="N1553">
        <v>0.14278249130021234</v>
      </c>
      <c r="O1553">
        <v>0.11767427124498354</v>
      </c>
      <c r="P1553">
        <v>1.5642521121493329E-2</v>
      </c>
      <c r="Q1553">
        <v>8.9588939048087753E-4</v>
      </c>
      <c r="R1553">
        <v>1.4493977985004663E-3</v>
      </c>
      <c r="S1553">
        <v>0.11888947551800085</v>
      </c>
      <c r="T1553">
        <v>0.80819985556874452</v>
      </c>
      <c r="U1553">
        <v>0</v>
      </c>
      <c r="V1553">
        <v>0.20174723870214528</v>
      </c>
      <c r="W1553">
        <v>9.2598962020127767E-2</v>
      </c>
      <c r="X1553">
        <v>2.7831664224446499E-2</v>
      </c>
      <c r="Y1553">
        <v>3.9447830136624023E-3</v>
      </c>
    </row>
    <row r="1554" spans="1:25" x14ac:dyDescent="0.25">
      <c r="A1554" s="1098"/>
      <c r="B1554" s="1457">
        <v>1304</v>
      </c>
      <c r="C1554" s="1102">
        <v>1.0097658472412403</v>
      </c>
      <c r="D1554" s="1102">
        <v>1.0234491713939489</v>
      </c>
      <c r="E1554" s="1102">
        <v>0.98666425668762758</v>
      </c>
      <c r="F1554" s="1102">
        <v>0.98468352089417299</v>
      </c>
      <c r="G1554" s="1102">
        <v>0.98568491831461991</v>
      </c>
      <c r="H1554" s="1102">
        <v>1.0262146866668669</v>
      </c>
      <c r="I1554" s="1102">
        <v>0.99962905309240879</v>
      </c>
      <c r="K1554">
        <v>1.5371415001983144</v>
      </c>
      <c r="L1554">
        <v>0</v>
      </c>
      <c r="M1554">
        <v>1.6081807976291856E-3</v>
      </c>
      <c r="N1554">
        <v>0.14213941239475672</v>
      </c>
      <c r="O1554">
        <v>0.11883411712306909</v>
      </c>
      <c r="P1554">
        <v>1.5319008305689632E-2</v>
      </c>
      <c r="Q1554">
        <v>8.6973640335751641E-4</v>
      </c>
      <c r="R1554">
        <v>1.6046029877587597E-3</v>
      </c>
      <c r="S1554">
        <v>0.11866729335972787</v>
      </c>
      <c r="T1554">
        <v>0.81347933023469732</v>
      </c>
      <c r="U1554">
        <v>0</v>
      </c>
      <c r="V1554">
        <v>0.202651684001283</v>
      </c>
      <c r="W1554">
        <v>9.4122917646344034E-2</v>
      </c>
      <c r="X1554">
        <v>2.669437816381063E-2</v>
      </c>
      <c r="Y1554">
        <v>4.3672003754465904E-3</v>
      </c>
    </row>
    <row r="1555" spans="1:25" x14ac:dyDescent="0.25">
      <c r="A1555" s="1098"/>
      <c r="B1555" s="1457">
        <v>1305</v>
      </c>
      <c r="C1555" s="1102">
        <v>0.99088639821450841</v>
      </c>
      <c r="D1555" s="1102">
        <v>0.98522404285266307</v>
      </c>
      <c r="E1555" s="1102">
        <v>0.99896653134734859</v>
      </c>
      <c r="F1555" s="1102">
        <v>1.020682848530559</v>
      </c>
      <c r="G1555" s="1102">
        <v>1.0006860885544007</v>
      </c>
      <c r="H1555" s="1102">
        <v>0.98219995120273851</v>
      </c>
      <c r="I1555" s="1102">
        <v>1.0071194702387207</v>
      </c>
      <c r="K1555">
        <v>1.5827039755645569</v>
      </c>
      <c r="L1555">
        <v>0</v>
      </c>
      <c r="M1555">
        <v>1.5645123834155876E-3</v>
      </c>
      <c r="N1555">
        <v>0.14350707587544587</v>
      </c>
      <c r="O1555">
        <v>0.12396422404241846</v>
      </c>
      <c r="P1555">
        <v>1.5961664107953261E-2</v>
      </c>
      <c r="Q1555">
        <v>9.1150215602643257E-4</v>
      </c>
      <c r="R1555">
        <v>1.5609036368595846E-3</v>
      </c>
      <c r="S1555">
        <v>0.12118977840852577</v>
      </c>
      <c r="T1555">
        <v>0.84238772158606534</v>
      </c>
      <c r="U1555">
        <v>0</v>
      </c>
      <c r="V1555">
        <v>0.20794962114373899</v>
      </c>
      <c r="W1555">
        <v>9.4332341635857547E-2</v>
      </c>
      <c r="X1555">
        <v>2.8255390207294836E-2</v>
      </c>
      <c r="Y1555">
        <v>4.248265147786188E-3</v>
      </c>
    </row>
    <row r="1556" spans="1:25" x14ac:dyDescent="0.25">
      <c r="A1556" s="1098"/>
      <c r="B1556" s="1457">
        <v>1306</v>
      </c>
      <c r="C1556" s="1102">
        <v>1.0056090769843036</v>
      </c>
      <c r="D1556" s="1102">
        <v>0.99255246488395865</v>
      </c>
      <c r="E1556" s="1102">
        <v>0.96536007521791145</v>
      </c>
      <c r="F1556" s="1102">
        <v>0.96932333885458943</v>
      </c>
      <c r="G1556" s="1102">
        <v>1.0215441422791789</v>
      </c>
      <c r="H1556" s="1102">
        <v>0.97209400994633144</v>
      </c>
      <c r="I1556" s="1102">
        <v>1.0259522316646068</v>
      </c>
      <c r="K1556">
        <v>1.5171437460399366</v>
      </c>
      <c r="L1556">
        <v>0</v>
      </c>
      <c r="M1556">
        <v>1.6239987754469989E-3</v>
      </c>
      <c r="N1556">
        <v>0.1345589393809811</v>
      </c>
      <c r="O1556">
        <v>0.11934100247383857</v>
      </c>
      <c r="P1556">
        <v>1.4966422466901051E-2</v>
      </c>
      <c r="Q1556">
        <v>8.6454495679250435E-4</v>
      </c>
      <c r="R1556">
        <v>1.6201981652156734E-3</v>
      </c>
      <c r="S1556">
        <v>0.11999542793013648</v>
      </c>
      <c r="T1556">
        <v>0.8021689959034477</v>
      </c>
      <c r="U1556">
        <v>0</v>
      </c>
      <c r="V1556">
        <v>0.2046783202767419</v>
      </c>
      <c r="W1556">
        <v>9.0260543814563596E-2</v>
      </c>
      <c r="X1556">
        <v>2.5903704139228843E-2</v>
      </c>
      <c r="Y1556">
        <v>4.4096453075354418E-3</v>
      </c>
    </row>
    <row r="1557" spans="1:25" x14ac:dyDescent="0.25">
      <c r="A1557" s="1098"/>
      <c r="B1557" s="1457">
        <v>1307</v>
      </c>
      <c r="C1557" s="1102">
        <v>1.0168732185095364</v>
      </c>
      <c r="D1557" s="1102">
        <v>0.96868404654093798</v>
      </c>
      <c r="E1557" s="1102">
        <v>0.96052995534110552</v>
      </c>
      <c r="F1557" s="1102">
        <v>1.0108203417062835</v>
      </c>
      <c r="G1557" s="1102">
        <v>0.98350855527808412</v>
      </c>
      <c r="H1557" s="1102">
        <v>0.96568106504476703</v>
      </c>
      <c r="I1557" s="1102">
        <v>1.0343496465792081</v>
      </c>
      <c r="K1557">
        <v>1.5569556861694869</v>
      </c>
      <c r="L1557">
        <v>0</v>
      </c>
      <c r="M1557">
        <v>1.6404521269572619E-3</v>
      </c>
      <c r="N1557">
        <v>0.13394826296873463</v>
      </c>
      <c r="O1557">
        <v>0.12278960623051546</v>
      </c>
      <c r="P1557">
        <v>1.5388147775416685E-2</v>
      </c>
      <c r="Q1557">
        <v>8.5893441620173345E-4</v>
      </c>
      <c r="R1557">
        <v>1.6366188528211907E-3</v>
      </c>
      <c r="S1557">
        <v>0.12117997904063504</v>
      </c>
      <c r="T1557">
        <v>0.83683821451111307</v>
      </c>
      <c r="U1557">
        <v>0</v>
      </c>
      <c r="V1557">
        <v>0.20491636838508059</v>
      </c>
      <c r="W1557">
        <v>9.0116928833312349E-2</v>
      </c>
      <c r="X1557">
        <v>2.6468740276495501E-2</v>
      </c>
      <c r="Y1557">
        <v>4.4543370061194444E-3</v>
      </c>
    </row>
    <row r="1558" spans="1:25" x14ac:dyDescent="0.25">
      <c r="A1558" s="1098"/>
      <c r="B1558" s="1457">
        <v>1308</v>
      </c>
      <c r="C1558" s="1102">
        <v>1.0238773788306552</v>
      </c>
      <c r="D1558" s="1102">
        <v>0.98068309102511786</v>
      </c>
      <c r="E1558" s="1102">
        <v>1.0127963162311002</v>
      </c>
      <c r="F1558" s="1102">
        <v>1.0157301974740434</v>
      </c>
      <c r="G1558" s="1102">
        <v>0.98845675407618971</v>
      </c>
      <c r="H1558" s="1102">
        <v>1.0074027008558137</v>
      </c>
      <c r="I1558" s="1102">
        <v>0.97667137743836185</v>
      </c>
      <c r="K1558">
        <v>1.5690764441811302</v>
      </c>
      <c r="L1558">
        <v>0</v>
      </c>
      <c r="M1558">
        <v>1.5160371287221361E-3</v>
      </c>
      <c r="N1558">
        <v>0.14500073325635068</v>
      </c>
      <c r="O1558">
        <v>0.12208760663782713</v>
      </c>
      <c r="P1558">
        <v>1.5941337929163246E-2</v>
      </c>
      <c r="Q1558">
        <v>8.9648691537501466E-4</v>
      </c>
      <c r="R1558">
        <v>1.5126372390854678E-3</v>
      </c>
      <c r="S1558">
        <v>0.11616517142652401</v>
      </c>
      <c r="T1558">
        <v>0.83737555775435712</v>
      </c>
      <c r="U1558">
        <v>0</v>
      </c>
      <c r="V1558">
        <v>0.20454359189297727</v>
      </c>
      <c r="W1558">
        <v>9.4537529220338451E-2</v>
      </c>
      <c r="X1558">
        <v>2.841492911379194E-2</v>
      </c>
      <c r="Y1558">
        <v>4.1168999240587915E-3</v>
      </c>
    </row>
    <row r="1559" spans="1:25" x14ac:dyDescent="0.25">
      <c r="A1559" s="1098"/>
      <c r="B1559" s="1457">
        <v>1309</v>
      </c>
      <c r="C1559" s="1102">
        <v>0.98160661269616378</v>
      </c>
      <c r="D1559" s="1102">
        <v>0.98589906360709945</v>
      </c>
      <c r="E1559" s="1102">
        <v>1.0348378597533121</v>
      </c>
      <c r="F1559" s="1102">
        <v>1.0276641967604763</v>
      </c>
      <c r="G1559" s="1102">
        <v>0.99200575685408932</v>
      </c>
      <c r="H1559" s="1102">
        <v>1.0090541503469992</v>
      </c>
      <c r="I1559" s="1102">
        <v>0.96116810540160025</v>
      </c>
      <c r="K1559">
        <v>1.6024581158896991</v>
      </c>
      <c r="L1559">
        <v>0</v>
      </c>
      <c r="M1559">
        <v>1.5050078677463843E-3</v>
      </c>
      <c r="N1559">
        <v>0.15383950017330333</v>
      </c>
      <c r="O1559">
        <v>0.12481264469684064</v>
      </c>
      <c r="P1559">
        <v>1.6414220513191295E-2</v>
      </c>
      <c r="Q1559">
        <v>9.5440588622809847E-4</v>
      </c>
      <c r="R1559">
        <v>1.5016278012853846E-3</v>
      </c>
      <c r="S1559">
        <v>0.11886458258249891</v>
      </c>
      <c r="T1559">
        <v>0.84573616390526196</v>
      </c>
      <c r="U1559">
        <v>0</v>
      </c>
      <c r="V1559">
        <v>0.20877528466261777</v>
      </c>
      <c r="W1559">
        <v>9.9018915519417189E-2</v>
      </c>
      <c r="X1559">
        <v>2.9958842153171846E-2</v>
      </c>
      <c r="Y1559">
        <v>4.0869358636271592E-3</v>
      </c>
    </row>
    <row r="1560" spans="1:25" x14ac:dyDescent="0.25">
      <c r="A1560" s="1098"/>
      <c r="B1560" s="1457">
        <v>1310</v>
      </c>
      <c r="C1560" s="1102">
        <v>0.98811002791797953</v>
      </c>
      <c r="D1560" s="1102">
        <v>0.99158315338764114</v>
      </c>
      <c r="E1560" s="1102">
        <v>0.99411623847278097</v>
      </c>
      <c r="F1560" s="1102">
        <v>0.96961597783127129</v>
      </c>
      <c r="G1560" s="1102">
        <v>1.0037415281257198</v>
      </c>
      <c r="H1560" s="1102">
        <v>1.0006402213978307</v>
      </c>
      <c r="I1560" s="1102">
        <v>0.99769387616098282</v>
      </c>
      <c r="K1560">
        <v>1.5353160957911387</v>
      </c>
      <c r="L1560">
        <v>0</v>
      </c>
      <c r="M1560">
        <v>1.6018826104312726E-3</v>
      </c>
      <c r="N1560">
        <v>0.14480134877162767</v>
      </c>
      <c r="O1560">
        <v>0.12021698034953864</v>
      </c>
      <c r="P1560">
        <v>1.5300434150067075E-2</v>
      </c>
      <c r="Q1560">
        <v>9.0713221744265573E-4</v>
      </c>
      <c r="R1560">
        <v>1.5982365457397449E-3</v>
      </c>
      <c r="S1560">
        <v>0.12106756437525733</v>
      </c>
      <c r="T1560">
        <v>0.80055230857425741</v>
      </c>
      <c r="U1560">
        <v>0</v>
      </c>
      <c r="V1560">
        <v>0.20545110172399211</v>
      </c>
      <c r="W1560">
        <v>9.5458651316507173E-2</v>
      </c>
      <c r="X1560">
        <v>2.7214347358170691E-2</v>
      </c>
      <c r="Y1560">
        <v>4.3498730189678782E-3</v>
      </c>
    </row>
    <row r="1561" spans="1:25" x14ac:dyDescent="0.25">
      <c r="A1561" s="1098"/>
      <c r="B1561" s="1457">
        <v>1311</v>
      </c>
      <c r="C1561" s="1102">
        <v>0.99080465131639173</v>
      </c>
      <c r="D1561" s="1102">
        <v>1.0125702239127767</v>
      </c>
      <c r="E1561" s="1102">
        <v>1.032994887855285</v>
      </c>
      <c r="F1561" s="1102">
        <v>1.0138917887566383</v>
      </c>
      <c r="G1561" s="1102">
        <v>0.99876312150997548</v>
      </c>
      <c r="H1561" s="1102">
        <v>1.0043251297807685</v>
      </c>
      <c r="I1561" s="1102">
        <v>1.0376678017476784</v>
      </c>
      <c r="K1561">
        <v>1.5838585394897755</v>
      </c>
      <c r="L1561">
        <v>0</v>
      </c>
      <c r="M1561">
        <v>1.466888197220898E-3</v>
      </c>
      <c r="N1561">
        <v>0.1491092652205662</v>
      </c>
      <c r="O1561">
        <v>0.12217646781561251</v>
      </c>
      <c r="P1561">
        <v>1.6289008435093889E-2</v>
      </c>
      <c r="Q1561">
        <v>9.3374955746278079E-4</v>
      </c>
      <c r="R1561">
        <v>1.463562318493293E-3</v>
      </c>
      <c r="S1561">
        <v>0.12470194178619257</v>
      </c>
      <c r="T1561">
        <v>0.83452319789946316</v>
      </c>
      <c r="U1561">
        <v>0</v>
      </c>
      <c r="V1561">
        <v>0.20674953279894098</v>
      </c>
      <c r="W1561">
        <v>9.6076709107059038E-2</v>
      </c>
      <c r="X1561">
        <v>2.9318658580359574E-2</v>
      </c>
      <c r="Y1561">
        <v>3.9833341677501174E-3</v>
      </c>
    </row>
    <row r="1562" spans="1:25" x14ac:dyDescent="0.25">
      <c r="A1562" s="1098"/>
      <c r="B1562" s="1457">
        <v>1312</v>
      </c>
      <c r="C1562" s="1102">
        <v>0.98376036041582215</v>
      </c>
      <c r="D1562" s="1102">
        <v>1.0332705574713019</v>
      </c>
      <c r="E1562" s="1102">
        <v>0.98998561363668514</v>
      </c>
      <c r="F1562" s="1102">
        <v>0.95980307926787001</v>
      </c>
      <c r="G1562" s="1102">
        <v>1.0119639629617578</v>
      </c>
      <c r="H1562" s="1102">
        <v>1.0167992010766056</v>
      </c>
      <c r="I1562" s="1102">
        <v>1.03229338748216</v>
      </c>
      <c r="K1562">
        <v>1.5248297342706596</v>
      </c>
      <c r="L1562">
        <v>0</v>
      </c>
      <c r="M1562">
        <v>1.6094159785152715E-3</v>
      </c>
      <c r="N1562">
        <v>0.14367968519802518</v>
      </c>
      <c r="O1562">
        <v>0.11797488275809841</v>
      </c>
      <c r="P1562">
        <v>1.5173073987581635E-2</v>
      </c>
      <c r="Q1562">
        <v>8.9241072032978969E-4</v>
      </c>
      <c r="R1562">
        <v>1.6057826648587722E-3</v>
      </c>
      <c r="S1562">
        <v>0.1239924445452535</v>
      </c>
      <c r="T1562">
        <v>0.79271313751322647</v>
      </c>
      <c r="U1562">
        <v>0</v>
      </c>
      <c r="V1562">
        <v>0.20445655055541717</v>
      </c>
      <c r="W1562">
        <v>9.4953499085780227E-2</v>
      </c>
      <c r="X1562">
        <v>2.6627272152969863E-2</v>
      </c>
      <c r="Y1562">
        <v>4.3704110676323713E-3</v>
      </c>
    </row>
    <row r="1563" spans="1:25" x14ac:dyDescent="0.25">
      <c r="A1563" s="1098"/>
      <c r="B1563" s="1457">
        <v>1313</v>
      </c>
      <c r="C1563" s="1102">
        <v>0.95965931609059918</v>
      </c>
      <c r="D1563" s="1102">
        <v>1.0136759172272358</v>
      </c>
      <c r="E1563" s="1102">
        <v>0.98315783433438164</v>
      </c>
      <c r="F1563" s="1102">
        <v>0.99879060611795722</v>
      </c>
      <c r="G1563" s="1102">
        <v>0.98638074398271125</v>
      </c>
      <c r="H1563" s="1102">
        <v>0.99893688930403668</v>
      </c>
      <c r="I1563" s="1102">
        <v>0.98715640146274275</v>
      </c>
      <c r="K1563">
        <v>1.5682391554948472</v>
      </c>
      <c r="L1563">
        <v>0</v>
      </c>
      <c r="M1563">
        <v>1.6637950220870547E-3</v>
      </c>
      <c r="N1563">
        <v>0.14549434127086933</v>
      </c>
      <c r="O1563">
        <v>0.12286205522296503</v>
      </c>
      <c r="P1563">
        <v>1.5550201359290389E-2</v>
      </c>
      <c r="Q1563">
        <v>9.1530632868306249E-4</v>
      </c>
      <c r="R1563">
        <v>1.6599884063558934E-3</v>
      </c>
      <c r="S1563">
        <v>0.12158619300656962</v>
      </c>
      <c r="T1563">
        <v>0.82536655476500997</v>
      </c>
      <c r="U1563">
        <v>0</v>
      </c>
      <c r="V1563">
        <v>0.20802950284315441</v>
      </c>
      <c r="W1563">
        <v>9.6547917759394267E-2</v>
      </c>
      <c r="X1563">
        <v>2.7372948327571586E-2</v>
      </c>
      <c r="Y1563">
        <v>4.5179412270696558E-3</v>
      </c>
    </row>
    <row r="1564" spans="1:25" x14ac:dyDescent="0.25">
      <c r="A1564" s="1098"/>
      <c r="B1564" s="1457">
        <v>1314</v>
      </c>
      <c r="C1564" s="1102">
        <v>1.0036895315348067</v>
      </c>
      <c r="D1564" s="1102">
        <v>1.0325138981411914</v>
      </c>
      <c r="E1564" s="1102">
        <v>1.0009817522200708</v>
      </c>
      <c r="F1564" s="1102">
        <v>0.99402463051628742</v>
      </c>
      <c r="G1564" s="1102">
        <v>1.0081461717792641</v>
      </c>
      <c r="H1564" s="1102">
        <v>1.0192184641422228</v>
      </c>
      <c r="I1564" s="1102">
        <v>0.98697638032997914</v>
      </c>
      <c r="K1564">
        <v>1.5462376605019421</v>
      </c>
      <c r="L1564">
        <v>0</v>
      </c>
      <c r="M1564">
        <v>1.552564069343736E-3</v>
      </c>
      <c r="N1564">
        <v>0.1432899851616779</v>
      </c>
      <c r="O1564">
        <v>0.11936999378769154</v>
      </c>
      <c r="P1564">
        <v>1.5575183779329274E-2</v>
      </c>
      <c r="Q1564">
        <v>8.8500400112396583E-4</v>
      </c>
      <c r="R1564">
        <v>1.549082131062342E-3</v>
      </c>
      <c r="S1564">
        <v>0.11676985615261368</v>
      </c>
      <c r="T1564">
        <v>0.82025398007094374</v>
      </c>
      <c r="U1564">
        <v>0</v>
      </c>
      <c r="V1564">
        <v>0.20441824902231368</v>
      </c>
      <c r="W1564">
        <v>9.4076890943812441E-2</v>
      </c>
      <c r="X1564">
        <v>2.7385908614749592E-2</v>
      </c>
      <c r="Y1564">
        <v>4.2160909059644307E-3</v>
      </c>
    </row>
    <row r="1565" spans="1:25" x14ac:dyDescent="0.25">
      <c r="A1565" s="1098"/>
      <c r="B1565" s="1457">
        <v>1315</v>
      </c>
      <c r="C1565" s="1102">
        <v>0.99375874163901901</v>
      </c>
      <c r="D1565" s="1102">
        <v>1.0011353091612627</v>
      </c>
      <c r="E1565" s="1102">
        <v>0.97859698020891361</v>
      </c>
      <c r="F1565" s="1102">
        <v>0.97146903106453641</v>
      </c>
      <c r="G1565" s="1102">
        <v>0.97759503399740999</v>
      </c>
      <c r="H1565" s="1102">
        <v>0.98493202929613566</v>
      </c>
      <c r="I1565" s="1102">
        <v>0.97764687942047812</v>
      </c>
      <c r="K1565">
        <v>1.5206377720452833</v>
      </c>
      <c r="L1565">
        <v>0</v>
      </c>
      <c r="M1565">
        <v>1.6111698995131471E-3</v>
      </c>
      <c r="N1565">
        <v>0.1389579070912923</v>
      </c>
      <c r="O1565">
        <v>0.11968684401235702</v>
      </c>
      <c r="P1565">
        <v>1.506386104423251E-2</v>
      </c>
      <c r="Q1565">
        <v>8.8407759996745456E-4</v>
      </c>
      <c r="R1565">
        <v>1.607440541765068E-3</v>
      </c>
      <c r="S1565">
        <v>0.11608522706526563</v>
      </c>
      <c r="T1565">
        <v>0.80308416016298756</v>
      </c>
      <c r="U1565">
        <v>0</v>
      </c>
      <c r="V1565">
        <v>0.20357445111541034</v>
      </c>
      <c r="W1565">
        <v>9.2464551702002781E-2</v>
      </c>
      <c r="X1565">
        <v>2.646549834746097E-2</v>
      </c>
      <c r="Y1565">
        <v>4.374923262052334E-3</v>
      </c>
    </row>
    <row r="1566" spans="1:25" x14ac:dyDescent="0.25">
      <c r="A1566" s="1098"/>
      <c r="B1566" s="1457">
        <v>1316</v>
      </c>
      <c r="C1566" s="1102">
        <v>1.0172346380679542</v>
      </c>
      <c r="D1566" s="1102">
        <v>0.99108088300035546</v>
      </c>
      <c r="E1566" s="1102">
        <v>0.97471417156154705</v>
      </c>
      <c r="F1566" s="1102">
        <v>1.0161036723104391</v>
      </c>
      <c r="G1566" s="1102">
        <v>0.99851873703959637</v>
      </c>
      <c r="H1566" s="1102">
        <v>1.0112071774718019</v>
      </c>
      <c r="I1566" s="1102">
        <v>0.96671821887195697</v>
      </c>
      <c r="K1566">
        <v>1.5644735670481391</v>
      </c>
      <c r="L1566">
        <v>0</v>
      </c>
      <c r="M1566">
        <v>1.6468262445643296E-3</v>
      </c>
      <c r="N1566">
        <v>0.14038451616270459</v>
      </c>
      <c r="O1566">
        <v>0.12209062258698361</v>
      </c>
      <c r="P1566">
        <v>1.5525691772426386E-2</v>
      </c>
      <c r="Q1566">
        <v>8.6364126484081893E-4</v>
      </c>
      <c r="R1566">
        <v>1.6431387418944675E-3</v>
      </c>
      <c r="S1566">
        <v>0.11518833413706048</v>
      </c>
      <c r="T1566">
        <v>0.84024569206986022</v>
      </c>
      <c r="U1566">
        <v>0</v>
      </c>
      <c r="V1566">
        <v>0.20517449933891477</v>
      </c>
      <c r="W1566">
        <v>9.3633689060725986E-2</v>
      </c>
      <c r="X1566">
        <v>2.6898486162395908E-2</v>
      </c>
      <c r="Y1566">
        <v>4.4720819948960494E-3</v>
      </c>
    </row>
    <row r="1567" spans="1:25" x14ac:dyDescent="0.25">
      <c r="A1567" s="1098"/>
      <c r="B1567" s="1457">
        <v>1317</v>
      </c>
      <c r="C1567" s="1102">
        <v>0.97790300416736997</v>
      </c>
      <c r="D1567" s="1102">
        <v>0.98293966271674083</v>
      </c>
      <c r="E1567" s="1102">
        <v>0.98685928707577952</v>
      </c>
      <c r="F1567" s="1102">
        <v>0.99683965385748918</v>
      </c>
      <c r="G1567" s="1102">
        <v>0.98559612679425856</v>
      </c>
      <c r="H1567" s="1102">
        <v>0.96635394004933184</v>
      </c>
      <c r="I1567" s="1102">
        <v>0.98769168863772938</v>
      </c>
      <c r="K1567">
        <v>1.555875129804861</v>
      </c>
      <c r="L1567">
        <v>0</v>
      </c>
      <c r="M1567">
        <v>1.5968980985218331E-3</v>
      </c>
      <c r="N1567">
        <v>0.14120770328017027</v>
      </c>
      <c r="O1567">
        <v>0.12310255053649596</v>
      </c>
      <c r="P1567">
        <v>1.552360559441142E-2</v>
      </c>
      <c r="Q1567">
        <v>9.1288643515694435E-4</v>
      </c>
      <c r="R1567">
        <v>1.59314506371812E-3</v>
      </c>
      <c r="S1567">
        <v>0.11906995009047448</v>
      </c>
      <c r="T1567">
        <v>0.82350899295519209</v>
      </c>
      <c r="U1567">
        <v>0</v>
      </c>
      <c r="V1567">
        <v>0.20720497813757746</v>
      </c>
      <c r="W1567">
        <v>9.349499951441391E-2</v>
      </c>
      <c r="X1567">
        <v>2.7517200612458687E-2</v>
      </c>
      <c r="Y1567">
        <v>4.3360156833116134E-3</v>
      </c>
    </row>
    <row r="1568" spans="1:25" x14ac:dyDescent="0.25">
      <c r="A1568" s="1098"/>
      <c r="B1568" s="1457">
        <v>1318</v>
      </c>
      <c r="C1568" s="1102">
        <v>0.96742313276813585</v>
      </c>
      <c r="D1568" s="1102">
        <v>1.0069659605080934</v>
      </c>
      <c r="E1568" s="1102">
        <v>1.0056886760614963</v>
      </c>
      <c r="F1568" s="1102">
        <v>0.95375808080824598</v>
      </c>
      <c r="G1568" s="1102">
        <v>0.99640413916486203</v>
      </c>
      <c r="H1568" s="1102">
        <v>0.98072918407729681</v>
      </c>
      <c r="I1568" s="1102">
        <v>1.0143097222405189</v>
      </c>
      <c r="K1568">
        <v>1.5221202987255458</v>
      </c>
      <c r="L1568">
        <v>0</v>
      </c>
      <c r="M1568">
        <v>1.5475221715468021E-3</v>
      </c>
      <c r="N1568">
        <v>0.14485632461682171</v>
      </c>
      <c r="O1568">
        <v>0.11944599482647657</v>
      </c>
      <c r="P1568">
        <v>1.5269275930764558E-2</v>
      </c>
      <c r="Q1568">
        <v>9.3195785682383234E-4</v>
      </c>
      <c r="R1568">
        <v>1.5439087887390008E-3</v>
      </c>
      <c r="S1568">
        <v>0.12271511659557956</v>
      </c>
      <c r="T1568">
        <v>0.78673076554241583</v>
      </c>
      <c r="U1568">
        <v>0</v>
      </c>
      <c r="V1568">
        <v>0.20564677935816411</v>
      </c>
      <c r="W1568">
        <v>9.4840277987395985E-2</v>
      </c>
      <c r="X1568">
        <v>2.7485408620358386E-2</v>
      </c>
      <c r="Y1568">
        <v>4.2020107735521364E-3</v>
      </c>
    </row>
    <row r="1569" spans="1:25" x14ac:dyDescent="0.25">
      <c r="A1569" s="1098"/>
      <c r="B1569" s="1457">
        <v>1319</v>
      </c>
      <c r="C1569" s="1102">
        <v>0.96148433411279466</v>
      </c>
      <c r="D1569" s="1102">
        <v>1.0227418700932771</v>
      </c>
      <c r="E1569" s="1102">
        <v>1.0236780520171787</v>
      </c>
      <c r="F1569" s="1102">
        <v>1.0464141567855219</v>
      </c>
      <c r="G1569" s="1102">
        <v>0.97377550365984544</v>
      </c>
      <c r="H1569" s="1102">
        <v>0.97992145366154992</v>
      </c>
      <c r="I1569" s="1102">
        <v>0.958650929169792</v>
      </c>
      <c r="K1569">
        <v>1.6078854006576933</v>
      </c>
      <c r="L1569">
        <v>0</v>
      </c>
      <c r="M1569">
        <v>1.4956148918718905E-3</v>
      </c>
      <c r="N1569">
        <v>0.14780942863068117</v>
      </c>
      <c r="O1569">
        <v>0.12558629770182719</v>
      </c>
      <c r="P1569">
        <v>1.6478850795615004E-2</v>
      </c>
      <c r="Q1569">
        <v>9.493083814344134E-4</v>
      </c>
      <c r="R1569">
        <v>1.4921343626596415E-3</v>
      </c>
      <c r="S1569">
        <v>0.1161056205687636</v>
      </c>
      <c r="T1569">
        <v>0.86192666332496037</v>
      </c>
      <c r="U1569">
        <v>0</v>
      </c>
      <c r="V1569">
        <v>0.2095724507945767</v>
      </c>
      <c r="W1569">
        <v>9.5756320964291791E-2</v>
      </c>
      <c r="X1569">
        <v>2.9642842171556397E-2</v>
      </c>
      <c r="Y1569">
        <v>4.0610978531990891E-3</v>
      </c>
    </row>
    <row r="1570" spans="1:25" x14ac:dyDescent="0.25">
      <c r="A1570" s="1098"/>
      <c r="B1570" s="1457">
        <v>1320</v>
      </c>
      <c r="C1570" s="1102">
        <v>0.98162365504836069</v>
      </c>
      <c r="D1570" s="1102">
        <v>1.0291743855289337</v>
      </c>
      <c r="E1570" s="1102">
        <v>1.0158965338370098</v>
      </c>
      <c r="F1570" s="1102">
        <v>1.0171610108311451</v>
      </c>
      <c r="G1570" s="1102">
        <v>0.98599843957108246</v>
      </c>
      <c r="H1570" s="1102">
        <v>0.99540519786927739</v>
      </c>
      <c r="I1570" s="1102">
        <v>1.0273341086320207</v>
      </c>
      <c r="K1570">
        <v>1.5795312180036944</v>
      </c>
      <c r="L1570">
        <v>0</v>
      </c>
      <c r="M1570">
        <v>1.5060428708233635E-3</v>
      </c>
      <c r="N1570">
        <v>0.145391320218901</v>
      </c>
      <c r="O1570">
        <v>0.12221201013377841</v>
      </c>
      <c r="P1570">
        <v>1.6108884332470333E-2</v>
      </c>
      <c r="Q1570">
        <v>9.2012774988973838E-4</v>
      </c>
      <c r="R1570">
        <v>1.502586784217992E-3</v>
      </c>
      <c r="S1570">
        <v>0.12261387135410821</v>
      </c>
      <c r="T1570">
        <v>0.83834842242819074</v>
      </c>
      <c r="U1570">
        <v>0</v>
      </c>
      <c r="V1570">
        <v>0.20661559789847264</v>
      </c>
      <c r="W1570">
        <v>9.461964141705051E-2</v>
      </c>
      <c r="X1570">
        <v>2.8615252658397306E-2</v>
      </c>
      <c r="Y1570">
        <v>4.0895458990410785E-3</v>
      </c>
    </row>
    <row r="1571" spans="1:25" x14ac:dyDescent="0.25">
      <c r="A1571" s="1098"/>
      <c r="B1571" s="1457">
        <v>1321</v>
      </c>
      <c r="C1571" s="1102">
        <v>1.0063626165064063</v>
      </c>
      <c r="D1571" s="1102">
        <v>0.99605916479552148</v>
      </c>
      <c r="E1571" s="1102">
        <v>0.96516824679289859</v>
      </c>
      <c r="F1571" s="1102">
        <v>1.0120782486282944</v>
      </c>
      <c r="G1571" s="1102">
        <v>0.99240824069929101</v>
      </c>
      <c r="H1571" s="1102">
        <v>1.0024436714068972</v>
      </c>
      <c r="I1571" s="1102">
        <v>0.96941838207440612</v>
      </c>
      <c r="K1571">
        <v>1.5600920743563835</v>
      </c>
      <c r="L1571">
        <v>0</v>
      </c>
      <c r="M1571">
        <v>1.6764432710318644E-3</v>
      </c>
      <c r="N1571">
        <v>0.13883436762060491</v>
      </c>
      <c r="O1571">
        <v>0.12216939232480557</v>
      </c>
      <c r="P1571">
        <v>1.5386079247493344E-2</v>
      </c>
      <c r="Q1571">
        <v>8.625049739055371E-4</v>
      </c>
      <c r="R1571">
        <v>1.6726493593652546E-3</v>
      </c>
      <c r="S1571">
        <v>0.11563625823408021</v>
      </c>
      <c r="T1571">
        <v>0.83756409643317076</v>
      </c>
      <c r="U1571">
        <v>0</v>
      </c>
      <c r="V1571">
        <v>0.2054251203824099</v>
      </c>
      <c r="W1571">
        <v>9.3139365142374711E-2</v>
      </c>
      <c r="X1571">
        <v>2.6526283741726601E-2</v>
      </c>
      <c r="Y1571">
        <v>4.5524001674790981E-3</v>
      </c>
    </row>
    <row r="1572" spans="1:25" x14ac:dyDescent="0.25">
      <c r="A1572" s="1098"/>
      <c r="B1572" s="1457">
        <v>1322</v>
      </c>
      <c r="C1572" s="1102">
        <v>1.0073932352999999</v>
      </c>
      <c r="D1572" s="1102">
        <v>1.011009037551581</v>
      </c>
      <c r="E1572" s="1102">
        <v>0.96696749078448363</v>
      </c>
      <c r="F1572" s="1102">
        <v>0.9702641391908966</v>
      </c>
      <c r="G1572" s="1102">
        <v>0.97205847457089478</v>
      </c>
      <c r="H1572" s="1102">
        <v>0.9737417699804729</v>
      </c>
      <c r="I1572" s="1102">
        <v>1.0242466723253607</v>
      </c>
      <c r="K1572">
        <v>1.5103282596857968</v>
      </c>
      <c r="L1572">
        <v>0</v>
      </c>
      <c r="M1572">
        <v>1.6020855483744921E-3</v>
      </c>
      <c r="N1572">
        <v>0.13339076172999323</v>
      </c>
      <c r="O1572">
        <v>0.11852283586495493</v>
      </c>
      <c r="P1572">
        <v>1.493489349406674E-2</v>
      </c>
      <c r="Q1572">
        <v>8.581320480234144E-4</v>
      </c>
      <c r="R1572">
        <v>1.5983319951803328E-3</v>
      </c>
      <c r="S1572">
        <v>0.1184287601835449</v>
      </c>
      <c r="T1572">
        <v>0.80284290184511997</v>
      </c>
      <c r="U1572">
        <v>0</v>
      </c>
      <c r="V1572">
        <v>0.20180988649054921</v>
      </c>
      <c r="W1572">
        <v>8.9389182257458899E-2</v>
      </c>
      <c r="X1572">
        <v>2.5804526524398148E-2</v>
      </c>
      <c r="Y1572">
        <v>4.3501328008802593E-3</v>
      </c>
    </row>
    <row r="1573" spans="1:25" x14ac:dyDescent="0.25">
      <c r="A1573" s="1098"/>
      <c r="B1573" s="1457">
        <v>1323</v>
      </c>
      <c r="C1573" s="1102">
        <v>1.0228748339721683</v>
      </c>
      <c r="D1573" s="1102">
        <v>0.98650036500904081</v>
      </c>
      <c r="E1573" s="1102">
        <v>1.0146255489517377</v>
      </c>
      <c r="F1573" s="1102">
        <v>0.9756554299628718</v>
      </c>
      <c r="G1573" s="1102">
        <v>1.0279185129664021</v>
      </c>
      <c r="H1573" s="1102">
        <v>0.98356883855302579</v>
      </c>
      <c r="I1573" s="1102">
        <v>0.99270808063651983</v>
      </c>
      <c r="K1573">
        <v>1.5241000124253981</v>
      </c>
      <c r="L1573">
        <v>0</v>
      </c>
      <c r="M1573">
        <v>1.4664014484929877E-3</v>
      </c>
      <c r="N1573">
        <v>0.14102078853640868</v>
      </c>
      <c r="O1573">
        <v>0.11906038599739874</v>
      </c>
      <c r="P1573">
        <v>1.5493809464444936E-2</v>
      </c>
      <c r="Q1573">
        <v>8.9693230240223067E-4</v>
      </c>
      <c r="R1573">
        <v>1.4630191534380035E-3</v>
      </c>
      <c r="S1573">
        <v>0.11567938123153303</v>
      </c>
      <c r="T1573">
        <v>0.80422059541084312</v>
      </c>
      <c r="U1573">
        <v>0</v>
      </c>
      <c r="V1573">
        <v>0.20414664984433517</v>
      </c>
      <c r="W1573">
        <v>9.1843854359438024E-2</v>
      </c>
      <c r="X1573">
        <v>2.7759141722124965E-2</v>
      </c>
      <c r="Y1573">
        <v>3.9818558515239315E-3</v>
      </c>
    </row>
    <row r="1574" spans="1:25" x14ac:dyDescent="0.25">
      <c r="A1574" s="1098"/>
      <c r="B1574" s="1457">
        <v>1324</v>
      </c>
      <c r="C1574" s="1102">
        <v>1.0280071217600946</v>
      </c>
      <c r="D1574" s="1102">
        <v>0.99298934183401055</v>
      </c>
      <c r="E1574" s="1102">
        <v>0.99489045755811678</v>
      </c>
      <c r="F1574" s="1102">
        <v>1.015014884576239</v>
      </c>
      <c r="G1574" s="1102">
        <v>0.96713486810290994</v>
      </c>
      <c r="H1574" s="1102">
        <v>1.0071671375000157</v>
      </c>
      <c r="I1574" s="1102">
        <v>1.0204943735798342</v>
      </c>
      <c r="K1574">
        <v>1.5643864397879761</v>
      </c>
      <c r="L1574">
        <v>0</v>
      </c>
      <c r="M1574">
        <v>1.5560302092349279E-3</v>
      </c>
      <c r="N1574">
        <v>0.14099013331674209</v>
      </c>
      <c r="O1574">
        <v>0.12132973930662037</v>
      </c>
      <c r="P1574">
        <v>1.5766492340382004E-2</v>
      </c>
      <c r="Q1574">
        <v>8.7213403147684966E-4</v>
      </c>
      <c r="R1574">
        <v>1.5525332504908473E-3</v>
      </c>
      <c r="S1574">
        <v>0.11995605957784934</v>
      </c>
      <c r="T1574">
        <v>0.83798337886593732</v>
      </c>
      <c r="U1574">
        <v>0</v>
      </c>
      <c r="V1574">
        <v>0.20280314974969668</v>
      </c>
      <c r="W1574">
        <v>9.2903204965417985E-2</v>
      </c>
      <c r="X1574">
        <v>2.75601608772078E-2</v>
      </c>
      <c r="Y1574">
        <v>4.2254837153876098E-3</v>
      </c>
    </row>
    <row r="1575" spans="1:25" x14ac:dyDescent="0.25">
      <c r="A1575" s="1098"/>
      <c r="B1575" s="1457">
        <v>1325</v>
      </c>
      <c r="C1575" s="1102">
        <v>0.96073363429041203</v>
      </c>
      <c r="D1575" s="1102">
        <v>0.993638348755844</v>
      </c>
      <c r="E1575" s="1102">
        <v>1.0000949335228624</v>
      </c>
      <c r="F1575" s="1102">
        <v>0.97070117705033088</v>
      </c>
      <c r="G1575" s="1102">
        <v>0.99111756963079056</v>
      </c>
      <c r="H1575" s="1102">
        <v>1.0171781971639258</v>
      </c>
      <c r="I1575" s="1102">
        <v>0.96767936357411655</v>
      </c>
      <c r="K1575">
        <v>1.5518179447046903</v>
      </c>
      <c r="L1575">
        <v>0</v>
      </c>
      <c r="M1575">
        <v>1.6487902884329969E-3</v>
      </c>
      <c r="N1575">
        <v>0.15176352377725422</v>
      </c>
      <c r="O1575">
        <v>0.12162290517831531</v>
      </c>
      <c r="P1575">
        <v>1.5411090723008161E-2</v>
      </c>
      <c r="Q1575">
        <v>9.3801429568664925E-4</v>
      </c>
      <c r="R1575">
        <v>1.6450895920221635E-3</v>
      </c>
      <c r="S1575">
        <v>0.1217877981994949</v>
      </c>
      <c r="T1575">
        <v>0.80106463395804839</v>
      </c>
      <c r="U1575">
        <v>0</v>
      </c>
      <c r="V1575">
        <v>0.2072985226279993</v>
      </c>
      <c r="W1575">
        <v>9.9692693434496729E-2</v>
      </c>
      <c r="X1575">
        <v>2.7765071640950635E-2</v>
      </c>
      <c r="Y1575">
        <v>4.4773915658460669E-3</v>
      </c>
    </row>
    <row r="1576" spans="1:25" x14ac:dyDescent="0.25">
      <c r="A1576" s="1098"/>
      <c r="B1576" s="1457">
        <v>1326</v>
      </c>
      <c r="C1576" s="1102">
        <v>1.0030974739282603</v>
      </c>
      <c r="D1576" s="1102">
        <v>1.0332036676719065</v>
      </c>
      <c r="E1576" s="1102">
        <v>1.0352818200084597</v>
      </c>
      <c r="F1576" s="1102">
        <v>1.0243380737759051</v>
      </c>
      <c r="G1576" s="1102">
        <v>0.97738476010166075</v>
      </c>
      <c r="H1576" s="1102">
        <v>1.0095888834000979</v>
      </c>
      <c r="I1576" s="1102">
        <v>0.97314147373633619</v>
      </c>
      <c r="K1576">
        <v>1.5754010559658103</v>
      </c>
      <c r="L1576">
        <v>0</v>
      </c>
      <c r="M1576">
        <v>1.4353733253638149E-3</v>
      </c>
      <c r="N1576">
        <v>0.14691598721001276</v>
      </c>
      <c r="O1576">
        <v>0.12135823505808575</v>
      </c>
      <c r="P1576">
        <v>1.6264424040198091E-2</v>
      </c>
      <c r="Q1576">
        <v>9.1702732787237308E-4</v>
      </c>
      <c r="R1576">
        <v>1.4321301075954523E-3</v>
      </c>
      <c r="S1576">
        <v>0.11465541923779492</v>
      </c>
      <c r="T1576">
        <v>0.84296936091130903</v>
      </c>
      <c r="U1576">
        <v>0</v>
      </c>
      <c r="V1576">
        <v>0.20467515607723979</v>
      </c>
      <c r="W1576">
        <v>9.4538321022373292E-2</v>
      </c>
      <c r="X1576">
        <v>2.9212582247381175E-2</v>
      </c>
      <c r="Y1576">
        <v>3.8977860513117316E-3</v>
      </c>
    </row>
    <row r="1577" spans="1:25" x14ac:dyDescent="0.25">
      <c r="A1577" s="1098"/>
      <c r="B1577" s="1457">
        <v>1327</v>
      </c>
      <c r="C1577" s="1102">
        <v>1.0036287852665327</v>
      </c>
      <c r="D1577" s="1102">
        <v>1.0268535870137525</v>
      </c>
      <c r="E1577" s="1102">
        <v>0.96167898191099899</v>
      </c>
      <c r="F1577" s="1102">
        <v>0.97647979402117213</v>
      </c>
      <c r="G1577" s="1102">
        <v>1.0175748354345961</v>
      </c>
      <c r="H1577" s="1102">
        <v>0.98626768527700881</v>
      </c>
      <c r="I1577" s="1102">
        <v>1.0255146247430578</v>
      </c>
      <c r="K1577">
        <v>1.519391992618063</v>
      </c>
      <c r="L1577">
        <v>0</v>
      </c>
      <c r="M1577">
        <v>1.6325858162439212E-3</v>
      </c>
      <c r="N1577">
        <v>0.13377328113681683</v>
      </c>
      <c r="O1577">
        <v>0.11849274063108094</v>
      </c>
      <c r="P1577">
        <v>1.4982835276523882E-2</v>
      </c>
      <c r="Q1577">
        <v>8.5123883166912174E-4</v>
      </c>
      <c r="R1577">
        <v>1.628800481234473E-3</v>
      </c>
      <c r="S1577">
        <v>0.1189255506489585</v>
      </c>
      <c r="T1577">
        <v>0.80833287774093954</v>
      </c>
      <c r="U1577">
        <v>0</v>
      </c>
      <c r="V1577">
        <v>0.2040331530046598</v>
      </c>
      <c r="W1577">
        <v>8.9935841616417225E-2</v>
      </c>
      <c r="X1577">
        <v>2.5635201090019481E-2</v>
      </c>
      <c r="Y1577">
        <v>4.4330579759859004E-3</v>
      </c>
    </row>
    <row r="1578" spans="1:25" x14ac:dyDescent="0.25">
      <c r="A1578" s="1098"/>
      <c r="B1578" s="1457">
        <v>1328</v>
      </c>
      <c r="C1578" s="1102">
        <v>0.99470713131904942</v>
      </c>
      <c r="D1578" s="1102">
        <v>0.96213414100797257</v>
      </c>
      <c r="E1578" s="1102">
        <v>1.0375968367647885</v>
      </c>
      <c r="F1578" s="1102">
        <v>0.97957114727586103</v>
      </c>
      <c r="G1578" s="1102">
        <v>0.98013788907961463</v>
      </c>
      <c r="H1578" s="1102">
        <v>0.99962973913769326</v>
      </c>
      <c r="I1578" s="1102">
        <v>0.9864078396431647</v>
      </c>
      <c r="K1578">
        <v>1.5548396363944372</v>
      </c>
      <c r="L1578">
        <v>0</v>
      </c>
      <c r="M1578">
        <v>1.4790676100990311E-3</v>
      </c>
      <c r="N1578">
        <v>0.15244724281683025</v>
      </c>
      <c r="O1578">
        <v>0.12178511489809288</v>
      </c>
      <c r="P1578">
        <v>1.5873926121886345E-2</v>
      </c>
      <c r="Q1578">
        <v>9.5374608830656193E-4</v>
      </c>
      <c r="R1578">
        <v>1.475718672043932E-3</v>
      </c>
      <c r="S1578">
        <v>0.1211665471509651</v>
      </c>
      <c r="T1578">
        <v>0.80598180974930911</v>
      </c>
      <c r="U1578">
        <v>0</v>
      </c>
      <c r="V1578">
        <v>0.20533216509354163</v>
      </c>
      <c r="W1578">
        <v>9.7966531248874819E-2</v>
      </c>
      <c r="X1578">
        <v>2.9319482409909271E-2</v>
      </c>
      <c r="Y1578">
        <v>4.0164197547740855E-3</v>
      </c>
    </row>
    <row r="1579" spans="1:25" x14ac:dyDescent="0.25">
      <c r="A1579" s="1098"/>
      <c r="B1579" s="1457">
        <v>1329</v>
      </c>
      <c r="C1579" s="1102">
        <v>1.00195052871876</v>
      </c>
      <c r="D1579" s="1102">
        <v>1.0200671724371773</v>
      </c>
      <c r="E1579" s="1102">
        <v>1.0322061311905597</v>
      </c>
      <c r="F1579" s="1102">
        <v>1.0194532747788243</v>
      </c>
      <c r="G1579" s="1102">
        <v>0.98626993745582381</v>
      </c>
      <c r="H1579" s="1102">
        <v>1.0078901511084075</v>
      </c>
      <c r="I1579" s="1102">
        <v>0.98556686389230752</v>
      </c>
      <c r="K1579">
        <v>1.5757756278480521</v>
      </c>
      <c r="L1579">
        <v>0</v>
      </c>
      <c r="M1579">
        <v>1.4537626696398201E-3</v>
      </c>
      <c r="N1579">
        <v>0.14742533666026211</v>
      </c>
      <c r="O1579">
        <v>0.12165783020374057</v>
      </c>
      <c r="P1579">
        <v>1.6216093166372375E-2</v>
      </c>
      <c r="Q1579">
        <v>9.1990217770153762E-4</v>
      </c>
      <c r="R1579">
        <v>1.4504780824148766E-3</v>
      </c>
      <c r="S1579">
        <v>0.1169751058058961</v>
      </c>
      <c r="T1579">
        <v>0.83915303075621006</v>
      </c>
      <c r="U1579">
        <v>0</v>
      </c>
      <c r="V1579">
        <v>0.2053001206623796</v>
      </c>
      <c r="W1579">
        <v>9.5035104201469461E-2</v>
      </c>
      <c r="X1579">
        <v>2.9148665610882869E-2</v>
      </c>
      <c r="Y1579">
        <v>3.9477231903619322E-3</v>
      </c>
    </row>
    <row r="1580" spans="1:25" x14ac:dyDescent="0.25">
      <c r="A1580" s="1098"/>
      <c r="B1580" s="1457">
        <v>1330</v>
      </c>
      <c r="C1580" s="1102">
        <v>1.0234615377884833</v>
      </c>
      <c r="D1580" s="1102">
        <v>1.0207478399539742</v>
      </c>
      <c r="E1580" s="1102">
        <v>1.0050581878170965</v>
      </c>
      <c r="F1580" s="1102">
        <v>1.0172046337024911</v>
      </c>
      <c r="G1580" s="1102">
        <v>1.0436268681503005</v>
      </c>
      <c r="H1580" s="1102">
        <v>1.0032859048081895</v>
      </c>
      <c r="I1580" s="1102">
        <v>0.99333169312417424</v>
      </c>
      <c r="K1580">
        <v>1.5611970350396853</v>
      </c>
      <c r="L1580">
        <v>0</v>
      </c>
      <c r="M1580">
        <v>1.5004166045552274E-3</v>
      </c>
      <c r="N1580">
        <v>0.14018936856092368</v>
      </c>
      <c r="O1580">
        <v>0.12046298234684188</v>
      </c>
      <c r="P1580">
        <v>1.5877893257554856E-2</v>
      </c>
      <c r="Q1580">
        <v>8.7558166634840555E-4</v>
      </c>
      <c r="R1580">
        <v>1.4970151404117185E-3</v>
      </c>
      <c r="S1580">
        <v>0.11507186163610714</v>
      </c>
      <c r="T1580">
        <v>0.83910843803067214</v>
      </c>
      <c r="U1580">
        <v>0</v>
      </c>
      <c r="V1580">
        <v>0.2059261834189734</v>
      </c>
      <c r="W1580">
        <v>9.1818985434300449E-2</v>
      </c>
      <c r="X1580">
        <v>2.7794760430814008E-2</v>
      </c>
      <c r="Y1580">
        <v>4.0743817212922891E-3</v>
      </c>
    </row>
    <row r="1581" spans="1:25" x14ac:dyDescent="0.25">
      <c r="A1581" s="1098"/>
      <c r="B1581" s="1457">
        <v>1331</v>
      </c>
      <c r="C1581" s="1102">
        <v>0.99550633950929146</v>
      </c>
      <c r="D1581" s="1102">
        <v>1.0142773480974605</v>
      </c>
      <c r="E1581" s="1102">
        <v>0.97497999776810507</v>
      </c>
      <c r="F1581" s="1102">
        <v>1.032607316644254</v>
      </c>
      <c r="G1581" s="1102">
        <v>1.0008010637255462</v>
      </c>
      <c r="H1581" s="1102">
        <v>1.0199517944870404</v>
      </c>
      <c r="I1581" s="1102">
        <v>1.0021954908239499</v>
      </c>
      <c r="K1581">
        <v>1.5919145560964241</v>
      </c>
      <c r="L1581">
        <v>0</v>
      </c>
      <c r="M1581">
        <v>1.6736347337357124E-3</v>
      </c>
      <c r="N1581">
        <v>0.14278605199715119</v>
      </c>
      <c r="O1581">
        <v>0.12331702221153415</v>
      </c>
      <c r="P1581">
        <v>1.5816842371597514E-2</v>
      </c>
      <c r="Q1581">
        <v>8.7460661952220523E-4</v>
      </c>
      <c r="R1581">
        <v>1.6699035049416709E-3</v>
      </c>
      <c r="S1581">
        <v>0.12101160651501132</v>
      </c>
      <c r="T1581">
        <v>0.85387469253095272</v>
      </c>
      <c r="U1581">
        <v>0</v>
      </c>
      <c r="V1581">
        <v>0.20724422110799909</v>
      </c>
      <c r="W1581">
        <v>9.5220118049557392E-2</v>
      </c>
      <c r="X1581">
        <v>2.7228199064983572E-2</v>
      </c>
      <c r="Y1581">
        <v>4.5449268569087691E-3</v>
      </c>
    </row>
    <row r="1582" spans="1:25" x14ac:dyDescent="0.25">
      <c r="A1582" s="1098"/>
      <c r="B1582" s="1457">
        <v>1332</v>
      </c>
      <c r="C1582" s="1102">
        <v>1.0013584929638313</v>
      </c>
      <c r="D1582" s="1102">
        <v>0.99447241446335166</v>
      </c>
      <c r="E1582" s="1102">
        <v>1.0240392568002905</v>
      </c>
      <c r="F1582" s="1102">
        <v>0.9958487214563928</v>
      </c>
      <c r="G1582" s="1102">
        <v>0.96955556609622784</v>
      </c>
      <c r="H1582" s="1102">
        <v>0.97573486199707926</v>
      </c>
      <c r="I1582" s="1102">
        <v>1.0193288306321142</v>
      </c>
      <c r="K1582">
        <v>1.5515267843783642</v>
      </c>
      <c r="L1582">
        <v>0</v>
      </c>
      <c r="M1582">
        <v>1.4505478635005568E-3</v>
      </c>
      <c r="N1582">
        <v>0.14351163116648033</v>
      </c>
      <c r="O1582">
        <v>0.12118555347063434</v>
      </c>
      <c r="P1582">
        <v>1.58852534779662E-2</v>
      </c>
      <c r="Q1582">
        <v>9.2212512511962309E-4</v>
      </c>
      <c r="R1582">
        <v>1.4471707889606616E-3</v>
      </c>
      <c r="S1582">
        <v>0.1201369314359062</v>
      </c>
      <c r="T1582">
        <v>0.82025267198183149</v>
      </c>
      <c r="U1582">
        <v>0</v>
      </c>
      <c r="V1582">
        <v>0.20412203729125294</v>
      </c>
      <c r="W1582">
        <v>9.295246587151873E-2</v>
      </c>
      <c r="X1582">
        <v>2.8622769804365712E-2</v>
      </c>
      <c r="Y1582">
        <v>3.9387218278285523E-3</v>
      </c>
    </row>
    <row r="1583" spans="1:25" x14ac:dyDescent="0.25">
      <c r="A1583" s="1098"/>
      <c r="B1583" s="1457">
        <v>1333</v>
      </c>
      <c r="C1583" s="1102">
        <v>0.95760660368016204</v>
      </c>
      <c r="D1583" s="1102">
        <v>1.01141084448842</v>
      </c>
      <c r="E1583" s="1102">
        <v>0.96635539868423703</v>
      </c>
      <c r="F1583" s="1102">
        <v>0.95450181122933431</v>
      </c>
      <c r="G1583" s="1102">
        <v>0.95901412393197893</v>
      </c>
      <c r="H1583" s="1102">
        <v>1.0125056350452557</v>
      </c>
      <c r="I1583" s="1102">
        <v>1.0340401003740802</v>
      </c>
      <c r="K1583">
        <v>1.5319839590189472</v>
      </c>
      <c r="L1583">
        <v>0</v>
      </c>
      <c r="M1583">
        <v>1.7453727697940209E-3</v>
      </c>
      <c r="N1583">
        <v>0.14506315475260415</v>
      </c>
      <c r="O1583">
        <v>0.11993833025663012</v>
      </c>
      <c r="P1583">
        <v>1.4928577629017359E-2</v>
      </c>
      <c r="Q1583">
        <v>9.0202052278361047E-4</v>
      </c>
      <c r="R1583">
        <v>1.7414197049290389E-3</v>
      </c>
      <c r="S1583">
        <v>0.12859865900271086</v>
      </c>
      <c r="T1583">
        <v>0.78983959513377122</v>
      </c>
      <c r="U1583">
        <v>0</v>
      </c>
      <c r="V1583">
        <v>0.20468089942430859</v>
      </c>
      <c r="W1583">
        <v>9.7247523702789149E-2</v>
      </c>
      <c r="X1583">
        <v>2.604958128122933E-2</v>
      </c>
      <c r="Y1583">
        <v>4.7395703779653971E-3</v>
      </c>
    </row>
    <row r="1584" spans="1:25" x14ac:dyDescent="0.25">
      <c r="A1584" s="1098"/>
      <c r="B1584" s="1457">
        <v>1334</v>
      </c>
      <c r="C1584" s="1102">
        <v>1.012297529771266</v>
      </c>
      <c r="D1584" s="1102">
        <v>0.99787895037577723</v>
      </c>
      <c r="E1584" s="1102">
        <v>0.97243523191066228</v>
      </c>
      <c r="F1584" s="1102">
        <v>1.0012900580906015</v>
      </c>
      <c r="G1584" s="1102">
        <v>0.97287172141341127</v>
      </c>
      <c r="H1584" s="1102">
        <v>1.0383985997208804</v>
      </c>
      <c r="I1584" s="1102">
        <v>1.0332871821216969</v>
      </c>
      <c r="K1584">
        <v>1.5652482832756549</v>
      </c>
      <c r="L1584">
        <v>0</v>
      </c>
      <c r="M1584">
        <v>1.6982653328767149E-3</v>
      </c>
      <c r="N1584">
        <v>0.14378182907907894</v>
      </c>
      <c r="O1584">
        <v>0.12100782595571187</v>
      </c>
      <c r="P1584">
        <v>1.5449178524463904E-2</v>
      </c>
      <c r="Q1584">
        <v>8.6341200620613351E-4</v>
      </c>
      <c r="R1584">
        <v>1.694552526989696E-3</v>
      </c>
      <c r="S1584">
        <v>0.12529563415737499</v>
      </c>
      <c r="T1584">
        <v>0.82814846506965201</v>
      </c>
      <c r="U1584">
        <v>0</v>
      </c>
      <c r="V1584">
        <v>0.20344727486368797</v>
      </c>
      <c r="W1584">
        <v>9.6032360719988621E-2</v>
      </c>
      <c r="X1584">
        <v>2.6614002336003154E-2</v>
      </c>
      <c r="Y1584">
        <v>4.6120133693755604E-3</v>
      </c>
    </row>
    <row r="1585" spans="1:25" x14ac:dyDescent="0.25">
      <c r="A1585" s="1098"/>
      <c r="B1585" s="1457">
        <v>1335</v>
      </c>
      <c r="C1585" s="1102">
        <v>1.0006297499182661</v>
      </c>
      <c r="D1585" s="1102">
        <v>1.0098289668134042</v>
      </c>
      <c r="E1585" s="1102">
        <v>1.0316674145616715</v>
      </c>
      <c r="F1585" s="1102">
        <v>0.96941170503206464</v>
      </c>
      <c r="G1585" s="1102">
        <v>0.99385290144435334</v>
      </c>
      <c r="H1585" s="1102">
        <v>0.99524681931736281</v>
      </c>
      <c r="I1585" s="1102">
        <v>1.0200095172370349</v>
      </c>
      <c r="K1585">
        <v>1.5297109841329961</v>
      </c>
      <c r="L1585">
        <v>0</v>
      </c>
      <c r="M1585">
        <v>1.4416522072232282E-3</v>
      </c>
      <c r="N1585">
        <v>0.14595508042977809</v>
      </c>
      <c r="O1585">
        <v>0.11867051861863631</v>
      </c>
      <c r="P1585">
        <v>1.566071722606523E-2</v>
      </c>
      <c r="Q1585">
        <v>9.2433286697344642E-4</v>
      </c>
      <c r="R1585">
        <v>1.438346276785758E-3</v>
      </c>
      <c r="S1585">
        <v>0.12062336210849298</v>
      </c>
      <c r="T1585">
        <v>0.79799573623255704</v>
      </c>
      <c r="U1585">
        <v>0</v>
      </c>
      <c r="V1585">
        <v>0.20345711442649073</v>
      </c>
      <c r="W1585">
        <v>9.4116711985129206E-2</v>
      </c>
      <c r="X1585">
        <v>2.8396011754621784E-2</v>
      </c>
      <c r="Y1585">
        <v>3.9147044146881221E-3</v>
      </c>
    </row>
    <row r="1586" spans="1:25" x14ac:dyDescent="0.25">
      <c r="A1586" s="1098"/>
      <c r="B1586" s="1457">
        <v>1336</v>
      </c>
      <c r="C1586" s="1102">
        <v>0.97462839645729715</v>
      </c>
      <c r="D1586" s="1102">
        <v>1.0159609748108194</v>
      </c>
      <c r="E1586" s="1102">
        <v>0.99483068048665246</v>
      </c>
      <c r="F1586" s="1102">
        <v>0.98992629446455316</v>
      </c>
      <c r="G1586" s="1102">
        <v>1.0125257038531317</v>
      </c>
      <c r="H1586" s="1102">
        <v>1.0057816088444438</v>
      </c>
      <c r="I1586" s="1102">
        <v>1.0361918793219866</v>
      </c>
      <c r="K1586">
        <v>1.562292613936985</v>
      </c>
      <c r="L1586">
        <v>0</v>
      </c>
      <c r="M1586">
        <v>1.608768813116563E-3</v>
      </c>
      <c r="N1586">
        <v>0.14573876561509563</v>
      </c>
      <c r="O1586">
        <v>0.12130037442940356</v>
      </c>
      <c r="P1586">
        <v>1.5630442825788543E-2</v>
      </c>
      <c r="Q1586">
        <v>9.11465700377527E-4</v>
      </c>
      <c r="R1586">
        <v>1.6051134678604505E-3</v>
      </c>
      <c r="S1586">
        <v>0.12612927234473195</v>
      </c>
      <c r="T1586">
        <v>0.81727447416499654</v>
      </c>
      <c r="U1586">
        <v>0</v>
      </c>
      <c r="V1586">
        <v>0.20735920076842951</v>
      </c>
      <c r="W1586">
        <v>9.6035666454281868E-2</v>
      </c>
      <c r="X1586">
        <v>2.7548017245130986E-2</v>
      </c>
      <c r="Y1586">
        <v>4.3685897340036721E-3</v>
      </c>
    </row>
    <row r="1587" spans="1:25" x14ac:dyDescent="0.25">
      <c r="A1587" s="1098"/>
      <c r="B1587" s="1457">
        <v>1337</v>
      </c>
      <c r="C1587" s="1102">
        <v>1.0068371443875523</v>
      </c>
      <c r="D1587" s="1102">
        <v>1.0167814078928639</v>
      </c>
      <c r="E1587" s="1102">
        <v>0.99198791446303447</v>
      </c>
      <c r="F1587" s="1102">
        <v>1.0123283163323589</v>
      </c>
      <c r="G1587" s="1102">
        <v>0.99229751942911149</v>
      </c>
      <c r="H1587" s="1102">
        <v>1.0043104803730274</v>
      </c>
      <c r="I1587" s="1102">
        <v>1.0135823213924973</v>
      </c>
      <c r="K1587">
        <v>1.5638836755562466</v>
      </c>
      <c r="L1587">
        <v>0</v>
      </c>
      <c r="M1587">
        <v>1.5698405853540806E-3</v>
      </c>
      <c r="N1587">
        <v>0.14099627180231603</v>
      </c>
      <c r="O1587">
        <v>0.12117605182118291</v>
      </c>
      <c r="P1587">
        <v>1.5726934243402185E-2</v>
      </c>
      <c r="Q1587">
        <v>8.7941808038735831E-4</v>
      </c>
      <c r="R1587">
        <v>1.566282418499389E-3</v>
      </c>
      <c r="S1587">
        <v>0.11957253177660138</v>
      </c>
      <c r="T1587">
        <v>0.83595997568683056</v>
      </c>
      <c r="U1587">
        <v>0</v>
      </c>
      <c r="V1587">
        <v>0.20482281500273944</v>
      </c>
      <c r="W1587">
        <v>9.3068497986045232E-2</v>
      </c>
      <c r="X1587">
        <v>2.7421832905299863E-2</v>
      </c>
      <c r="Y1587">
        <v>4.2629044182948429E-3</v>
      </c>
    </row>
    <row r="1588" spans="1:25" x14ac:dyDescent="0.25">
      <c r="A1588" s="1098"/>
      <c r="B1588" s="1457">
        <v>1338</v>
      </c>
      <c r="C1588" s="1102">
        <v>1.0357528153631081</v>
      </c>
      <c r="D1588" s="1102">
        <v>0.99748652849716724</v>
      </c>
      <c r="E1588" s="1102">
        <v>0.97655922677347351</v>
      </c>
      <c r="F1588" s="1102">
        <v>0.97657285976249542</v>
      </c>
      <c r="G1588" s="1102">
        <v>1.0075455244287836</v>
      </c>
      <c r="H1588" s="1102">
        <v>0.98351401888119094</v>
      </c>
      <c r="I1588" s="1102">
        <v>0.9673118777619627</v>
      </c>
      <c r="K1588">
        <v>1.5067905964012083</v>
      </c>
      <c r="L1588">
        <v>0</v>
      </c>
      <c r="M1588">
        <v>1.5587291857649774E-3</v>
      </c>
      <c r="N1588">
        <v>0.13360942483195923</v>
      </c>
      <c r="O1588">
        <v>0.11812834708471837</v>
      </c>
      <c r="P1588">
        <v>1.5002009858003469E-2</v>
      </c>
      <c r="Q1588">
        <v>8.4765846861731037E-4</v>
      </c>
      <c r="R1588">
        <v>1.5551306781018228E-3</v>
      </c>
      <c r="S1588">
        <v>0.11058526709113282</v>
      </c>
      <c r="T1588">
        <v>0.80743615030671345</v>
      </c>
      <c r="U1588">
        <v>0</v>
      </c>
      <c r="V1588">
        <v>0.20185816993227929</v>
      </c>
      <c r="W1588">
        <v>8.9015267289338562E-2</v>
      </c>
      <c r="X1588">
        <v>2.6079346989004139E-2</v>
      </c>
      <c r="Y1588">
        <v>4.2325530571029031E-3</v>
      </c>
    </row>
    <row r="1589" spans="1:25" x14ac:dyDescent="0.25">
      <c r="A1589" s="1098"/>
      <c r="B1589" s="1457">
        <v>1339</v>
      </c>
      <c r="C1589" s="1102">
        <v>0.96412427463868999</v>
      </c>
      <c r="D1589" s="1102">
        <v>1.0074611145401029</v>
      </c>
      <c r="E1589" s="1102">
        <v>0.98337193612694085</v>
      </c>
      <c r="F1589" s="1102">
        <v>1.0180939346780771</v>
      </c>
      <c r="G1589" s="1102">
        <v>0.97989005339981039</v>
      </c>
      <c r="H1589" s="1102">
        <v>0.97867981975707752</v>
      </c>
      <c r="I1589" s="1102">
        <v>0.99112081029612309</v>
      </c>
      <c r="K1589">
        <v>1.5806413939520316</v>
      </c>
      <c r="L1589">
        <v>0</v>
      </c>
      <c r="M1589">
        <v>1.630390898819642E-3</v>
      </c>
      <c r="N1589">
        <v>0.14265978058223872</v>
      </c>
      <c r="O1589">
        <v>0.12425811961191356</v>
      </c>
      <c r="P1589">
        <v>1.5758811351177272E-2</v>
      </c>
      <c r="Q1589">
        <v>9.1351595421856576E-4</v>
      </c>
      <c r="R1589">
        <v>1.6265942618778186E-3</v>
      </c>
      <c r="S1589">
        <v>0.12046111813153679</v>
      </c>
      <c r="T1589">
        <v>0.84130366112926258</v>
      </c>
      <c r="U1589">
        <v>0</v>
      </c>
      <c r="V1589">
        <v>0.20852764620645114</v>
      </c>
      <c r="W1589">
        <v>9.4654738624076154E-2</v>
      </c>
      <c r="X1589">
        <v>2.7680745623920269E-2</v>
      </c>
      <c r="Y1589">
        <v>4.4270533741771027E-3</v>
      </c>
    </row>
    <row r="1590" spans="1:25" x14ac:dyDescent="0.25">
      <c r="A1590" s="1098"/>
      <c r="B1590" s="1457">
        <v>1340</v>
      </c>
      <c r="C1590" s="1102">
        <v>1.0034140554922621</v>
      </c>
      <c r="D1590" s="1102">
        <v>0.98109714126722136</v>
      </c>
      <c r="E1590" s="1102">
        <v>0.99529503920732865</v>
      </c>
      <c r="F1590" s="1102">
        <v>1.0155754971812527</v>
      </c>
      <c r="G1590" s="1102">
        <v>1.037477722560217</v>
      </c>
      <c r="H1590" s="1102">
        <v>0.98839497050060043</v>
      </c>
      <c r="I1590" s="1102">
        <v>0.99690338748570118</v>
      </c>
      <c r="K1590">
        <v>1.5746268245228301</v>
      </c>
      <c r="L1590">
        <v>0</v>
      </c>
      <c r="M1590">
        <v>1.5711935672322449E-3</v>
      </c>
      <c r="N1590">
        <v>0.14253225902682073</v>
      </c>
      <c r="O1590">
        <v>0.12315210790089387</v>
      </c>
      <c r="P1590">
        <v>1.5844193885581608E-2</v>
      </c>
      <c r="Q1590">
        <v>8.9820373970988967E-4</v>
      </c>
      <c r="R1590">
        <v>1.5675966098711957E-3</v>
      </c>
      <c r="S1590">
        <v>0.11928982890346725</v>
      </c>
      <c r="T1590">
        <v>0.83841902431572202</v>
      </c>
      <c r="U1590">
        <v>0</v>
      </c>
      <c r="V1590">
        <v>0.2083972784883609</v>
      </c>
      <c r="W1590">
        <v>9.3896695231805896E-2</v>
      </c>
      <c r="X1590">
        <v>2.7934348773844396E-2</v>
      </c>
      <c r="Y1590">
        <v>4.2664812139858324E-3</v>
      </c>
    </row>
    <row r="1591" spans="1:25" x14ac:dyDescent="0.25">
      <c r="A1591" s="1098"/>
      <c r="B1591" s="1457">
        <v>1341</v>
      </c>
      <c r="C1591" s="1102">
        <v>0.97377201875050978</v>
      </c>
      <c r="D1591" s="1102">
        <v>1.0250107531278838</v>
      </c>
      <c r="E1591" s="1102">
        <v>1.0099183659175086</v>
      </c>
      <c r="F1591" s="1102">
        <v>1.0234475866897419</v>
      </c>
      <c r="G1591" s="1102">
        <v>1.0229110503770971</v>
      </c>
      <c r="H1591" s="1102">
        <v>1.0139471756839609</v>
      </c>
      <c r="I1591" s="1102">
        <v>0.99077883496127073</v>
      </c>
      <c r="K1591">
        <v>1.5934445874537388</v>
      </c>
      <c r="L1591">
        <v>0</v>
      </c>
      <c r="M1591">
        <v>1.5692257746154367E-3</v>
      </c>
      <c r="N1591">
        <v>0.14878833679401599</v>
      </c>
      <c r="O1591">
        <v>0.12326372485921452</v>
      </c>
      <c r="P1591">
        <v>1.6130062715947246E-2</v>
      </c>
      <c r="Q1591">
        <v>9.2335061827504431E-4</v>
      </c>
      <c r="R1591">
        <v>1.5656925377809067E-3</v>
      </c>
      <c r="S1591">
        <v>0.12094744836180291</v>
      </c>
      <c r="T1591">
        <v>0.84393119028421182</v>
      </c>
      <c r="U1591">
        <v>0</v>
      </c>
      <c r="V1591">
        <v>0.20940533987951598</v>
      </c>
      <c r="W1591">
        <v>9.717155978275753E-2</v>
      </c>
      <c r="X1591">
        <v>2.8625808437396285E-2</v>
      </c>
      <c r="Y1591">
        <v>4.2612989574332622E-3</v>
      </c>
    </row>
    <row r="1592" spans="1:25" x14ac:dyDescent="0.25">
      <c r="A1592" s="1098"/>
      <c r="B1592" s="1457">
        <v>1342</v>
      </c>
      <c r="C1592" s="1102">
        <v>1.0298873896144203</v>
      </c>
      <c r="D1592" s="1102">
        <v>1.0207212885943251</v>
      </c>
      <c r="E1592" s="1102">
        <v>0.98058305237646171</v>
      </c>
      <c r="F1592" s="1102">
        <v>0.99042690219804408</v>
      </c>
      <c r="G1592" s="1102">
        <v>0.95945646168387144</v>
      </c>
      <c r="H1592" s="1102">
        <v>0.98863152498442541</v>
      </c>
      <c r="I1592" s="1102">
        <v>0.98687891600578392</v>
      </c>
      <c r="K1592">
        <v>1.5190430961448074</v>
      </c>
      <c r="L1592">
        <v>0</v>
      </c>
      <c r="M1592">
        <v>1.5434069164676294E-3</v>
      </c>
      <c r="N1592">
        <v>0.1339173422534346</v>
      </c>
      <c r="O1592">
        <v>0.11837707948921815</v>
      </c>
      <c r="P1592">
        <v>1.5199882176663636E-2</v>
      </c>
      <c r="Q1592">
        <v>8.4824232977404978E-4</v>
      </c>
      <c r="R1592">
        <v>1.5398507991588352E-3</v>
      </c>
      <c r="S1592">
        <v>0.1123529875260129</v>
      </c>
      <c r="T1592">
        <v>0.81862491143907357</v>
      </c>
      <c r="U1592">
        <v>0</v>
      </c>
      <c r="V1592">
        <v>0.20020517410913802</v>
      </c>
      <c r="W1592">
        <v>8.9003653520656034E-2</v>
      </c>
      <c r="X1592">
        <v>2.6326413154511834E-2</v>
      </c>
      <c r="Y1592">
        <v>4.1909662636308298E-3</v>
      </c>
    </row>
    <row r="1593" spans="1:25" x14ac:dyDescent="0.25">
      <c r="A1593" s="1098"/>
      <c r="B1593" s="1457">
        <v>1343</v>
      </c>
      <c r="C1593" s="1102">
        <v>0.98511373119001233</v>
      </c>
      <c r="D1593" s="1102">
        <v>0.98766628629760111</v>
      </c>
      <c r="E1593" s="1102">
        <v>0.98546548509493925</v>
      </c>
      <c r="F1593" s="1102">
        <v>0.98711575541451579</v>
      </c>
      <c r="G1593" s="1102">
        <v>1.0104910819236927</v>
      </c>
      <c r="H1593" s="1102">
        <v>1.0326748314859824</v>
      </c>
      <c r="I1593" s="1102">
        <v>0.99137276456184942</v>
      </c>
      <c r="K1593">
        <v>1.5642759994789024</v>
      </c>
      <c r="L1593">
        <v>0</v>
      </c>
      <c r="M1593">
        <v>1.6939403209846645E-3</v>
      </c>
      <c r="N1593">
        <v>0.14918094943155555</v>
      </c>
      <c r="O1593">
        <v>0.12182061776057398</v>
      </c>
      <c r="P1593">
        <v>1.5459031383594623E-2</v>
      </c>
      <c r="Q1593">
        <v>9.0315140469512706E-4</v>
      </c>
      <c r="R1593">
        <v>1.690211156397487E-3</v>
      </c>
      <c r="S1593">
        <v>0.12359640339757592</v>
      </c>
      <c r="T1593">
        <v>0.81556732738741466</v>
      </c>
      <c r="U1593">
        <v>0</v>
      </c>
      <c r="V1593">
        <v>0.20703846860175251</v>
      </c>
      <c r="W1593">
        <v>9.8856922852125509E-2</v>
      </c>
      <c r="X1593">
        <v>2.725665883444367E-2</v>
      </c>
      <c r="Y1593">
        <v>4.6001975897559987E-3</v>
      </c>
    </row>
    <row r="1594" spans="1:25" x14ac:dyDescent="0.25">
      <c r="A1594" s="1098"/>
      <c r="B1594" s="1457">
        <v>1344</v>
      </c>
      <c r="C1594" s="1102">
        <v>1.0281131179441279</v>
      </c>
      <c r="D1594" s="1102">
        <v>1.0050346300761208</v>
      </c>
      <c r="E1594" s="1102">
        <v>1.0059385243943251</v>
      </c>
      <c r="F1594" s="1102">
        <v>1.0148767884007235</v>
      </c>
      <c r="G1594" s="1102">
        <v>1.0274437627555049</v>
      </c>
      <c r="H1594" s="1102">
        <v>0.99463244438665921</v>
      </c>
      <c r="I1594" s="1102">
        <v>1.0041251040039245</v>
      </c>
      <c r="K1594">
        <v>1.5591100677772882</v>
      </c>
      <c r="L1594">
        <v>0</v>
      </c>
      <c r="M1594">
        <v>1.4914057184376565E-3</v>
      </c>
      <c r="N1594">
        <v>0.13971654460399865</v>
      </c>
      <c r="O1594">
        <v>0.1207548335987494</v>
      </c>
      <c r="P1594">
        <v>1.5866535678972071E-2</v>
      </c>
      <c r="Q1594">
        <v>8.7784431425874199E-4</v>
      </c>
      <c r="R1594">
        <v>1.488004787865893E-3</v>
      </c>
      <c r="S1594">
        <v>0.11622051386625017</v>
      </c>
      <c r="T1594">
        <v>0.83712934056205857</v>
      </c>
      <c r="U1594">
        <v>0</v>
      </c>
      <c r="V1594">
        <v>0.20516763986238745</v>
      </c>
      <c r="W1594">
        <v>9.1461642619464531E-2</v>
      </c>
      <c r="X1594">
        <v>2.7868715089794865E-2</v>
      </c>
      <c r="Y1594">
        <v>4.0498585119244715E-3</v>
      </c>
    </row>
    <row r="1595" spans="1:25" x14ac:dyDescent="0.25">
      <c r="A1595" s="1098"/>
      <c r="B1595" s="1457">
        <v>1345</v>
      </c>
      <c r="C1595" s="1102">
        <v>0.99394619386113625</v>
      </c>
      <c r="D1595" s="1102">
        <v>1.0007437515066113</v>
      </c>
      <c r="E1595" s="1102">
        <v>0.97946404793573782</v>
      </c>
      <c r="F1595" s="1102">
        <v>1.0228991391749256</v>
      </c>
      <c r="G1595" s="1102">
        <v>0.99713922154981383</v>
      </c>
      <c r="H1595" s="1102">
        <v>1.0048326167154038</v>
      </c>
      <c r="I1595" s="1102">
        <v>1.0024611057125214</v>
      </c>
      <c r="K1595">
        <v>1.5826215252321116</v>
      </c>
      <c r="L1595">
        <v>0</v>
      </c>
      <c r="M1595">
        <v>1.6473795095093336E-3</v>
      </c>
      <c r="N1595">
        <v>0.14246197456260346</v>
      </c>
      <c r="O1595">
        <v>0.12331693452000803</v>
      </c>
      <c r="P1595">
        <v>1.5756704787012618E-2</v>
      </c>
      <c r="Q1595">
        <v>8.8485325201693099E-4</v>
      </c>
      <c r="R1595">
        <v>1.6436569507682411E-3</v>
      </c>
      <c r="S1595">
        <v>0.12094368525929333</v>
      </c>
      <c r="T1595">
        <v>0.84554073044213196</v>
      </c>
      <c r="U1595">
        <v>0</v>
      </c>
      <c r="V1595">
        <v>0.20713107734352182</v>
      </c>
      <c r="W1595">
        <v>9.474655138229203E-2</v>
      </c>
      <c r="X1595">
        <v>2.7369243853346579E-2</v>
      </c>
      <c r="Y1595">
        <v>4.4734923886229523E-3</v>
      </c>
    </row>
    <row r="1596" spans="1:25" x14ac:dyDescent="0.25">
      <c r="A1596" s="1098"/>
      <c r="B1596" s="1457">
        <v>1346</v>
      </c>
      <c r="C1596" s="1102">
        <v>0.99034343744859799</v>
      </c>
      <c r="D1596" s="1102">
        <v>0.99958806487520191</v>
      </c>
      <c r="E1596" s="1102">
        <v>1.0295142422222321</v>
      </c>
      <c r="F1596" s="1102">
        <v>0.96184453618096499</v>
      </c>
      <c r="G1596" s="1102">
        <v>0.99447357467791875</v>
      </c>
      <c r="H1596" s="1102">
        <v>1.0189337229831639</v>
      </c>
      <c r="I1596" s="1102">
        <v>0.97318117635225998</v>
      </c>
      <c r="K1596">
        <v>1.5320011082093175</v>
      </c>
      <c r="L1596">
        <v>0</v>
      </c>
      <c r="M1596">
        <v>1.5045370806763812E-3</v>
      </c>
      <c r="N1596">
        <v>0.1513443621513143</v>
      </c>
      <c r="O1596">
        <v>0.11909643559745445</v>
      </c>
      <c r="P1596">
        <v>1.5535846969397044E-2</v>
      </c>
      <c r="Q1596">
        <v>9.3569167020988119E-4</v>
      </c>
      <c r="R1596">
        <v>1.5011680828173621E-3</v>
      </c>
      <c r="S1596">
        <v>0.11871622350684499</v>
      </c>
      <c r="T1596">
        <v>0.79190129889532856</v>
      </c>
      <c r="U1596">
        <v>0</v>
      </c>
      <c r="V1596">
        <v>0.20425369648550074</v>
      </c>
      <c r="W1596">
        <v>9.7713897176347875E-2</v>
      </c>
      <c r="X1596">
        <v>2.8421340093276112E-2</v>
      </c>
      <c r="Y1596">
        <v>4.0856846615033556E-3</v>
      </c>
    </row>
    <row r="1597" spans="1:25" x14ac:dyDescent="0.25">
      <c r="A1597" s="1098"/>
      <c r="B1597" s="1457">
        <v>1347</v>
      </c>
      <c r="C1597" s="1102">
        <v>0.97614341607628963</v>
      </c>
      <c r="D1597" s="1102">
        <v>0.97454846285578101</v>
      </c>
      <c r="E1597" s="1102">
        <v>0.98559527056544738</v>
      </c>
      <c r="F1597" s="1102">
        <v>0.99213417868561027</v>
      </c>
      <c r="G1597" s="1102">
        <v>0.98250234217235266</v>
      </c>
      <c r="H1597" s="1102">
        <v>0.98740339703150781</v>
      </c>
      <c r="I1597" s="1102">
        <v>0.96063173490237896</v>
      </c>
      <c r="K1597">
        <v>1.5578077905379499</v>
      </c>
      <c r="L1597">
        <v>0</v>
      </c>
      <c r="M1597">
        <v>1.6459953890866942E-3</v>
      </c>
      <c r="N1597">
        <v>0.14500143667864326</v>
      </c>
      <c r="O1597">
        <v>0.12324258615842361</v>
      </c>
      <c r="P1597">
        <v>1.5446515096668324E-2</v>
      </c>
      <c r="Q1597">
        <v>9.1646295175830416E-4</v>
      </c>
      <c r="R1597">
        <v>1.642212789623393E-3</v>
      </c>
      <c r="S1597">
        <v>0.11823079993485289</v>
      </c>
      <c r="T1597">
        <v>0.81970505075717848</v>
      </c>
      <c r="U1597">
        <v>0</v>
      </c>
      <c r="V1597">
        <v>0.2072313442046122</v>
      </c>
      <c r="W1597">
        <v>9.6079811112218402E-2</v>
      </c>
      <c r="X1597">
        <v>2.7488004385001173E-2</v>
      </c>
      <c r="Y1597">
        <v>4.4695618580542686E-3</v>
      </c>
    </row>
    <row r="1598" spans="1:25" x14ac:dyDescent="0.25">
      <c r="A1598" s="1098"/>
      <c r="B1598" s="1457">
        <v>1348</v>
      </c>
      <c r="C1598" s="1102">
        <v>0.9762870332454443</v>
      </c>
      <c r="D1598" s="1102">
        <v>0.97464037062569986</v>
      </c>
      <c r="E1598" s="1102">
        <v>0.99767153503579287</v>
      </c>
      <c r="F1598" s="1102">
        <v>1.0067357742808172</v>
      </c>
      <c r="G1598" s="1102">
        <v>1.0376826696487551</v>
      </c>
      <c r="H1598" s="1102">
        <v>0.99385335645276029</v>
      </c>
      <c r="I1598" s="1102">
        <v>0.99594865882838068</v>
      </c>
      <c r="K1598">
        <v>1.58332327640926</v>
      </c>
      <c r="L1598">
        <v>0</v>
      </c>
      <c r="M1598">
        <v>1.6173925395996892E-3</v>
      </c>
      <c r="N1598">
        <v>0.14778207100661547</v>
      </c>
      <c r="O1598">
        <v>0.1242425332949872</v>
      </c>
      <c r="P1598">
        <v>1.5852823440181237E-2</v>
      </c>
      <c r="Q1598">
        <v>9.278903464712123E-4</v>
      </c>
      <c r="R1598">
        <v>1.6137040779206336E-3</v>
      </c>
      <c r="S1598">
        <v>0.12320007522550409</v>
      </c>
      <c r="T1598">
        <v>0.83096308756480419</v>
      </c>
      <c r="U1598">
        <v>0</v>
      </c>
      <c r="V1598">
        <v>0.21049568820714235</v>
      </c>
      <c r="W1598">
        <v>9.7217345344725176E-2</v>
      </c>
      <c r="X1598">
        <v>2.8253479897812087E-2</v>
      </c>
      <c r="Y1598">
        <v>4.3919705426936455E-3</v>
      </c>
    </row>
    <row r="1599" spans="1:25" x14ac:dyDescent="0.25">
      <c r="A1599" s="1098"/>
      <c r="B1599" s="1457">
        <v>1349</v>
      </c>
      <c r="C1599" s="1102">
        <v>0.9866980487616076</v>
      </c>
      <c r="D1599" s="1102">
        <v>0.99548609840507241</v>
      </c>
      <c r="E1599" s="1102">
        <v>1.0082024264287255</v>
      </c>
      <c r="F1599" s="1102">
        <v>0.98679809025219467</v>
      </c>
      <c r="G1599" s="1102">
        <v>1.0064128363312088</v>
      </c>
      <c r="H1599" s="1102">
        <v>1.0245967204398765</v>
      </c>
      <c r="I1599" s="1102">
        <v>0.96600717919360846</v>
      </c>
      <c r="K1599">
        <v>1.5582943198601102</v>
      </c>
      <c r="L1599">
        <v>0</v>
      </c>
      <c r="M1599">
        <v>1.5937741324129383E-3</v>
      </c>
      <c r="N1599">
        <v>0.15033958438460251</v>
      </c>
      <c r="O1599">
        <v>0.12130425467547896</v>
      </c>
      <c r="P1599">
        <v>1.5631468127812947E-2</v>
      </c>
      <c r="Q1599">
        <v>9.2033941110998866E-4</v>
      </c>
      <c r="R1599">
        <v>1.5902335798872096E-3</v>
      </c>
      <c r="S1599">
        <v>0.11910229160354499</v>
      </c>
      <c r="T1599">
        <v>0.81382143275799412</v>
      </c>
      <c r="U1599">
        <v>0</v>
      </c>
      <c r="V1599">
        <v>0.20650350725708538</v>
      </c>
      <c r="W1599">
        <v>9.8284129606082557E-2</v>
      </c>
      <c r="X1599">
        <v>2.8062761004828969E-2</v>
      </c>
      <c r="Y1599">
        <v>4.3280915840942609E-3</v>
      </c>
    </row>
    <row r="1600" spans="1:25" x14ac:dyDescent="0.25">
      <c r="A1600" s="1098"/>
      <c r="B1600" s="1457">
        <v>1350</v>
      </c>
      <c r="C1600" s="1102">
        <v>1.0063815879076239</v>
      </c>
      <c r="D1600" s="1102">
        <v>1.0106999873005202</v>
      </c>
      <c r="E1600" s="1102">
        <v>1.0397483170028816</v>
      </c>
      <c r="F1600" s="1102">
        <v>0.99751909292068486</v>
      </c>
      <c r="G1600" s="1102">
        <v>0.99209894020314604</v>
      </c>
      <c r="H1600" s="1102">
        <v>1.0367539084616135</v>
      </c>
      <c r="I1600" s="1102">
        <v>1.0287737452593333</v>
      </c>
      <c r="K1600">
        <v>1.5706272922641071</v>
      </c>
      <c r="L1600">
        <v>0</v>
      </c>
      <c r="M1600">
        <v>1.4713518404644837E-3</v>
      </c>
      <c r="N1600">
        <v>0.15264857835828216</v>
      </c>
      <c r="O1600">
        <v>0.12029658712773332</v>
      </c>
      <c r="P1600">
        <v>1.6136560637899196E-2</v>
      </c>
      <c r="Q1600">
        <v>9.2631730963198722E-4</v>
      </c>
      <c r="R1600">
        <v>1.4681208514577707E-3</v>
      </c>
      <c r="S1600">
        <v>0.12447338329909523</v>
      </c>
      <c r="T1600">
        <v>0.82061021526474132</v>
      </c>
      <c r="U1600">
        <v>0</v>
      </c>
      <c r="V1600">
        <v>0.20435104749346278</v>
      </c>
      <c r="W1600">
        <v>9.7974309971641041E-2</v>
      </c>
      <c r="X1600">
        <v>2.9217782798865728E-2</v>
      </c>
      <c r="Y1600">
        <v>3.9957409917594378E-3</v>
      </c>
    </row>
    <row r="1601" spans="1:25" x14ac:dyDescent="0.25">
      <c r="A1601" s="1098"/>
      <c r="B1601" s="1457">
        <v>1351</v>
      </c>
      <c r="C1601" s="1102">
        <v>1.0092713575825691</v>
      </c>
      <c r="D1601" s="1102">
        <v>1.0060752948549994</v>
      </c>
      <c r="E1601" s="1102">
        <v>1.0102608337829773</v>
      </c>
      <c r="F1601" s="1102">
        <v>0.98137245362930026</v>
      </c>
      <c r="G1601" s="1102">
        <v>0.99983664282159024</v>
      </c>
      <c r="H1601" s="1102">
        <v>1.0087836379647124</v>
      </c>
      <c r="I1601" s="1102">
        <v>1.0321767438087908</v>
      </c>
      <c r="K1601">
        <v>1.5415537164475113</v>
      </c>
      <c r="L1601">
        <v>0</v>
      </c>
      <c r="M1601">
        <v>1.5203374988042844E-3</v>
      </c>
      <c r="N1601">
        <v>0.1443011991579092</v>
      </c>
      <c r="O1601">
        <v>0.11930505676517923</v>
      </c>
      <c r="P1601">
        <v>1.5599794188502046E-2</v>
      </c>
      <c r="Q1601">
        <v>8.9785983041740496E-4</v>
      </c>
      <c r="R1601">
        <v>1.5169054593553843E-3</v>
      </c>
      <c r="S1601">
        <v>0.12246402464167151</v>
      </c>
      <c r="T1601">
        <v>0.80921411021966005</v>
      </c>
      <c r="U1601">
        <v>0</v>
      </c>
      <c r="V1601">
        <v>0.20370641904114234</v>
      </c>
      <c r="W1601">
        <v>9.4222045353637693E-2</v>
      </c>
      <c r="X1601">
        <v>2.7718122676223672E-2</v>
      </c>
      <c r="Y1601">
        <v>4.1285166126150703E-3</v>
      </c>
    </row>
    <row r="1602" spans="1:25" x14ac:dyDescent="0.25">
      <c r="A1602" s="1098"/>
      <c r="B1602" s="1457">
        <v>1352</v>
      </c>
      <c r="C1602" s="1102">
        <v>1.0178994402728203</v>
      </c>
      <c r="D1602" s="1102">
        <v>1.0238144579658179</v>
      </c>
      <c r="E1602" s="1102">
        <v>0.96977502218048739</v>
      </c>
      <c r="F1602" s="1102">
        <v>0.98766732211524599</v>
      </c>
      <c r="G1602" s="1102">
        <v>0.9625127477604839</v>
      </c>
      <c r="H1602" s="1102">
        <v>1.0097860445801508</v>
      </c>
      <c r="I1602" s="1102">
        <v>1.0067871709043505</v>
      </c>
      <c r="K1602">
        <v>1.5284440103131549</v>
      </c>
      <c r="L1602">
        <v>0</v>
      </c>
      <c r="M1602">
        <v>1.6265368097786769E-3</v>
      </c>
      <c r="N1602">
        <v>0.136594334020604</v>
      </c>
      <c r="O1602">
        <v>0.11867225600554691</v>
      </c>
      <c r="P1602">
        <v>1.5131386476613211E-2</v>
      </c>
      <c r="Q1602">
        <v>8.4751527620215866E-4</v>
      </c>
      <c r="R1602">
        <v>1.6228620097028651E-3</v>
      </c>
      <c r="S1602">
        <v>0.11729719131370954</v>
      </c>
      <c r="T1602">
        <v>0.81705724702890925</v>
      </c>
      <c r="U1602">
        <v>0</v>
      </c>
      <c r="V1602">
        <v>0.20105749732965084</v>
      </c>
      <c r="W1602">
        <v>9.1379511516810938E-2</v>
      </c>
      <c r="X1602">
        <v>2.5993850731088793E-2</v>
      </c>
      <c r="Y1602">
        <v>4.4168954140934788E-3</v>
      </c>
    </row>
    <row r="1603" spans="1:25" x14ac:dyDescent="0.25">
      <c r="A1603" s="1098"/>
      <c r="B1603" s="1457">
        <v>1353</v>
      </c>
      <c r="C1603" s="1102">
        <v>0.99971525929382421</v>
      </c>
      <c r="D1603" s="1102">
        <v>0.99570630937760352</v>
      </c>
      <c r="E1603" s="1102">
        <v>0.98577527472034621</v>
      </c>
      <c r="F1603" s="1102">
        <v>0.98029288810407444</v>
      </c>
      <c r="G1603" s="1102">
        <v>0.97137792930110223</v>
      </c>
      <c r="H1603" s="1102">
        <v>1.0257994675987021</v>
      </c>
      <c r="I1603" s="1102">
        <v>1.0413220199049296</v>
      </c>
      <c r="K1603">
        <v>1.5499092080804615</v>
      </c>
      <c r="L1603">
        <v>0</v>
      </c>
      <c r="M1603">
        <v>1.6503863543889795E-3</v>
      </c>
      <c r="N1603">
        <v>0.14547910596912764</v>
      </c>
      <c r="O1603">
        <v>0.12022506247988246</v>
      </c>
      <c r="P1603">
        <v>1.5380741025836685E-2</v>
      </c>
      <c r="Q1603">
        <v>8.8736596627242664E-4</v>
      </c>
      <c r="R1603">
        <v>1.6467259021666425E-3</v>
      </c>
      <c r="S1603">
        <v>0.12679254933689685</v>
      </c>
      <c r="T1603">
        <v>0.80991000104675737</v>
      </c>
      <c r="U1603">
        <v>0</v>
      </c>
      <c r="V1603">
        <v>0.20342554903775531</v>
      </c>
      <c r="W1603">
        <v>9.6385891170318636E-2</v>
      </c>
      <c r="X1603">
        <v>2.6944757437184799E-2</v>
      </c>
      <c r="Y1603">
        <v>4.4818450626498444E-3</v>
      </c>
    </row>
    <row r="1604" spans="1:25" x14ac:dyDescent="0.25">
      <c r="A1604" s="1098"/>
      <c r="B1604" s="1457">
        <v>1354</v>
      </c>
      <c r="C1604" s="1102">
        <v>0.98952944620040739</v>
      </c>
      <c r="D1604" s="1102">
        <v>0.97194776913164249</v>
      </c>
      <c r="E1604" s="1102">
        <v>1.0014530538664543</v>
      </c>
      <c r="F1604" s="1102">
        <v>0.98978128763078965</v>
      </c>
      <c r="G1604" s="1102">
        <v>0.97465719098152825</v>
      </c>
      <c r="H1604" s="1102">
        <v>0.99279420729754664</v>
      </c>
      <c r="I1604" s="1102">
        <v>0.9797336654699822</v>
      </c>
      <c r="K1604">
        <v>1.5557209553659397</v>
      </c>
      <c r="L1604">
        <v>0</v>
      </c>
      <c r="M1604">
        <v>1.5835572193191303E-3</v>
      </c>
      <c r="N1604">
        <v>0.14635279731351167</v>
      </c>
      <c r="O1604">
        <v>0.1224428972692642</v>
      </c>
      <c r="P1604">
        <v>1.5589500621151072E-2</v>
      </c>
      <c r="Q1604">
        <v>9.2008759897090899E-4</v>
      </c>
      <c r="R1604">
        <v>1.5799425524741094E-3</v>
      </c>
      <c r="S1604">
        <v>0.11966723151642612</v>
      </c>
      <c r="T1604">
        <v>0.8167216618992017</v>
      </c>
      <c r="U1604">
        <v>0</v>
      </c>
      <c r="V1604">
        <v>0.20569572041688469</v>
      </c>
      <c r="W1604">
        <v>9.6060890984388636E-2</v>
      </c>
      <c r="X1604">
        <v>2.7973699613070859E-2</v>
      </c>
      <c r="Y1604">
        <v>4.3000827999120778E-3</v>
      </c>
    </row>
    <row r="1605" spans="1:25" x14ac:dyDescent="0.25">
      <c r="A1605" s="1098"/>
      <c r="B1605" s="1457">
        <v>1355</v>
      </c>
      <c r="C1605" s="1102">
        <v>0.97735415853530638</v>
      </c>
      <c r="D1605" s="1102">
        <v>1.0233152750947505</v>
      </c>
      <c r="E1605" s="1102">
        <v>1.0406895994326533</v>
      </c>
      <c r="F1605" s="1102">
        <v>1.0094533737280813</v>
      </c>
      <c r="G1605" s="1102">
        <v>0.98841631839512734</v>
      </c>
      <c r="H1605" s="1102">
        <v>1.0062312930000628</v>
      </c>
      <c r="I1605" s="1102">
        <v>0.98079196422961135</v>
      </c>
      <c r="K1605">
        <v>1.5774558589280061</v>
      </c>
      <c r="L1605">
        <v>0</v>
      </c>
      <c r="M1605">
        <v>1.4555183884282911E-3</v>
      </c>
      <c r="N1605">
        <v>0.15142344170407057</v>
      </c>
      <c r="O1605">
        <v>0.12208113171193982</v>
      </c>
      <c r="P1605">
        <v>1.6240820168009974E-2</v>
      </c>
      <c r="Q1605">
        <v>9.5001513042054591E-4</v>
      </c>
      <c r="R1605">
        <v>1.4522144024331834E-3</v>
      </c>
      <c r="S1605">
        <v>0.11879960374117454</v>
      </c>
      <c r="T1605">
        <v>0.83036647473987168</v>
      </c>
      <c r="U1605">
        <v>0</v>
      </c>
      <c r="V1605">
        <v>0.20691619190964924</v>
      </c>
      <c r="W1605">
        <v>9.7135316760389889E-2</v>
      </c>
      <c r="X1605">
        <v>2.9593718167399842E-2</v>
      </c>
      <c r="Y1605">
        <v>3.9524488810740235E-3</v>
      </c>
    </row>
    <row r="1606" spans="1:25" x14ac:dyDescent="0.25">
      <c r="A1606" s="1098"/>
      <c r="B1606" s="1457">
        <v>1356</v>
      </c>
      <c r="C1606" s="1102">
        <v>1.0361537381736188</v>
      </c>
      <c r="D1606" s="1102">
        <v>1.0028137502183119</v>
      </c>
      <c r="E1606" s="1102">
        <v>1.0007316251850573</v>
      </c>
      <c r="F1606" s="1102">
        <v>1.026042360965961</v>
      </c>
      <c r="G1606" s="1102">
        <v>0.99012142324040497</v>
      </c>
      <c r="H1606" s="1102">
        <v>0.99212349380125597</v>
      </c>
      <c r="I1606" s="1102">
        <v>0.99287404782798583</v>
      </c>
      <c r="K1606">
        <v>1.562593548046465</v>
      </c>
      <c r="L1606">
        <v>0</v>
      </c>
      <c r="M1606">
        <v>1.4960189484379493E-3</v>
      </c>
      <c r="N1606">
        <v>0.13796154056004395</v>
      </c>
      <c r="O1606">
        <v>0.12123143225554542</v>
      </c>
      <c r="P1606">
        <v>1.5883102649237094E-2</v>
      </c>
      <c r="Q1606">
        <v>8.6711780800821376E-4</v>
      </c>
      <c r="R1606">
        <v>1.4926047255068673E-3</v>
      </c>
      <c r="S1606">
        <v>0.11407826874250444</v>
      </c>
      <c r="T1606">
        <v>0.84669145822874914</v>
      </c>
      <c r="U1606">
        <v>0</v>
      </c>
      <c r="V1606">
        <v>0.20346691605511771</v>
      </c>
      <c r="W1606">
        <v>9.0591963635195102E-2</v>
      </c>
      <c r="X1606">
        <v>2.7762784309181332E-2</v>
      </c>
      <c r="Y1606">
        <v>4.0623780258141678E-3</v>
      </c>
    </row>
    <row r="1607" spans="1:25" x14ac:dyDescent="0.25">
      <c r="A1607" s="1098"/>
      <c r="B1607" s="1457">
        <v>1357</v>
      </c>
      <c r="C1607" s="1102">
        <v>0.98144774396275947</v>
      </c>
      <c r="D1607" s="1102">
        <v>1.0071962464355544</v>
      </c>
      <c r="E1607" s="1102">
        <v>0.96131428758182724</v>
      </c>
      <c r="F1607" s="1102">
        <v>1.0022848995522939</v>
      </c>
      <c r="G1607" s="1102">
        <v>1.0333009319044852</v>
      </c>
      <c r="H1607" s="1102">
        <v>0.98941002686956891</v>
      </c>
      <c r="I1607" s="1102">
        <v>0.99596443906120991</v>
      </c>
      <c r="K1607">
        <v>1.5595610903309489</v>
      </c>
      <c r="L1607">
        <v>0</v>
      </c>
      <c r="M1607">
        <v>1.6950793937866332E-3</v>
      </c>
      <c r="N1607">
        <v>0.13874275221339175</v>
      </c>
      <c r="O1607">
        <v>0.12229232515573417</v>
      </c>
      <c r="P1607">
        <v>1.5332484837160926E-2</v>
      </c>
      <c r="Q1607">
        <v>8.7689479031487617E-4</v>
      </c>
      <c r="R1607">
        <v>1.6911755309851899E-3</v>
      </c>
      <c r="S1607">
        <v>0.11975654462415308</v>
      </c>
      <c r="T1607">
        <v>0.82971900461435522</v>
      </c>
      <c r="U1607">
        <v>0</v>
      </c>
      <c r="V1607">
        <v>0.20854585419971494</v>
      </c>
      <c r="W1607">
        <v>9.3297666362981604E-2</v>
      </c>
      <c r="X1607">
        <v>2.6398645096465743E-2</v>
      </c>
      <c r="Y1607">
        <v>4.6028222994777285E-3</v>
      </c>
    </row>
    <row r="1608" spans="1:25" x14ac:dyDescent="0.25">
      <c r="A1608" s="1098"/>
      <c r="B1608" s="1457">
        <v>1358</v>
      </c>
      <c r="C1608" s="1102">
        <v>1.0023138056713201</v>
      </c>
      <c r="D1608" s="1102">
        <v>1.0079589746856512</v>
      </c>
      <c r="E1608" s="1102">
        <v>0.969392394218342</v>
      </c>
      <c r="F1608" s="1102">
        <v>1.0097599798818058</v>
      </c>
      <c r="G1608" s="1102">
        <v>0.97144616595304489</v>
      </c>
      <c r="H1608" s="1102">
        <v>1.0180312181938027</v>
      </c>
      <c r="I1608" s="1102">
        <v>1.0045153118972421</v>
      </c>
      <c r="K1608">
        <v>1.5651125232633274</v>
      </c>
      <c r="L1608">
        <v>0</v>
      </c>
      <c r="M1608">
        <v>1.6823852337883704E-3</v>
      </c>
      <c r="N1608">
        <v>0.14112440180621699</v>
      </c>
      <c r="O1608">
        <v>0.12167674259587941</v>
      </c>
      <c r="P1608">
        <v>1.5459443985365362E-2</v>
      </c>
      <c r="Q1608">
        <v>8.6573493623077417E-4</v>
      </c>
      <c r="R1608">
        <v>1.678626952549429E-3</v>
      </c>
      <c r="S1608">
        <v>0.12066073926138929</v>
      </c>
      <c r="T1608">
        <v>0.83535949408942534</v>
      </c>
      <c r="U1608">
        <v>0</v>
      </c>
      <c r="V1608">
        <v>0.2043490573915698</v>
      </c>
      <c r="W1608">
        <v>9.4432053344405825E-2</v>
      </c>
      <c r="X1608">
        <v>2.6619944928470415E-2</v>
      </c>
      <c r="Y1608">
        <v>4.5686692056133571E-3</v>
      </c>
    </row>
    <row r="1609" spans="1:25" x14ac:dyDescent="0.25">
      <c r="A1609" s="1098"/>
      <c r="B1609" s="1457">
        <v>1359</v>
      </c>
      <c r="C1609" s="1102">
        <v>0.97538166817812322</v>
      </c>
      <c r="D1609" s="1102">
        <v>1.0014331372524783</v>
      </c>
      <c r="E1609" s="1102">
        <v>0.97146603724754121</v>
      </c>
      <c r="F1609" s="1102">
        <v>0.98679568502506831</v>
      </c>
      <c r="G1609" s="1102">
        <v>0.975866368274933</v>
      </c>
      <c r="H1609" s="1102">
        <v>1.0180307010996483</v>
      </c>
      <c r="I1609" s="1102">
        <v>0.99569892511445035</v>
      </c>
      <c r="K1609">
        <v>1.5568084385281487</v>
      </c>
      <c r="L1609">
        <v>0</v>
      </c>
      <c r="M1609">
        <v>1.7212807589039964E-3</v>
      </c>
      <c r="N1609">
        <v>0.14529561131429411</v>
      </c>
      <c r="O1609">
        <v>0.12173929035882101</v>
      </c>
      <c r="P1609">
        <v>1.5281326318691496E-2</v>
      </c>
      <c r="Q1609">
        <v>8.9390430669554716E-4</v>
      </c>
      <c r="R1609">
        <v>1.7174251991983849E-3</v>
      </c>
      <c r="S1609">
        <v>0.12307458146476759</v>
      </c>
      <c r="T1609">
        <v>0.81622443862570737</v>
      </c>
      <c r="U1609">
        <v>0</v>
      </c>
      <c r="V1609">
        <v>0.2058685079662626</v>
      </c>
      <c r="W1609">
        <v>9.7100593508693489E-2</v>
      </c>
      <c r="X1609">
        <v>2.665977498076854E-2</v>
      </c>
      <c r="Y1609">
        <v>4.6742652431532436E-3</v>
      </c>
    </row>
    <row r="1610" spans="1:25" x14ac:dyDescent="0.25">
      <c r="A1610" s="1098"/>
      <c r="B1610" s="1457">
        <v>1360</v>
      </c>
      <c r="C1610" s="1102">
        <v>0.97705475773172601</v>
      </c>
      <c r="D1610" s="1102">
        <v>0.98249323444899161</v>
      </c>
      <c r="E1610" s="1102">
        <v>0.9976053919681056</v>
      </c>
      <c r="F1610" s="1102">
        <v>0.97687712104060365</v>
      </c>
      <c r="G1610" s="1102">
        <v>0.99239904766681419</v>
      </c>
      <c r="H1610" s="1102">
        <v>0.9869043833581459</v>
      </c>
      <c r="I1610" s="1102">
        <v>1.0228342067414484</v>
      </c>
      <c r="K1610">
        <v>1.5494629280805488</v>
      </c>
      <c r="L1610">
        <v>0</v>
      </c>
      <c r="M1610">
        <v>1.5940647176476248E-3</v>
      </c>
      <c r="N1610">
        <v>0.14561791660690637</v>
      </c>
      <c r="O1610">
        <v>0.12170366828046887</v>
      </c>
      <c r="P1610">
        <v>1.5488409337891593E-2</v>
      </c>
      <c r="Q1610">
        <v>9.2412641593579627E-4</v>
      </c>
      <c r="R1610">
        <v>1.5903904618510916E-3</v>
      </c>
      <c r="S1610">
        <v>0.1250490268977596</v>
      </c>
      <c r="T1610">
        <v>0.80632192528736513</v>
      </c>
      <c r="U1610">
        <v>0</v>
      </c>
      <c r="V1610">
        <v>0.20656492108705474</v>
      </c>
      <c r="W1610">
        <v>9.5797445262879199E-2</v>
      </c>
      <c r="X1610">
        <v>2.7670644594998666E-2</v>
      </c>
      <c r="Y1610">
        <v>4.3285185650838252E-3</v>
      </c>
    </row>
    <row r="1611" spans="1:25" x14ac:dyDescent="0.25">
      <c r="A1611" s="1098"/>
      <c r="B1611" s="1457">
        <v>1361</v>
      </c>
      <c r="C1611" s="1102">
        <v>1.0232101696002021</v>
      </c>
      <c r="D1611" s="1102">
        <v>1.0107585610660175</v>
      </c>
      <c r="E1611" s="1102">
        <v>0.98777422970287443</v>
      </c>
      <c r="F1611" s="1102">
        <v>1.0029247756225148</v>
      </c>
      <c r="G1611" s="1102">
        <v>0.9978870487916488</v>
      </c>
      <c r="H1611" s="1102">
        <v>0.985642641577678</v>
      </c>
      <c r="I1611" s="1102">
        <v>1.0050625602644654</v>
      </c>
      <c r="K1611">
        <v>1.5412413154967266</v>
      </c>
      <c r="L1611">
        <v>0</v>
      </c>
      <c r="M1611">
        <v>1.5351598575972514E-3</v>
      </c>
      <c r="N1611">
        <v>0.13613054316459042</v>
      </c>
      <c r="O1611">
        <v>0.11997469970326184</v>
      </c>
      <c r="P1611">
        <v>1.5504133144219581E-2</v>
      </c>
      <c r="Q1611">
        <v>8.6360318599626982E-4</v>
      </c>
      <c r="R1611">
        <v>1.5316195361399765E-3</v>
      </c>
      <c r="S1611">
        <v>0.11566516587649851</v>
      </c>
      <c r="T1611">
        <v>0.82847508117702284</v>
      </c>
      <c r="U1611">
        <v>0</v>
      </c>
      <c r="V1611">
        <v>0.20341630607885711</v>
      </c>
      <c r="W1611">
        <v>9.0083868140023171E-2</v>
      </c>
      <c r="X1611">
        <v>2.6962891868582972E-2</v>
      </c>
      <c r="Y1611">
        <v>4.1685634791286206E-3</v>
      </c>
    </row>
    <row r="1612" spans="1:25" x14ac:dyDescent="0.25">
      <c r="A1612" s="1098"/>
      <c r="B1612" s="1457">
        <v>1362</v>
      </c>
      <c r="C1612" s="1102">
        <v>0.9941590874344064</v>
      </c>
      <c r="D1612" s="1102">
        <v>0.98859884058457992</v>
      </c>
      <c r="E1612" s="1102">
        <v>1.0061415191034997</v>
      </c>
      <c r="F1612" s="1102">
        <v>1.0000154173345914</v>
      </c>
      <c r="G1612" s="1102">
        <v>1.0155250290799323</v>
      </c>
      <c r="H1612" s="1102">
        <v>1.0149871577733336</v>
      </c>
      <c r="I1612" s="1102">
        <v>0.98008002530599614</v>
      </c>
      <c r="K1612">
        <v>1.5685734313839266</v>
      </c>
      <c r="L1612">
        <v>0</v>
      </c>
      <c r="M1612">
        <v>1.5824082426135284E-3</v>
      </c>
      <c r="N1612">
        <v>0.14833920248002538</v>
      </c>
      <c r="O1612">
        <v>0.12216241450061957</v>
      </c>
      <c r="P1612">
        <v>1.5777337690753061E-2</v>
      </c>
      <c r="Q1612">
        <v>9.1402483667315083E-4</v>
      </c>
      <c r="R1612">
        <v>1.5788693766714587E-3</v>
      </c>
      <c r="S1612">
        <v>0.11979623280595936</v>
      </c>
      <c r="T1612">
        <v>0.82485745713311109</v>
      </c>
      <c r="U1612">
        <v>0</v>
      </c>
      <c r="V1612">
        <v>0.20716852665624641</v>
      </c>
      <c r="W1612">
        <v>9.7094572129296286E-2</v>
      </c>
      <c r="X1612">
        <v>2.8170040048033401E-2</v>
      </c>
      <c r="Y1612">
        <v>4.2971619691495695E-3</v>
      </c>
    </row>
    <row r="1613" spans="1:25" x14ac:dyDescent="0.25">
      <c r="A1613" s="1098"/>
      <c r="B1613" s="1457">
        <v>1363</v>
      </c>
      <c r="C1613" s="1102">
        <v>1.0117758339092444</v>
      </c>
      <c r="D1613" s="1102">
        <v>0.9580971375675631</v>
      </c>
      <c r="E1613" s="1102">
        <v>1.038921030420032</v>
      </c>
      <c r="F1613" s="1102">
        <v>0.9954371073117444</v>
      </c>
      <c r="G1613" s="1102">
        <v>1.0167203916305001</v>
      </c>
      <c r="H1613" s="1102">
        <v>0.98383336841223457</v>
      </c>
      <c r="I1613" s="1102">
        <v>0.98782111027477149</v>
      </c>
      <c r="K1613">
        <v>1.5602875240185381</v>
      </c>
      <c r="L1613">
        <v>0</v>
      </c>
      <c r="M1613">
        <v>1.4343026134249124E-3</v>
      </c>
      <c r="N1613">
        <v>0.14841999204093551</v>
      </c>
      <c r="O1613">
        <v>0.12222660735128896</v>
      </c>
      <c r="P1613">
        <v>1.605072808387218E-2</v>
      </c>
      <c r="Q1613">
        <v>9.4049917965486718E-4</v>
      </c>
      <c r="R1613">
        <v>1.431013728689702E-3</v>
      </c>
      <c r="S1613">
        <v>0.11854689560143557</v>
      </c>
      <c r="T1613">
        <v>0.81895078389112819</v>
      </c>
      <c r="U1613">
        <v>0</v>
      </c>
      <c r="V1613">
        <v>0.20650803500865422</v>
      </c>
      <c r="W1613">
        <v>9.5305703109042891E-2</v>
      </c>
      <c r="X1613">
        <v>2.9446821001316924E-2</v>
      </c>
      <c r="Y1613">
        <v>3.8947476359444868E-3</v>
      </c>
    </row>
    <row r="1614" spans="1:25" x14ac:dyDescent="0.25">
      <c r="A1614" s="1098"/>
      <c r="B1614" s="1457">
        <v>1364</v>
      </c>
      <c r="C1614" s="1102">
        <v>1.0104374818478825</v>
      </c>
      <c r="D1614" s="1102">
        <v>0.9947613659318103</v>
      </c>
      <c r="E1614" s="1102">
        <v>1.0069949748391527</v>
      </c>
      <c r="F1614" s="1102">
        <v>0.96885606623271758</v>
      </c>
      <c r="G1614" s="1102">
        <v>0.99319947700309485</v>
      </c>
      <c r="H1614" s="1102">
        <v>0.99789233693712043</v>
      </c>
      <c r="I1614" s="1102">
        <v>0.97083352243844068</v>
      </c>
      <c r="K1614">
        <v>1.5200292821459533</v>
      </c>
      <c r="L1614">
        <v>0</v>
      </c>
      <c r="M1614">
        <v>1.5207226442297502E-3</v>
      </c>
      <c r="N1614">
        <v>0.14291827305031993</v>
      </c>
      <c r="O1614">
        <v>0.11885562574360396</v>
      </c>
      <c r="P1614">
        <v>1.5310158092985313E-2</v>
      </c>
      <c r="Q1614">
        <v>8.9785842473031415E-4</v>
      </c>
      <c r="R1614">
        <v>1.5172555838883343E-3</v>
      </c>
      <c r="S1614">
        <v>0.11492370136796159</v>
      </c>
      <c r="T1614">
        <v>0.79910142025752917</v>
      </c>
      <c r="U1614">
        <v>0</v>
      </c>
      <c r="V1614">
        <v>0.20298208823425865</v>
      </c>
      <c r="W1614">
        <v>9.3499139977535339E-2</v>
      </c>
      <c r="X1614">
        <v>2.7415014521193326E-2</v>
      </c>
      <c r="Y1614">
        <v>4.1294695361752381E-3</v>
      </c>
    </row>
    <row r="1615" spans="1:25" x14ac:dyDescent="0.25">
      <c r="A1615" s="1098"/>
      <c r="B1615" s="1457">
        <v>1365</v>
      </c>
      <c r="C1615" s="1102">
        <v>1.0436283247872082</v>
      </c>
      <c r="D1615" s="1102">
        <v>1.0111304989680638</v>
      </c>
      <c r="E1615" s="1102">
        <v>1.0028767974697965</v>
      </c>
      <c r="F1615" s="1102">
        <v>0.98201681896180371</v>
      </c>
      <c r="G1615" s="1102">
        <v>0.98257051193003808</v>
      </c>
      <c r="H1615" s="1102">
        <v>0.97558548324580729</v>
      </c>
      <c r="I1615" s="1102">
        <v>1.0228677054591566</v>
      </c>
      <c r="K1615">
        <v>1.5113152738852589</v>
      </c>
      <c r="L1615">
        <v>0</v>
      </c>
      <c r="M1615">
        <v>1.4433238942413527E-3</v>
      </c>
      <c r="N1615">
        <v>0.13396089674749495</v>
      </c>
      <c r="O1615">
        <v>0.11748133814421689</v>
      </c>
      <c r="P1615">
        <v>1.5371088173588367E-2</v>
      </c>
      <c r="Q1615">
        <v>8.5997667330179228E-4</v>
      </c>
      <c r="R1615">
        <v>1.4399603092698002E-3</v>
      </c>
      <c r="S1615">
        <v>0.11462398241258195</v>
      </c>
      <c r="T1615">
        <v>0.81022258290245808</v>
      </c>
      <c r="U1615">
        <v>0</v>
      </c>
      <c r="V1615">
        <v>0.20005024986741546</v>
      </c>
      <c r="W1615">
        <v>8.7853032771882611E-2</v>
      </c>
      <c r="X1615">
        <v>2.6976392498246196E-2</v>
      </c>
      <c r="Y1615">
        <v>3.9190972790440187E-3</v>
      </c>
    </row>
    <row r="1616" spans="1:25" x14ac:dyDescent="0.25">
      <c r="A1616" s="1098"/>
      <c r="B1616" s="1457">
        <v>1366</v>
      </c>
      <c r="C1616" s="1102">
        <v>0.99510448146957076</v>
      </c>
      <c r="D1616" s="1102">
        <v>0.97389743166869402</v>
      </c>
      <c r="E1616" s="1102">
        <v>0.9594131576694338</v>
      </c>
      <c r="F1616" s="1102">
        <v>0.97341917596052507</v>
      </c>
      <c r="G1616" s="1102">
        <v>1.0297016248980229</v>
      </c>
      <c r="H1616" s="1102">
        <v>1.0347674904341619</v>
      </c>
      <c r="I1616" s="1102">
        <v>1.0400448840470204</v>
      </c>
      <c r="K1616">
        <v>1.5533628616976634</v>
      </c>
      <c r="L1616">
        <v>0</v>
      </c>
      <c r="M1616">
        <v>1.7866961884099135E-3</v>
      </c>
      <c r="N1616">
        <v>0.14541769101995122</v>
      </c>
      <c r="O1616">
        <v>0.12100966641109644</v>
      </c>
      <c r="P1616">
        <v>1.5100703484624419E-2</v>
      </c>
      <c r="Q1616">
        <v>8.7480636468766353E-4</v>
      </c>
      <c r="R1616">
        <v>1.7827784517182178E-3</v>
      </c>
      <c r="S1616">
        <v>0.12953018409856909</v>
      </c>
      <c r="T1616">
        <v>0.8059476951080099</v>
      </c>
      <c r="U1616">
        <v>0</v>
      </c>
      <c r="V1616">
        <v>0.20670187758618314</v>
      </c>
      <c r="W1616">
        <v>9.7900318030084019E-2</v>
      </c>
      <c r="X1616">
        <v>2.6031702078329725E-2</v>
      </c>
      <c r="Y1616">
        <v>4.8521352528183249E-3</v>
      </c>
    </row>
    <row r="1617" spans="1:25" x14ac:dyDescent="0.25">
      <c r="A1617" s="1098"/>
      <c r="B1617" s="1457">
        <v>1367</v>
      </c>
      <c r="C1617" s="1102">
        <v>1.0020771072820283</v>
      </c>
      <c r="D1617" s="1102">
        <v>1.0002767037698539</v>
      </c>
      <c r="E1617" s="1102">
        <v>0.99245331618213828</v>
      </c>
      <c r="F1617" s="1102">
        <v>1.0179214482232872</v>
      </c>
      <c r="G1617" s="1102">
        <v>0.99173441875585089</v>
      </c>
      <c r="H1617" s="1102">
        <v>0.99599456317277668</v>
      </c>
      <c r="I1617" s="1102">
        <v>1.0396936256399973</v>
      </c>
      <c r="K1617">
        <v>1.577090804250789</v>
      </c>
      <c r="L1617">
        <v>0</v>
      </c>
      <c r="M1617">
        <v>1.5774435018035544E-3</v>
      </c>
      <c r="N1617">
        <v>0.14187682480452868</v>
      </c>
      <c r="O1617">
        <v>0.12253124970056284</v>
      </c>
      <c r="P1617">
        <v>1.5867222582330576E-2</v>
      </c>
      <c r="Q1617">
        <v>8.898296798627675E-4</v>
      </c>
      <c r="R1617">
        <v>1.5738484212806472E-3</v>
      </c>
      <c r="S1617">
        <v>0.12376904214646593</v>
      </c>
      <c r="T1617">
        <v>0.8405472767063954</v>
      </c>
      <c r="U1617">
        <v>0</v>
      </c>
      <c r="V1617">
        <v>0.20597690340243927</v>
      </c>
      <c r="W1617">
        <v>9.3623670934639039E-2</v>
      </c>
      <c r="X1617">
        <v>2.772888279035475E-2</v>
      </c>
      <c r="Y1617">
        <v>4.2834965837332825E-3</v>
      </c>
    </row>
    <row r="1618" spans="1:25" x14ac:dyDescent="0.25">
      <c r="A1618" s="1098"/>
      <c r="B1618" s="1457">
        <v>1368</v>
      </c>
      <c r="C1618" s="1102">
        <v>1.0052384588716519</v>
      </c>
      <c r="D1618" s="1102">
        <v>0.99096862634350946</v>
      </c>
      <c r="E1618" s="1102">
        <v>1.0052657207112601</v>
      </c>
      <c r="F1618" s="1102">
        <v>0.96332471245379858</v>
      </c>
      <c r="G1618" s="1102">
        <v>1.0018461283231372</v>
      </c>
      <c r="H1618" s="1102">
        <v>1.0076953844246861</v>
      </c>
      <c r="I1618" s="1102">
        <v>1.0122489328587509</v>
      </c>
      <c r="K1618">
        <v>1.5264203848871083</v>
      </c>
      <c r="L1618">
        <v>0</v>
      </c>
      <c r="M1618">
        <v>1.5511983840610095E-3</v>
      </c>
      <c r="N1618">
        <v>0.14502624733399205</v>
      </c>
      <c r="O1618">
        <v>0.11889009444491454</v>
      </c>
      <c r="P1618">
        <v>1.5327541556531555E-2</v>
      </c>
      <c r="Q1618">
        <v>9.0226831589632983E-4</v>
      </c>
      <c r="R1618">
        <v>1.5476955090088066E-3</v>
      </c>
      <c r="S1618">
        <v>0.12143463788011785</v>
      </c>
      <c r="T1618">
        <v>0.79464886140867574</v>
      </c>
      <c r="U1618">
        <v>0</v>
      </c>
      <c r="V1618">
        <v>0.20362143916758599</v>
      </c>
      <c r="W1618">
        <v>9.4975298821824566E-2</v>
      </c>
      <c r="X1618">
        <v>2.7385181854783947E-2</v>
      </c>
      <c r="Y1618">
        <v>4.2123169778345458E-3</v>
      </c>
    </row>
    <row r="1619" spans="1:25" x14ac:dyDescent="0.25">
      <c r="A1619" s="1098"/>
      <c r="B1619" s="1457">
        <v>1369</v>
      </c>
      <c r="C1619" s="1102">
        <v>1.0242446074777563</v>
      </c>
      <c r="D1619" s="1102">
        <v>1.014721152399062</v>
      </c>
      <c r="E1619" s="1102">
        <v>1.0028363972299139</v>
      </c>
      <c r="F1619" s="1102">
        <v>0.98165869996807942</v>
      </c>
      <c r="G1619" s="1102">
        <v>1.008937431832396</v>
      </c>
      <c r="H1619" s="1102">
        <v>1.0002835255232168</v>
      </c>
      <c r="I1619" s="1102">
        <v>0.97106690708959731</v>
      </c>
      <c r="K1619">
        <v>1.5216326997302827</v>
      </c>
      <c r="L1619">
        <v>0</v>
      </c>
      <c r="M1619">
        <v>1.5029091389820116E-3</v>
      </c>
      <c r="N1619">
        <v>0.13948165040327393</v>
      </c>
      <c r="O1619">
        <v>0.1182366200965362</v>
      </c>
      <c r="P1619">
        <v>1.5371524091322277E-2</v>
      </c>
      <c r="Q1619">
        <v>8.7497345537596472E-4</v>
      </c>
      <c r="R1619">
        <v>1.4994864677492384E-3</v>
      </c>
      <c r="S1619">
        <v>0.1123858453593387</v>
      </c>
      <c r="T1619">
        <v>0.80992972773316207</v>
      </c>
      <c r="U1619">
        <v>0</v>
      </c>
      <c r="V1619">
        <v>0.20264698811242152</v>
      </c>
      <c r="W1619">
        <v>9.1475795391543019E-2</v>
      </c>
      <c r="X1619">
        <v>2.7151889898908682E-2</v>
      </c>
      <c r="Y1619">
        <v>4.0811078596321819E-3</v>
      </c>
    </row>
    <row r="1620" spans="1:25" x14ac:dyDescent="0.25">
      <c r="A1620" s="1098"/>
      <c r="B1620" s="1457">
        <v>1370</v>
      </c>
      <c r="C1620" s="1102">
        <v>1.0455940558328789</v>
      </c>
      <c r="D1620" s="1102">
        <v>1.0097241252898292</v>
      </c>
      <c r="E1620" s="1102">
        <v>0.97583933788659538</v>
      </c>
      <c r="F1620" s="1102">
        <v>0.99070591193232971</v>
      </c>
      <c r="G1620" s="1102">
        <v>1.0427781328954595</v>
      </c>
      <c r="H1620" s="1102">
        <v>1.0196733399856073</v>
      </c>
      <c r="I1620" s="1102">
        <v>0.98817419637627968</v>
      </c>
      <c r="K1620">
        <v>1.5281173950677112</v>
      </c>
      <c r="L1620">
        <v>0</v>
      </c>
      <c r="M1620">
        <v>1.5949247902885422E-3</v>
      </c>
      <c r="N1620">
        <v>0.13642556419086832</v>
      </c>
      <c r="O1620">
        <v>0.11811809340917824</v>
      </c>
      <c r="P1620">
        <v>1.5211469318816975E-2</v>
      </c>
      <c r="Q1620">
        <v>8.3496321757697909E-4</v>
      </c>
      <c r="R1620">
        <v>1.5913722152659441E-3</v>
      </c>
      <c r="S1620">
        <v>0.11392054242956942</v>
      </c>
      <c r="T1620">
        <v>0.81916906931656563</v>
      </c>
      <c r="U1620">
        <v>0</v>
      </c>
      <c r="V1620">
        <v>0.20304995874454063</v>
      </c>
      <c r="W1620">
        <v>9.0931114847741232E-2</v>
      </c>
      <c r="X1620">
        <v>2.6128981593632191E-2</v>
      </c>
      <c r="Y1620">
        <v>4.3311905742441257E-3</v>
      </c>
    </row>
    <row r="1621" spans="1:25" x14ac:dyDescent="0.25">
      <c r="A1621" s="1098"/>
      <c r="B1621" s="1457">
        <v>1371</v>
      </c>
      <c r="C1621" s="1102">
        <v>1.0154212407588257</v>
      </c>
      <c r="D1621" s="1102">
        <v>0.98033555241509684</v>
      </c>
      <c r="E1621" s="1102">
        <v>1.0010924574388951</v>
      </c>
      <c r="F1621" s="1102">
        <v>1.0042599423252543</v>
      </c>
      <c r="G1621" s="1102">
        <v>0.99542379010840909</v>
      </c>
      <c r="H1621" s="1102">
        <v>1.0059475702633955</v>
      </c>
      <c r="I1621" s="1102">
        <v>0.96208824556013495</v>
      </c>
      <c r="K1621">
        <v>1.5581034085863772</v>
      </c>
      <c r="L1621">
        <v>0</v>
      </c>
      <c r="M1621">
        <v>1.5620157533363281E-3</v>
      </c>
      <c r="N1621">
        <v>0.14420960969063853</v>
      </c>
      <c r="O1621">
        <v>0.12176146736262862</v>
      </c>
      <c r="P1621">
        <v>1.5676846363116146E-2</v>
      </c>
      <c r="Q1621">
        <v>8.9321635564855895E-4</v>
      </c>
      <c r="R1621">
        <v>1.5585027146294153E-3</v>
      </c>
      <c r="S1621">
        <v>0.11516242504022593</v>
      </c>
      <c r="T1621">
        <v>0.8286926679179949</v>
      </c>
      <c r="U1621">
        <v>0</v>
      </c>
      <c r="V1621">
        <v>0.20494596118532671</v>
      </c>
      <c r="W1621">
        <v>9.4674445060778614E-2</v>
      </c>
      <c r="X1621">
        <v>2.7848552019787608E-2</v>
      </c>
      <c r="Y1621">
        <v>4.2417306289394682E-3</v>
      </c>
    </row>
    <row r="1622" spans="1:25" x14ac:dyDescent="0.25">
      <c r="A1622" s="1098"/>
      <c r="B1622" s="1457">
        <v>1372</v>
      </c>
      <c r="C1622" s="1102">
        <v>0.96500411751456028</v>
      </c>
      <c r="D1622" s="1102">
        <v>0.99342835941747476</v>
      </c>
      <c r="E1622" s="1102">
        <v>0.98471180942139935</v>
      </c>
      <c r="F1622" s="1102">
        <v>0.96764580984483384</v>
      </c>
      <c r="G1622" s="1102">
        <v>1.0236994610648567</v>
      </c>
      <c r="H1622" s="1102">
        <v>1.0101155134424995</v>
      </c>
      <c r="I1622" s="1102">
        <v>0.98425878269495748</v>
      </c>
      <c r="K1622">
        <v>1.5454264415866896</v>
      </c>
      <c r="L1622">
        <v>0</v>
      </c>
      <c r="M1622">
        <v>1.6832431367498045E-3</v>
      </c>
      <c r="N1622">
        <v>0.14789268835049524</v>
      </c>
      <c r="O1622">
        <v>0.12122955624009812</v>
      </c>
      <c r="P1622">
        <v>1.5238369513107138E-2</v>
      </c>
      <c r="Q1622">
        <v>9.1910507048643291E-4</v>
      </c>
      <c r="R1622">
        <v>1.6794391797599149E-3</v>
      </c>
      <c r="S1622">
        <v>0.12274874092832558</v>
      </c>
      <c r="T1622">
        <v>0.79952951045262632</v>
      </c>
      <c r="U1622">
        <v>0</v>
      </c>
      <c r="V1622">
        <v>0.20820221450372375</v>
      </c>
      <c r="W1622">
        <v>9.8047668562728091E-2</v>
      </c>
      <c r="X1622">
        <v>2.7051512101758459E-2</v>
      </c>
      <c r="Y1622">
        <v>4.5708798203296713E-3</v>
      </c>
    </row>
    <row r="1623" spans="1:25" x14ac:dyDescent="0.25">
      <c r="A1623" s="1098"/>
      <c r="B1623" s="1457">
        <v>1373</v>
      </c>
      <c r="C1623" s="1102">
        <v>0.95329483293062089</v>
      </c>
      <c r="D1623" s="1102">
        <v>1.001617951828548</v>
      </c>
      <c r="E1623" s="1102">
        <v>1.027968214095109</v>
      </c>
      <c r="F1623" s="1102">
        <v>0.99939698505010799</v>
      </c>
      <c r="G1623" s="1102">
        <v>1.0118813346796025</v>
      </c>
      <c r="H1623" s="1102">
        <v>0.99116137135475346</v>
      </c>
      <c r="I1623" s="1102">
        <v>1.0201220666725921</v>
      </c>
      <c r="K1623">
        <v>1.5854022775516305</v>
      </c>
      <c r="L1623">
        <v>0</v>
      </c>
      <c r="M1623">
        <v>1.5237827800178242E-3</v>
      </c>
      <c r="N1623">
        <v>0.15255787960996828</v>
      </c>
      <c r="O1623">
        <v>0.12365866528409783</v>
      </c>
      <c r="P1623">
        <v>1.614581056989314E-2</v>
      </c>
      <c r="Q1623">
        <v>9.6973558044156525E-4</v>
      </c>
      <c r="R1623">
        <v>1.5202744069987718E-3</v>
      </c>
      <c r="S1623">
        <v>0.12678533946882722</v>
      </c>
      <c r="T1623">
        <v>0.8229193666571113</v>
      </c>
      <c r="U1623">
        <v>0</v>
      </c>
      <c r="V1623">
        <v>0.21024118184695426</v>
      </c>
      <c r="W1623">
        <v>9.8585913776446113E-2</v>
      </c>
      <c r="X1623">
        <v>2.9404207353380785E-2</v>
      </c>
      <c r="Y1623">
        <v>4.1376857775270804E-3</v>
      </c>
    </row>
    <row r="1624" spans="1:25" x14ac:dyDescent="0.25">
      <c r="A1624" s="1098"/>
      <c r="B1624" s="1457">
        <v>1374</v>
      </c>
      <c r="C1624" s="1102">
        <v>1.0372262051149139</v>
      </c>
      <c r="D1624" s="1102">
        <v>1.0086877628579298</v>
      </c>
      <c r="E1624" s="1102">
        <v>0.97114575618949317</v>
      </c>
      <c r="F1624" s="1102">
        <v>0.98672665137254578</v>
      </c>
      <c r="G1624" s="1102">
        <v>0.96742202681016642</v>
      </c>
      <c r="H1624" s="1102">
        <v>0.99410046303362509</v>
      </c>
      <c r="I1624" s="1102">
        <v>0.98037027022520273</v>
      </c>
      <c r="K1624">
        <v>1.5153696070777944</v>
      </c>
      <c r="L1624">
        <v>0</v>
      </c>
      <c r="M1624">
        <v>1.5822952104338885E-3</v>
      </c>
      <c r="N1624">
        <v>0.13342800264824789</v>
      </c>
      <c r="O1624">
        <v>0.11830054561168769</v>
      </c>
      <c r="P1624">
        <v>1.5052745638922498E-2</v>
      </c>
      <c r="Q1624">
        <v>8.3789919749785175E-4</v>
      </c>
      <c r="R1624">
        <v>1.5786775996181912E-3</v>
      </c>
      <c r="S1624">
        <v>0.11201917321897284</v>
      </c>
      <c r="T1624">
        <v>0.81618849264976778</v>
      </c>
      <c r="U1624">
        <v>0</v>
      </c>
      <c r="V1624">
        <v>0.20012195670105376</v>
      </c>
      <c r="W1624">
        <v>8.9186874315243206E-2</v>
      </c>
      <c r="X1624">
        <v>2.5940894691984993E-2</v>
      </c>
      <c r="Y1624">
        <v>4.296640015229866E-3</v>
      </c>
    </row>
    <row r="1625" spans="1:25" x14ac:dyDescent="0.25">
      <c r="A1625" s="1098"/>
      <c r="B1625" s="1457">
        <v>1375</v>
      </c>
      <c r="C1625" s="1102">
        <v>1.0083526095736655</v>
      </c>
      <c r="D1625" s="1102">
        <v>1.0195503457042949</v>
      </c>
      <c r="E1625" s="1102">
        <v>0.96354194473893617</v>
      </c>
      <c r="F1625" s="1102">
        <v>0.98335696504101766</v>
      </c>
      <c r="G1625" s="1102">
        <v>0.99406449161263144</v>
      </c>
      <c r="H1625" s="1102">
        <v>1.0086216822477394</v>
      </c>
      <c r="I1625" s="1102">
        <v>0.98228021955398792</v>
      </c>
      <c r="K1625">
        <v>1.5270819508360092</v>
      </c>
      <c r="L1625">
        <v>0</v>
      </c>
      <c r="M1625">
        <v>1.6635445532484003E-3</v>
      </c>
      <c r="N1625">
        <v>0.13708922190391828</v>
      </c>
      <c r="O1625">
        <v>0.11904532355325473</v>
      </c>
      <c r="P1625">
        <v>1.5022912100384816E-2</v>
      </c>
      <c r="Q1625">
        <v>8.5134945909361582E-4</v>
      </c>
      <c r="R1625">
        <v>1.6597806656327276E-3</v>
      </c>
      <c r="S1625">
        <v>0.11563612032946952</v>
      </c>
      <c r="T1625">
        <v>0.81390267669815197</v>
      </c>
      <c r="U1625">
        <v>0</v>
      </c>
      <c r="V1625">
        <v>0.20315296324753931</v>
      </c>
      <c r="W1625">
        <v>9.2060092090386292E-2</v>
      </c>
      <c r="X1625">
        <v>2.580767951612362E-2</v>
      </c>
      <c r="Y1625">
        <v>4.517375825302909E-3</v>
      </c>
    </row>
    <row r="1626" spans="1:25" x14ac:dyDescent="0.25">
      <c r="A1626" s="1098"/>
      <c r="B1626" s="1457">
        <v>1376</v>
      </c>
      <c r="C1626" s="1102">
        <v>1.0466218428609559</v>
      </c>
      <c r="D1626" s="1102">
        <v>1.03437739731791</v>
      </c>
      <c r="E1626" s="1102">
        <v>1.0362195987999121</v>
      </c>
      <c r="F1626" s="1102">
        <v>1.0102516998367095</v>
      </c>
      <c r="G1626" s="1102">
        <v>0.95872127721212563</v>
      </c>
      <c r="H1626" s="1102">
        <v>0.99905234361065487</v>
      </c>
      <c r="I1626" s="1102">
        <v>1.0083210336151314</v>
      </c>
      <c r="K1626">
        <v>1.5407323189921083</v>
      </c>
      <c r="L1626">
        <v>0</v>
      </c>
      <c r="M1626">
        <v>1.3603429921356742E-3</v>
      </c>
      <c r="N1626">
        <v>0.13962755986107619</v>
      </c>
      <c r="O1626">
        <v>0.11819318294088366</v>
      </c>
      <c r="P1626">
        <v>1.6019570867949095E-2</v>
      </c>
      <c r="Q1626">
        <v>8.7933168353294684E-4</v>
      </c>
      <c r="R1626">
        <v>1.3572421273293912E-3</v>
      </c>
      <c r="S1626">
        <v>0.11313411946815465</v>
      </c>
      <c r="T1626">
        <v>0.83131566565769199</v>
      </c>
      <c r="U1626">
        <v>0</v>
      </c>
      <c r="V1626">
        <v>0.19957770208030023</v>
      </c>
      <c r="W1626">
        <v>8.9799646659420487E-2</v>
      </c>
      <c r="X1626">
        <v>2.8494674982059476E-2</v>
      </c>
      <c r="Y1626">
        <v>3.6939656558435735E-3</v>
      </c>
    </row>
    <row r="1627" spans="1:25" x14ac:dyDescent="0.25">
      <c r="A1627" s="1098"/>
      <c r="B1627" s="1457">
        <v>1377</v>
      </c>
      <c r="C1627" s="1102">
        <v>1.0224498595948832</v>
      </c>
      <c r="D1627" s="1102">
        <v>1.0003481606134377</v>
      </c>
      <c r="E1627" s="1102">
        <v>1.0105395022709782</v>
      </c>
      <c r="F1627" s="1102">
        <v>1.0400666421412348</v>
      </c>
      <c r="G1627" s="1102">
        <v>1.0219769420042704</v>
      </c>
      <c r="H1627" s="1102">
        <v>0.99463462798740954</v>
      </c>
      <c r="I1627" s="1102">
        <v>0.99854372521484613</v>
      </c>
      <c r="K1627">
        <v>1.5879139791239141</v>
      </c>
      <c r="L1627">
        <v>0</v>
      </c>
      <c r="M1627">
        <v>1.4914630298641538E-3</v>
      </c>
      <c r="N1627">
        <v>0.141677206988227</v>
      </c>
      <c r="O1627">
        <v>0.12295769852640795</v>
      </c>
      <c r="P1627">
        <v>1.6230513312789935E-2</v>
      </c>
      <c r="Q1627">
        <v>8.8856863556882257E-4</v>
      </c>
      <c r="R1627">
        <v>1.4880694468386499E-3</v>
      </c>
      <c r="S1627">
        <v>0.11665794323310777</v>
      </c>
      <c r="T1627">
        <v>0.85759277034025549</v>
      </c>
      <c r="U1627">
        <v>0</v>
      </c>
      <c r="V1627">
        <v>0.20681334427015327</v>
      </c>
      <c r="W1627">
        <v>9.2493503794098736E-2</v>
      </c>
      <c r="X1627">
        <v>2.8555789113997882E-2</v>
      </c>
      <c r="Y1627">
        <v>4.0500344923334909E-3</v>
      </c>
    </row>
    <row r="1628" spans="1:25" x14ac:dyDescent="0.25">
      <c r="A1628" s="1098"/>
      <c r="B1628" s="1457">
        <v>1378</v>
      </c>
      <c r="C1628" s="1102">
        <v>1.0189211992526379</v>
      </c>
      <c r="D1628" s="1102">
        <v>0.98086735317806717</v>
      </c>
      <c r="E1628" s="1102">
        <v>0.98002619758825493</v>
      </c>
      <c r="F1628" s="1102">
        <v>1.0055007195319632</v>
      </c>
      <c r="G1628" s="1102">
        <v>0.98832424602314006</v>
      </c>
      <c r="H1628" s="1102">
        <v>0.97771458790315302</v>
      </c>
      <c r="I1628" s="1102">
        <v>1.0263170495218457</v>
      </c>
      <c r="K1628">
        <v>1.5528777063728336</v>
      </c>
      <c r="L1628">
        <v>0</v>
      </c>
      <c r="M1628">
        <v>1.5804989224468475E-3</v>
      </c>
      <c r="N1628">
        <v>0.13690358412920969</v>
      </c>
      <c r="O1628">
        <v>0.12170594255036837</v>
      </c>
      <c r="P1628">
        <v>1.5520977665424204E-2</v>
      </c>
      <c r="Q1628">
        <v>8.7063164600262712E-4</v>
      </c>
      <c r="R1628">
        <v>1.5768426034919894E-3</v>
      </c>
      <c r="S1628">
        <v>0.12009304772757901</v>
      </c>
      <c r="T1628">
        <v>0.83112130411877161</v>
      </c>
      <c r="U1628">
        <v>0</v>
      </c>
      <c r="V1628">
        <v>0.20434766495789766</v>
      </c>
      <c r="W1628">
        <v>9.1018950515858552E-2</v>
      </c>
      <c r="X1628">
        <v>2.7007613619995159E-2</v>
      </c>
      <c r="Y1628">
        <v>4.2916457606806532E-3</v>
      </c>
    </row>
    <row r="1629" spans="1:25" x14ac:dyDescent="0.25">
      <c r="A1629" s="1098"/>
      <c r="B1629" s="1457">
        <v>1379</v>
      </c>
      <c r="C1629" s="1102">
        <v>0.99615550637029338</v>
      </c>
      <c r="D1629" s="1102">
        <v>1.0052049907758616</v>
      </c>
      <c r="E1629" s="1102">
        <v>0.99054285766776373</v>
      </c>
      <c r="F1629" s="1102">
        <v>1.0110086380925871</v>
      </c>
      <c r="G1629" s="1102">
        <v>0.99980341832778075</v>
      </c>
      <c r="H1629" s="1102">
        <v>0.98867176587493699</v>
      </c>
      <c r="I1629" s="1102">
        <v>0.99650753809847004</v>
      </c>
      <c r="K1629">
        <v>1.5641227930653274</v>
      </c>
      <c r="L1629">
        <v>0</v>
      </c>
      <c r="M1629">
        <v>1.5755070227913962E-3</v>
      </c>
      <c r="N1629">
        <v>0.14088365203656505</v>
      </c>
      <c r="O1629">
        <v>0.12214105845457369</v>
      </c>
      <c r="P1629">
        <v>1.5699961432680404E-2</v>
      </c>
      <c r="Q1629">
        <v>8.9158539749358988E-4</v>
      </c>
      <c r="R1629">
        <v>1.5718833614543784E-3</v>
      </c>
      <c r="S1629">
        <v>0.11832594849412474</v>
      </c>
      <c r="T1629">
        <v>0.83496706870903559</v>
      </c>
      <c r="U1629">
        <v>0</v>
      </c>
      <c r="V1629">
        <v>0.2063320903775486</v>
      </c>
      <c r="W1629">
        <v>9.3074617343075192E-2</v>
      </c>
      <c r="X1629">
        <v>2.7532286142897756E-2</v>
      </c>
      <c r="Y1629">
        <v>4.2781483386679763E-3</v>
      </c>
    </row>
    <row r="1630" spans="1:25" x14ac:dyDescent="0.25">
      <c r="A1630" s="1098"/>
      <c r="B1630" s="1457">
        <v>1380</v>
      </c>
      <c r="C1630" s="1102">
        <v>0.99371521577732158</v>
      </c>
      <c r="D1630" s="1102">
        <v>1.0006232672873745</v>
      </c>
      <c r="E1630" s="1102">
        <v>1.0095537543377699</v>
      </c>
      <c r="F1630" s="1102">
        <v>1.0170955169184475</v>
      </c>
      <c r="G1630" s="1102">
        <v>1.0059873547563567</v>
      </c>
      <c r="H1630" s="1102">
        <v>1.0237698306394754</v>
      </c>
      <c r="I1630" s="1102">
        <v>1.0000569813132252</v>
      </c>
      <c r="K1630">
        <v>1.5877254560616312</v>
      </c>
      <c r="L1630">
        <v>0</v>
      </c>
      <c r="M1630">
        <v>1.5767198294835414E-3</v>
      </c>
      <c r="N1630">
        <v>0.14933932123961802</v>
      </c>
      <c r="O1630">
        <v>0.12284096153873703</v>
      </c>
      <c r="P1630">
        <v>1.6042842544700966E-2</v>
      </c>
      <c r="Q1630">
        <v>9.1323342101001055E-4</v>
      </c>
      <c r="R1630">
        <v>1.5732213431041478E-3</v>
      </c>
      <c r="S1630">
        <v>0.12222460514897897</v>
      </c>
      <c r="T1630">
        <v>0.83871766079335386</v>
      </c>
      <c r="U1630">
        <v>0</v>
      </c>
      <c r="V1630">
        <v>0.20730603906200804</v>
      </c>
      <c r="W1630">
        <v>9.7552376071480804E-2</v>
      </c>
      <c r="X1630">
        <v>2.8510124844468604E-2</v>
      </c>
      <c r="Y1630">
        <v>4.2817898836531153E-3</v>
      </c>
    </row>
    <row r="1631" spans="1:25" x14ac:dyDescent="0.25">
      <c r="A1631" s="1098"/>
      <c r="B1631" s="1457">
        <v>1381</v>
      </c>
      <c r="C1631" s="1102">
        <v>1.0359985141392949</v>
      </c>
      <c r="D1631" s="1102">
        <v>1.003754552460423</v>
      </c>
      <c r="E1631" s="1102">
        <v>1.0248566406835415</v>
      </c>
      <c r="F1631" s="1102">
        <v>1.0409249264232641</v>
      </c>
      <c r="G1631" s="1102">
        <v>0.98288472288276263</v>
      </c>
      <c r="H1631" s="1102">
        <v>1.0211612062965902</v>
      </c>
      <c r="I1631" s="1102">
        <v>0.98590005406601477</v>
      </c>
      <c r="K1631">
        <v>1.5885912361105656</v>
      </c>
      <c r="L1631">
        <v>0</v>
      </c>
      <c r="M1631">
        <v>1.4654269047722328E-3</v>
      </c>
      <c r="N1631">
        <v>0.14535796396756134</v>
      </c>
      <c r="O1631">
        <v>0.12213892240204806</v>
      </c>
      <c r="P1631">
        <v>1.6342909443485359E-2</v>
      </c>
      <c r="Q1631">
        <v>8.8872970681442979E-4</v>
      </c>
      <c r="R1631">
        <v>1.4621803847465105E-3</v>
      </c>
      <c r="S1631">
        <v>0.11554958679602352</v>
      </c>
      <c r="T1631">
        <v>0.85732518330659058</v>
      </c>
      <c r="U1631">
        <v>0</v>
      </c>
      <c r="V1631">
        <v>0.20392294652947496</v>
      </c>
      <c r="W1631">
        <v>9.4103480248133489E-2</v>
      </c>
      <c r="X1631">
        <v>2.8985187230814481E-2</v>
      </c>
      <c r="Y1631">
        <v>3.9795729996457132E-3</v>
      </c>
    </row>
    <row r="1632" spans="1:25" x14ac:dyDescent="0.25">
      <c r="A1632" s="1098"/>
      <c r="B1632" s="1457">
        <v>1382</v>
      </c>
      <c r="C1632" s="1102">
        <v>0.99161250763110853</v>
      </c>
      <c r="D1632" s="1102">
        <v>0.98738552638800114</v>
      </c>
      <c r="E1632" s="1102">
        <v>1.0000832601998801</v>
      </c>
      <c r="F1632" s="1102">
        <v>0.96070020985584903</v>
      </c>
      <c r="G1632" s="1102">
        <v>1.0151922222826903</v>
      </c>
      <c r="H1632" s="1102">
        <v>0.9753060149367867</v>
      </c>
      <c r="I1632" s="1102">
        <v>0.98288694240294427</v>
      </c>
      <c r="K1632">
        <v>1.5171660911612788</v>
      </c>
      <c r="L1632">
        <v>0</v>
      </c>
      <c r="M1632">
        <v>1.5396333059717801E-3</v>
      </c>
      <c r="N1632">
        <v>0.14169831558163726</v>
      </c>
      <c r="O1632">
        <v>0.11956138490104076</v>
      </c>
      <c r="P1632">
        <v>1.5207990328792604E-2</v>
      </c>
      <c r="Q1632">
        <v>9.1109116532214957E-4</v>
      </c>
      <c r="R1632">
        <v>1.5360386973699805E-3</v>
      </c>
      <c r="S1632">
        <v>0.11712666529091946</v>
      </c>
      <c r="T1632">
        <v>0.79281214316385007</v>
      </c>
      <c r="U1632">
        <v>0</v>
      </c>
      <c r="V1632">
        <v>0.20533103334876229</v>
      </c>
      <c r="W1632">
        <v>9.3081554679719361E-2</v>
      </c>
      <c r="X1632">
        <v>2.7258916330615026E-2</v>
      </c>
      <c r="Y1632">
        <v>4.1805909792205845E-3</v>
      </c>
    </row>
    <row r="1633" spans="1:25" x14ac:dyDescent="0.25">
      <c r="A1633" s="1098"/>
      <c r="B1633" s="1457">
        <v>1383</v>
      </c>
      <c r="C1633" s="1102">
        <v>1.0218328276365243</v>
      </c>
      <c r="D1633" s="1102">
        <v>1.0387039561604445</v>
      </c>
      <c r="E1633" s="1102">
        <v>1.0211094642389229</v>
      </c>
      <c r="F1633" s="1102">
        <v>1.0019086874513814</v>
      </c>
      <c r="G1633" s="1102">
        <v>1.0157530837270066</v>
      </c>
      <c r="H1633" s="1102">
        <v>1.0048049673212938</v>
      </c>
      <c r="I1633" s="1102">
        <v>0.98476149935727531</v>
      </c>
      <c r="K1633">
        <v>1.5422116760486104</v>
      </c>
      <c r="L1633">
        <v>0</v>
      </c>
      <c r="M1633">
        <v>1.4395802342730718E-3</v>
      </c>
      <c r="N1633">
        <v>0.14118127347869419</v>
      </c>
      <c r="O1633">
        <v>0.1186948792206077</v>
      </c>
      <c r="P1633">
        <v>1.5817735226696883E-2</v>
      </c>
      <c r="Q1633">
        <v>8.8539378990843667E-4</v>
      </c>
      <c r="R1633">
        <v>1.4363080390247765E-3</v>
      </c>
      <c r="S1633">
        <v>0.11312742122609158</v>
      </c>
      <c r="T1633">
        <v>0.8254357315868357</v>
      </c>
      <c r="U1633">
        <v>0</v>
      </c>
      <c r="V1633">
        <v>0.20353828897867274</v>
      </c>
      <c r="W1633">
        <v>9.1599651683080624E-2</v>
      </c>
      <c r="X1633">
        <v>2.8025416049862046E-2</v>
      </c>
      <c r="Y1633">
        <v>3.9091570034076274E-3</v>
      </c>
    </row>
    <row r="1634" spans="1:25" x14ac:dyDescent="0.25">
      <c r="A1634" s="1098"/>
      <c r="B1634" s="1457">
        <v>1384</v>
      </c>
      <c r="C1634" s="1102">
        <v>1.0342451989235733</v>
      </c>
      <c r="D1634" s="1102">
        <v>1.0204072287618116</v>
      </c>
      <c r="E1634" s="1102">
        <v>0.96913512736043339</v>
      </c>
      <c r="F1634" s="1102">
        <v>1.0051880964186395</v>
      </c>
      <c r="G1634" s="1102">
        <v>1.0091962194132837</v>
      </c>
      <c r="H1634" s="1102">
        <v>1.0141070223411073</v>
      </c>
      <c r="I1634" s="1102">
        <v>1.0061612842661805</v>
      </c>
      <c r="K1634">
        <v>1.5426600583800016</v>
      </c>
      <c r="L1634">
        <v>0</v>
      </c>
      <c r="M1634">
        <v>1.616738275500871E-3</v>
      </c>
      <c r="N1634">
        <v>0.13551086117997038</v>
      </c>
      <c r="O1634">
        <v>0.11922656590604559</v>
      </c>
      <c r="P1634">
        <v>1.5325637463366817E-2</v>
      </c>
      <c r="Q1634">
        <v>8.3467059113459053E-4</v>
      </c>
      <c r="R1634">
        <v>1.6131119411776722E-3</v>
      </c>
      <c r="S1634">
        <v>0.11611585608955792</v>
      </c>
      <c r="T1634">
        <v>0.83159457026573613</v>
      </c>
      <c r="U1634">
        <v>0</v>
      </c>
      <c r="V1634">
        <v>0.20284752416740967</v>
      </c>
      <c r="W1634">
        <v>9.0690013481791509E-2</v>
      </c>
      <c r="X1634">
        <v>2.6127626627633866E-2</v>
      </c>
      <c r="Y1634">
        <v>4.3903589416771291E-3</v>
      </c>
    </row>
    <row r="1635" spans="1:25" x14ac:dyDescent="0.25">
      <c r="A1635" s="1098"/>
      <c r="B1635" s="1457">
        <v>1385</v>
      </c>
      <c r="C1635" s="1102">
        <v>0.9741218164125286</v>
      </c>
      <c r="D1635" s="1102">
        <v>0.98397046882058958</v>
      </c>
      <c r="E1635" s="1102">
        <v>0.98735696705154319</v>
      </c>
      <c r="F1635" s="1102">
        <v>1.0064944282379196</v>
      </c>
      <c r="G1635" s="1102">
        <v>0.98842462115478502</v>
      </c>
      <c r="H1635" s="1102">
        <v>0.9858618690554406</v>
      </c>
      <c r="I1635" s="1102">
        <v>0.97568578604185852</v>
      </c>
      <c r="K1635">
        <v>1.5723199634180982</v>
      </c>
      <c r="L1635">
        <v>0</v>
      </c>
      <c r="M1635">
        <v>1.6335655821683754E-3</v>
      </c>
      <c r="N1635">
        <v>0.14467447656596874</v>
      </c>
      <c r="O1635">
        <v>0.1239413503350741</v>
      </c>
      <c r="P1635">
        <v>1.5656532536512696E-2</v>
      </c>
      <c r="Q1635">
        <v>9.165218522325031E-4</v>
      </c>
      <c r="R1635">
        <v>1.6298034366934138E-3</v>
      </c>
      <c r="S1635">
        <v>0.11960274151089627</v>
      </c>
      <c r="T1635">
        <v>0.83145171768572246</v>
      </c>
      <c r="U1635">
        <v>0</v>
      </c>
      <c r="V1635">
        <v>0.20814045588693877</v>
      </c>
      <c r="W1635">
        <v>9.576176381498043E-2</v>
      </c>
      <c r="X1635">
        <v>2.7742377685124154E-2</v>
      </c>
      <c r="Y1635">
        <v>4.4357876901209596E-3</v>
      </c>
    </row>
    <row r="1636" spans="1:25" x14ac:dyDescent="0.25">
      <c r="A1636" s="1098"/>
      <c r="B1636" s="1457">
        <v>1386</v>
      </c>
      <c r="C1636" s="1102">
        <v>1.034522693195582</v>
      </c>
      <c r="D1636" s="1102">
        <v>0.98993672483888395</v>
      </c>
      <c r="E1636" s="1102">
        <v>1.0303722154130084</v>
      </c>
      <c r="F1636" s="1102">
        <v>1.0107317169062526</v>
      </c>
      <c r="G1636" s="1102">
        <v>1.0279323330388113</v>
      </c>
      <c r="H1636" s="1102">
        <v>1.0004970864323757</v>
      </c>
      <c r="I1636" s="1102">
        <v>1.0083880140040677</v>
      </c>
      <c r="K1636">
        <v>1.5622683810910494</v>
      </c>
      <c r="L1636">
        <v>0</v>
      </c>
      <c r="M1636">
        <v>1.4294960403669476E-3</v>
      </c>
      <c r="N1636">
        <v>0.14416510996651669</v>
      </c>
      <c r="O1636">
        <v>0.12074399700464684</v>
      </c>
      <c r="P1636">
        <v>1.6099486115432705E-2</v>
      </c>
      <c r="Q1636">
        <v>9.0000362343913465E-4</v>
      </c>
      <c r="R1636">
        <v>1.4262641579288048E-3</v>
      </c>
      <c r="S1636">
        <v>0.11756176186581313</v>
      </c>
      <c r="T1636">
        <v>0.83209445454354958</v>
      </c>
      <c r="U1636">
        <v>0</v>
      </c>
      <c r="V1636">
        <v>0.20495532978895592</v>
      </c>
      <c r="W1636">
        <v>9.3032341699220714E-2</v>
      </c>
      <c r="X1636">
        <v>2.8837307495883022E-2</v>
      </c>
      <c r="Y1636">
        <v>3.8818208700289064E-3</v>
      </c>
    </row>
    <row r="1637" spans="1:25" x14ac:dyDescent="0.25">
      <c r="A1637" s="1098"/>
      <c r="B1637" s="1457">
        <v>1387</v>
      </c>
      <c r="C1637" s="1102">
        <v>1.0158114040481447</v>
      </c>
      <c r="D1637" s="1102">
        <v>1.0060134385281316</v>
      </c>
      <c r="E1637" s="1102">
        <v>1.0368499727763583</v>
      </c>
      <c r="F1637" s="1102">
        <v>0.98255213684894982</v>
      </c>
      <c r="G1637" s="1102">
        <v>0.98893403411560077</v>
      </c>
      <c r="H1637" s="1102">
        <v>0.96143791414841351</v>
      </c>
      <c r="I1637" s="1102">
        <v>0.99548440239711755</v>
      </c>
      <c r="K1637">
        <v>1.5232464444577358</v>
      </c>
      <c r="L1637">
        <v>0</v>
      </c>
      <c r="M1637">
        <v>1.3629409572586037E-3</v>
      </c>
      <c r="N1637">
        <v>0.14014785710802929</v>
      </c>
      <c r="O1637">
        <v>0.11898699533337324</v>
      </c>
      <c r="P1637">
        <v>1.5761127060153049E-2</v>
      </c>
      <c r="Q1637">
        <v>9.1672257749831373E-4</v>
      </c>
      <c r="R1637">
        <v>1.35971455424907E-3</v>
      </c>
      <c r="S1637">
        <v>0.1137815234775922</v>
      </c>
      <c r="T1637">
        <v>0.80848210005261745</v>
      </c>
      <c r="U1637">
        <v>0</v>
      </c>
      <c r="V1637">
        <v>0.20278518834871473</v>
      </c>
      <c r="W1637">
        <v>9.0101461959056592E-2</v>
      </c>
      <c r="X1637">
        <v>2.8586000156827388E-2</v>
      </c>
      <c r="Y1637">
        <v>3.7006947868836251E-3</v>
      </c>
    </row>
    <row r="1638" spans="1:25" x14ac:dyDescent="0.25">
      <c r="A1638" s="1098"/>
      <c r="B1638" s="1457">
        <v>1388</v>
      </c>
      <c r="C1638" s="1102">
        <v>0.96375629737789925</v>
      </c>
      <c r="D1638" s="1102">
        <v>1.0430066462857919</v>
      </c>
      <c r="E1638" s="1102">
        <v>1.0070979038793932</v>
      </c>
      <c r="F1638" s="1102">
        <v>1.0135463959412845</v>
      </c>
      <c r="G1638" s="1102">
        <v>0.97355427764002345</v>
      </c>
      <c r="H1638" s="1102">
        <v>0.95582114814317332</v>
      </c>
      <c r="I1638" s="1102">
        <v>1.0187934877865847</v>
      </c>
      <c r="K1638">
        <v>1.5650596676557225</v>
      </c>
      <c r="L1638">
        <v>0</v>
      </c>
      <c r="M1638">
        <v>1.4865062228525999E-3</v>
      </c>
      <c r="N1638">
        <v>0.13972934977746793</v>
      </c>
      <c r="O1638">
        <v>0.1223396381201014</v>
      </c>
      <c r="P1638">
        <v>1.593443913287353E-2</v>
      </c>
      <c r="Q1638">
        <v>9.2378091998497082E-4</v>
      </c>
      <c r="R1638">
        <v>1.4829402048825355E-3</v>
      </c>
      <c r="S1638">
        <v>0.11948720562953676</v>
      </c>
      <c r="T1638">
        <v>0.83595463082615329</v>
      </c>
      <c r="U1638">
        <v>0</v>
      </c>
      <c r="V1638">
        <v>0.20702737036284172</v>
      </c>
      <c r="W1638">
        <v>9.1407340569785459E-2</v>
      </c>
      <c r="X1638">
        <v>2.8223403948362875E-2</v>
      </c>
      <c r="Y1638">
        <v>4.0360743865831021E-3</v>
      </c>
    </row>
    <row r="1639" spans="1:25" x14ac:dyDescent="0.25">
      <c r="A1639" s="1098"/>
      <c r="B1639" s="1457">
        <v>1389</v>
      </c>
      <c r="C1639" s="1102">
        <v>1.0322644441809306</v>
      </c>
      <c r="D1639" s="1102">
        <v>1.0328793914211987</v>
      </c>
      <c r="E1639" s="1102">
        <v>1.0089483424410772</v>
      </c>
      <c r="F1639" s="1102">
        <v>0.98713916757003473</v>
      </c>
      <c r="G1639" s="1102">
        <v>0.96414267712440804</v>
      </c>
      <c r="H1639" s="1102">
        <v>1.0337265387214463</v>
      </c>
      <c r="I1639" s="1102">
        <v>1.0066513589025594</v>
      </c>
      <c r="K1639">
        <v>1.5317696363368059</v>
      </c>
      <c r="L1639">
        <v>0</v>
      </c>
      <c r="M1639">
        <v>1.5078519584483883E-3</v>
      </c>
      <c r="N1639">
        <v>0.14255720887716911</v>
      </c>
      <c r="O1639">
        <v>0.11745070310185945</v>
      </c>
      <c r="P1639">
        <v>1.552197372894926E-2</v>
      </c>
      <c r="Q1639">
        <v>8.6750082508383112E-4</v>
      </c>
      <c r="R1639">
        <v>1.5045224070589058E-3</v>
      </c>
      <c r="S1639">
        <v>0.11700661125120849</v>
      </c>
      <c r="T1639">
        <v>0.81405431863991107</v>
      </c>
      <c r="U1639">
        <v>0</v>
      </c>
      <c r="V1639">
        <v>0.19976664343475647</v>
      </c>
      <c r="W1639">
        <v>9.3155391612277177E-2</v>
      </c>
      <c r="X1639">
        <v>2.7297800390644025E-2</v>
      </c>
      <c r="Y1639">
        <v>4.0948140263361472E-3</v>
      </c>
    </row>
    <row r="1640" spans="1:25" x14ac:dyDescent="0.25">
      <c r="A1640" s="1098"/>
      <c r="B1640" s="1457">
        <v>1390</v>
      </c>
      <c r="C1640" s="1102">
        <v>1.0213281072104889</v>
      </c>
      <c r="D1640" s="1102">
        <v>0.97984227499225296</v>
      </c>
      <c r="E1640" s="1102">
        <v>1.0076831949519256</v>
      </c>
      <c r="F1640" s="1102">
        <v>0.9915975826914456</v>
      </c>
      <c r="G1640" s="1102">
        <v>1.0394840238671463</v>
      </c>
      <c r="H1640" s="1102">
        <v>1.0046782170411368</v>
      </c>
      <c r="I1640" s="1102">
        <v>0.95359699673671439</v>
      </c>
      <c r="K1640">
        <v>1.5443352454095316</v>
      </c>
      <c r="L1640">
        <v>0</v>
      </c>
      <c r="M1640">
        <v>1.5295427175478591E-3</v>
      </c>
      <c r="N1640">
        <v>0.14405011544512045</v>
      </c>
      <c r="O1640">
        <v>0.12057806186413988</v>
      </c>
      <c r="P1640">
        <v>1.5592413996415646E-2</v>
      </c>
      <c r="Q1640">
        <v>8.943052975911546E-4</v>
      </c>
      <c r="R1640">
        <v>1.5260967596561195E-3</v>
      </c>
      <c r="S1640">
        <v>0.11339539837230708</v>
      </c>
      <c r="T1640">
        <v>0.81781347465854348</v>
      </c>
      <c r="U1640">
        <v>0</v>
      </c>
      <c r="V1640">
        <v>0.20581628056575768</v>
      </c>
      <c r="W1640">
        <v>9.4201289687761827E-2</v>
      </c>
      <c r="X1640">
        <v>2.7843819177662474E-2</v>
      </c>
      <c r="Y1640">
        <v>4.1535323021223425E-3</v>
      </c>
    </row>
    <row r="1641" spans="1:25" x14ac:dyDescent="0.25">
      <c r="A1641" s="1098"/>
      <c r="B1641" s="1457">
        <v>1391</v>
      </c>
      <c r="C1641" s="1102">
        <v>1.0198192570479654</v>
      </c>
      <c r="D1641" s="1102">
        <v>0.98044055932825747</v>
      </c>
      <c r="E1641" s="1102">
        <v>1.0153189651243488</v>
      </c>
      <c r="F1641" s="1102">
        <v>0.9951738315003078</v>
      </c>
      <c r="G1641" s="1102">
        <v>1.0250484832314801</v>
      </c>
      <c r="H1641" s="1102">
        <v>0.97186073463084233</v>
      </c>
      <c r="I1641" s="1102">
        <v>0.96071447063527537</v>
      </c>
      <c r="K1641">
        <v>1.5392117348297416</v>
      </c>
      <c r="L1641">
        <v>0</v>
      </c>
      <c r="M1641">
        <v>1.4581822046157984E-3</v>
      </c>
      <c r="N1641">
        <v>0.14052097693626311</v>
      </c>
      <c r="O1641">
        <v>0.12085466979298996</v>
      </c>
      <c r="P1641">
        <v>1.568918914491781E-2</v>
      </c>
      <c r="Q1641">
        <v>9.0248314100731882E-4</v>
      </c>
      <c r="R1641">
        <v>1.4547863033097831E-3</v>
      </c>
      <c r="S1641">
        <v>0.11191417878143445</v>
      </c>
      <c r="T1641">
        <v>0.82026414971482664</v>
      </c>
      <c r="U1641">
        <v>0</v>
      </c>
      <c r="V1641">
        <v>0.20546842345701591</v>
      </c>
      <c r="W1641">
        <v>9.1481070453221416E-2</v>
      </c>
      <c r="X1641">
        <v>2.816054056193695E-2</v>
      </c>
      <c r="Y1641">
        <v>3.9594487474332307E-3</v>
      </c>
    </row>
    <row r="1642" spans="1:25" x14ac:dyDescent="0.25">
      <c r="A1642" s="1098"/>
      <c r="B1642" s="1457">
        <v>1392</v>
      </c>
      <c r="C1642" s="1102">
        <v>1.0189292185307786</v>
      </c>
      <c r="D1642" s="1102">
        <v>0.99675175060414789</v>
      </c>
      <c r="E1642" s="1102">
        <v>1.0056403148481823</v>
      </c>
      <c r="F1642" s="1102">
        <v>0.99474359555552105</v>
      </c>
      <c r="G1642" s="1102">
        <v>1.0402118913097296</v>
      </c>
      <c r="H1642" s="1102">
        <v>0.99933509275275267</v>
      </c>
      <c r="I1642" s="1102">
        <v>0.99552952648217696</v>
      </c>
      <c r="K1642">
        <v>1.5467380204898618</v>
      </c>
      <c r="L1642">
        <v>0</v>
      </c>
      <c r="M1642">
        <v>1.5167892026686303E-3</v>
      </c>
      <c r="N1642">
        <v>0.14196787585935522</v>
      </c>
      <c r="O1642">
        <v>0.1201769587221225</v>
      </c>
      <c r="P1642">
        <v>1.5654425233625143E-2</v>
      </c>
      <c r="Q1642">
        <v>8.8841959429127807E-4</v>
      </c>
      <c r="R1642">
        <v>1.5133441081337559E-3</v>
      </c>
      <c r="S1642">
        <v>0.11704059428220699</v>
      </c>
      <c r="T1642">
        <v>0.82054184042058531</v>
      </c>
      <c r="U1642">
        <v>0</v>
      </c>
      <c r="V1642">
        <v>0.20569463806573321</v>
      </c>
      <c r="W1642">
        <v>9.2951813695998239E-2</v>
      </c>
      <c r="X1642">
        <v>2.7706075921889842E-2</v>
      </c>
      <c r="Y1642">
        <v>4.1188237885889127E-3</v>
      </c>
    </row>
    <row r="1643" spans="1:25" x14ac:dyDescent="0.25">
      <c r="A1643" s="1098"/>
      <c r="B1643" s="1457">
        <v>1393</v>
      </c>
      <c r="C1643" s="1102">
        <v>0.99707391972395809</v>
      </c>
      <c r="D1643" s="1102">
        <v>0.98780663376370514</v>
      </c>
      <c r="E1643" s="1102">
        <v>0.98291812625898323</v>
      </c>
      <c r="F1643" s="1102">
        <v>1.0314724533997561</v>
      </c>
      <c r="G1643" s="1102">
        <v>1.0118773162020958</v>
      </c>
      <c r="H1643" s="1102">
        <v>1.014018087402365</v>
      </c>
      <c r="I1643" s="1102">
        <v>1.0142660799113823</v>
      </c>
      <c r="K1643">
        <v>1.5991331311078714</v>
      </c>
      <c r="L1643">
        <v>0</v>
      </c>
      <c r="M1643">
        <v>1.6590577272597214E-3</v>
      </c>
      <c r="N1643">
        <v>0.14498298151803998</v>
      </c>
      <c r="O1643">
        <v>0.12432469705151024</v>
      </c>
      <c r="P1643">
        <v>1.5944961924614573E-2</v>
      </c>
      <c r="Q1643">
        <v>8.8989373823196037E-4</v>
      </c>
      <c r="R1643">
        <v>1.6553540340108878E-3</v>
      </c>
      <c r="S1643">
        <v>0.1237608070426162</v>
      </c>
      <c r="T1643">
        <v>0.85239017825679408</v>
      </c>
      <c r="U1643">
        <v>0</v>
      </c>
      <c r="V1643">
        <v>0.20837425951890512</v>
      </c>
      <c r="W1643">
        <v>9.6222479783650477E-2</v>
      </c>
      <c r="X1643">
        <v>2.7741247973491777E-2</v>
      </c>
      <c r="Y1643">
        <v>4.5053279932669816E-3</v>
      </c>
    </row>
    <row r="1644" spans="1:25" x14ac:dyDescent="0.25">
      <c r="A1644" s="1098"/>
      <c r="B1644" s="1457">
        <v>1394</v>
      </c>
      <c r="C1644" s="1102">
        <v>0.99045722655633228</v>
      </c>
      <c r="D1644" s="1102">
        <v>0.97891576636650635</v>
      </c>
      <c r="E1644" s="1102">
        <v>1.0153353220402401</v>
      </c>
      <c r="F1644" s="1102">
        <v>0.99507387420076665</v>
      </c>
      <c r="G1644" s="1102">
        <v>1.0062120801758627</v>
      </c>
      <c r="H1644" s="1102">
        <v>0.99532689640700556</v>
      </c>
      <c r="I1644" s="1102">
        <v>0.97962708994093817</v>
      </c>
      <c r="K1644">
        <v>1.5628253817166298</v>
      </c>
      <c r="L1644">
        <v>0</v>
      </c>
      <c r="M1644">
        <v>1.5355845054903896E-3</v>
      </c>
      <c r="N1644">
        <v>0.14799481600148029</v>
      </c>
      <c r="O1644">
        <v>0.12241463242108995</v>
      </c>
      <c r="P1644">
        <v>1.5813023398956679E-2</v>
      </c>
      <c r="Q1644">
        <v>9.298315215822122E-4</v>
      </c>
      <c r="R1644">
        <v>1.5320858743957941E-3</v>
      </c>
      <c r="S1644">
        <v>0.11930060626854909</v>
      </c>
      <c r="T1644">
        <v>0.82018069429463347</v>
      </c>
      <c r="U1644">
        <v>0</v>
      </c>
      <c r="V1644">
        <v>0.20712317307400074</v>
      </c>
      <c r="W1644">
        <v>9.6345716112793994E-2</v>
      </c>
      <c r="X1644">
        <v>2.8556554556505985E-2</v>
      </c>
      <c r="Y1644">
        <v>4.1698326981325926E-3</v>
      </c>
    </row>
    <row r="1645" spans="1:25" x14ac:dyDescent="0.25">
      <c r="A1645" s="1098"/>
      <c r="B1645" s="1457">
        <v>1395</v>
      </c>
      <c r="C1645" s="1102">
        <v>1.0151779186835168</v>
      </c>
      <c r="D1645" s="1102">
        <v>0.99316484062292909</v>
      </c>
      <c r="E1645" s="1102">
        <v>1.0249717856918985</v>
      </c>
      <c r="F1645" s="1102">
        <v>1.0258101138669717</v>
      </c>
      <c r="G1645" s="1102">
        <v>0.99396270033790812</v>
      </c>
      <c r="H1645" s="1102">
        <v>1.0364559309594266</v>
      </c>
      <c r="I1645" s="1102">
        <v>0.95544020505099747</v>
      </c>
      <c r="K1645">
        <v>1.5884126038571162</v>
      </c>
      <c r="L1645">
        <v>0</v>
      </c>
      <c r="M1645">
        <v>1.5229628304307906E-3</v>
      </c>
      <c r="N1645">
        <v>0.15112223985975182</v>
      </c>
      <c r="O1645">
        <v>0.12262547151172402</v>
      </c>
      <c r="P1645">
        <v>1.6201252314513158E-2</v>
      </c>
      <c r="Q1645">
        <v>9.1092015120933548E-4</v>
      </c>
      <c r="R1645">
        <v>1.5196364385785819E-3</v>
      </c>
      <c r="S1645">
        <v>0.11596454840722534</v>
      </c>
      <c r="T1645">
        <v>0.84486863949903812</v>
      </c>
      <c r="U1645">
        <v>0</v>
      </c>
      <c r="V1645">
        <v>0.20566090600984094</v>
      </c>
      <c r="W1645">
        <v>9.7828657134439168E-2</v>
      </c>
      <c r="X1645">
        <v>2.9097345923430998E-2</v>
      </c>
      <c r="Y1645">
        <v>4.1359494377935556E-3</v>
      </c>
    </row>
    <row r="1646" spans="1:25" x14ac:dyDescent="0.25">
      <c r="A1646" s="1098"/>
      <c r="B1646" s="1457">
        <v>1396</v>
      </c>
      <c r="C1646" s="1102">
        <v>1.0215947775905536</v>
      </c>
      <c r="D1646" s="1102">
        <v>0.97749797975946873</v>
      </c>
      <c r="E1646" s="1102">
        <v>0.97732209689215532</v>
      </c>
      <c r="F1646" s="1102">
        <v>0.99312711342339499</v>
      </c>
      <c r="G1646" s="1102">
        <v>0.95623864378830681</v>
      </c>
      <c r="H1646" s="1102">
        <v>1.0329655892920682</v>
      </c>
      <c r="I1646" s="1102">
        <v>1.0188939708706353</v>
      </c>
      <c r="K1646">
        <v>1.5551413364280626</v>
      </c>
      <c r="L1646">
        <v>0</v>
      </c>
      <c r="M1646">
        <v>1.676777553887237E-3</v>
      </c>
      <c r="N1646">
        <v>0.14407749230755354</v>
      </c>
      <c r="O1646">
        <v>0.12086145257403655</v>
      </c>
      <c r="P1646">
        <v>1.5370769425628482E-2</v>
      </c>
      <c r="Q1646">
        <v>8.6708684084458524E-4</v>
      </c>
      <c r="R1646">
        <v>1.6731053091660973E-3</v>
      </c>
      <c r="S1646">
        <v>0.12352069862203366</v>
      </c>
      <c r="T1646">
        <v>0.82107272623818284</v>
      </c>
      <c r="U1646">
        <v>0</v>
      </c>
      <c r="V1646">
        <v>0.20213828153186464</v>
      </c>
      <c r="W1646">
        <v>9.5945145984322494E-2</v>
      </c>
      <c r="X1646">
        <v>2.6737714035782009E-2</v>
      </c>
      <c r="Y1646">
        <v>4.5536411125331796E-3</v>
      </c>
    </row>
    <row r="1647" spans="1:25" x14ac:dyDescent="0.25">
      <c r="A1647" s="1098"/>
      <c r="B1647" s="1457">
        <v>1397</v>
      </c>
      <c r="C1647" s="1102">
        <v>1.0288657798195229</v>
      </c>
      <c r="D1647" s="1102">
        <v>0.99793625014954179</v>
      </c>
      <c r="E1647" s="1102">
        <v>0.99527074518291281</v>
      </c>
      <c r="F1647" s="1102">
        <v>1.0034944222570856</v>
      </c>
      <c r="G1647" s="1102">
        <v>0.99124047522999281</v>
      </c>
      <c r="H1647" s="1102">
        <v>1.011340604128238</v>
      </c>
      <c r="I1647" s="1102">
        <v>1.0042948390980595</v>
      </c>
      <c r="K1647">
        <v>1.551587229631207</v>
      </c>
      <c r="L1647">
        <v>0</v>
      </c>
      <c r="M1647">
        <v>1.5543036838961287E-3</v>
      </c>
      <c r="N1647">
        <v>0.14099644772758932</v>
      </c>
      <c r="O1647">
        <v>0.12026939280499364</v>
      </c>
      <c r="P1647">
        <v>1.5616801383304004E-2</v>
      </c>
      <c r="Q1647">
        <v>8.7001959543928716E-4</v>
      </c>
      <c r="R1647">
        <v>1.5508193296593796E-3</v>
      </c>
      <c r="S1647">
        <v>0.11786575708413832</v>
      </c>
      <c r="T1647">
        <v>0.828446979018156</v>
      </c>
      <c r="U1647">
        <v>0</v>
      </c>
      <c r="V1647">
        <v>0.20308056254128914</v>
      </c>
      <c r="W1647">
        <v>9.2886287260600303E-2</v>
      </c>
      <c r="X1647">
        <v>2.7337647582056687E-2</v>
      </c>
      <c r="Y1647">
        <v>4.220818987878204E-3</v>
      </c>
    </row>
    <row r="1648" spans="1:25" x14ac:dyDescent="0.25">
      <c r="A1648" s="1098"/>
      <c r="B1648" s="1457">
        <v>1398</v>
      </c>
      <c r="C1648" s="1102">
        <v>0.98895676751243955</v>
      </c>
      <c r="D1648" s="1102">
        <v>1.01885141120283</v>
      </c>
      <c r="E1648" s="1102">
        <v>0.98512951436400997</v>
      </c>
      <c r="F1648" s="1102">
        <v>0.9736580056925489</v>
      </c>
      <c r="G1648" s="1102">
        <v>1.0308806411696663</v>
      </c>
      <c r="H1648" s="1102">
        <v>1.0405447386362903</v>
      </c>
      <c r="I1648" s="1102">
        <v>0.99755139428224282</v>
      </c>
      <c r="K1648">
        <v>1.543758641025577</v>
      </c>
      <c r="L1648">
        <v>0</v>
      </c>
      <c r="M1648">
        <v>1.6705414548675236E-3</v>
      </c>
      <c r="N1648">
        <v>0.14697141154643159</v>
      </c>
      <c r="O1648">
        <v>0.11931099647236469</v>
      </c>
      <c r="P1648">
        <v>1.5272204555833337E-2</v>
      </c>
      <c r="Q1648">
        <v>8.8821255245315331E-4</v>
      </c>
      <c r="R1648">
        <v>1.6668701340743124E-3</v>
      </c>
      <c r="S1648">
        <v>0.12217232761645717</v>
      </c>
      <c r="T1648">
        <v>0.80447011682184089</v>
      </c>
      <c r="U1648">
        <v>0</v>
      </c>
      <c r="V1648">
        <v>0.20599419974561042</v>
      </c>
      <c r="W1648">
        <v>9.7412417493590905E-2</v>
      </c>
      <c r="X1648">
        <v>2.6733754520428629E-2</v>
      </c>
      <c r="Y1648">
        <v>4.536671021358258E-3</v>
      </c>
    </row>
    <row r="1649" spans="1:25" x14ac:dyDescent="0.25">
      <c r="A1649" s="1098"/>
      <c r="B1649" s="1457">
        <v>1399</v>
      </c>
      <c r="C1649" s="1102">
        <v>1.0134475931604259</v>
      </c>
      <c r="D1649" s="1102">
        <v>0.97517683631840113</v>
      </c>
      <c r="E1649" s="1102">
        <v>1.014566742771867</v>
      </c>
      <c r="F1649" s="1102">
        <v>1.015799452050703</v>
      </c>
      <c r="G1649" s="1102">
        <v>0.9658742027431545</v>
      </c>
      <c r="H1649" s="1102">
        <v>0.98852907413887492</v>
      </c>
      <c r="I1649" s="1102">
        <v>0.99031594576115145</v>
      </c>
      <c r="K1649">
        <v>1.5705279464462363</v>
      </c>
      <c r="L1649">
        <v>0</v>
      </c>
      <c r="M1649">
        <v>1.5011020754631648E-3</v>
      </c>
      <c r="N1649">
        <v>0.14433537631171273</v>
      </c>
      <c r="O1649">
        <v>0.12286263728644867</v>
      </c>
      <c r="P1649">
        <v>1.5984896848312339E-2</v>
      </c>
      <c r="Q1649">
        <v>9.0941086412129853E-4</v>
      </c>
      <c r="R1649">
        <v>1.4976720974736997E-3</v>
      </c>
      <c r="S1649">
        <v>0.11785918991630416</v>
      </c>
      <c r="T1649">
        <v>0.83731472704860432</v>
      </c>
      <c r="U1649">
        <v>0</v>
      </c>
      <c r="V1649">
        <v>0.2045576864107766</v>
      </c>
      <c r="W1649">
        <v>9.4005823180705286E-2</v>
      </c>
      <c r="X1649">
        <v>2.862545881539166E-2</v>
      </c>
      <c r="Y1649">
        <v>4.0761697418491647E-3</v>
      </c>
    </row>
    <row r="1650" spans="1:25" x14ac:dyDescent="0.25">
      <c r="A1650" s="1098"/>
      <c r="B1650" s="1457">
        <v>1400</v>
      </c>
      <c r="C1650" s="1102">
        <v>0.9862447003467415</v>
      </c>
      <c r="D1650" s="1102">
        <v>1.0006259719769517</v>
      </c>
      <c r="E1650" s="1102">
        <v>0.98880895527868806</v>
      </c>
      <c r="F1650" s="1102">
        <v>1.0329362603051664</v>
      </c>
      <c r="G1650" s="1102">
        <v>1.0163661488581128</v>
      </c>
      <c r="H1650" s="1102">
        <v>0.99186324629876532</v>
      </c>
      <c r="I1650" s="1102">
        <v>1.0015594601683031</v>
      </c>
      <c r="K1650">
        <v>1.5944215281615497</v>
      </c>
      <c r="L1650">
        <v>0</v>
      </c>
      <c r="M1650">
        <v>1.6078207151305692E-3</v>
      </c>
      <c r="N1650">
        <v>0.14302303275860037</v>
      </c>
      <c r="O1650">
        <v>0.12440173605629676</v>
      </c>
      <c r="P1650">
        <v>1.5997821162925151E-2</v>
      </c>
      <c r="Q1650">
        <v>9.0056175412273011E-4</v>
      </c>
      <c r="R1650">
        <v>1.6041407585932837E-3</v>
      </c>
      <c r="S1650">
        <v>0.12077451090401387</v>
      </c>
      <c r="T1650">
        <v>0.8531953793083662</v>
      </c>
      <c r="U1650">
        <v>0</v>
      </c>
      <c r="V1650">
        <v>0.20920207156197418</v>
      </c>
      <c r="W1650">
        <v>9.4586218779558251E-2</v>
      </c>
      <c r="X1650">
        <v>2.7977933492195649E-2</v>
      </c>
      <c r="Y1650">
        <v>4.3659423400319673E-3</v>
      </c>
    </row>
    <row r="1651" spans="1:25" x14ac:dyDescent="0.25">
      <c r="A1651" s="1098"/>
      <c r="B1651" s="1457">
        <v>1401</v>
      </c>
      <c r="C1651" s="1102">
        <v>1.0304273723503194</v>
      </c>
      <c r="D1651" s="1102">
        <v>0.99067216120271329</v>
      </c>
      <c r="E1651" s="1102">
        <v>1.023326864748864</v>
      </c>
      <c r="F1651" s="1102">
        <v>0.97960277723811384</v>
      </c>
      <c r="G1651" s="1102">
        <v>0.99944276841958668</v>
      </c>
      <c r="H1651" s="1102">
        <v>0.96296714394815242</v>
      </c>
      <c r="I1651" s="1102">
        <v>0.99108753205837374</v>
      </c>
      <c r="K1651">
        <v>1.5164921681968535</v>
      </c>
      <c r="L1651">
        <v>0</v>
      </c>
      <c r="M1651">
        <v>1.3974556080233306E-3</v>
      </c>
      <c r="N1651">
        <v>0.13795836534862832</v>
      </c>
      <c r="O1651">
        <v>0.11876468830975587</v>
      </c>
      <c r="P1651">
        <v>1.5566406558547035E-2</v>
      </c>
      <c r="Q1651">
        <v>8.9683056467426854E-4</v>
      </c>
      <c r="R1651">
        <v>1.3941638943855733E-3</v>
      </c>
      <c r="S1651">
        <v>0.11285558229871646</v>
      </c>
      <c r="T1651">
        <v>0.80691687780971477</v>
      </c>
      <c r="U1651">
        <v>0</v>
      </c>
      <c r="V1651">
        <v>0.20235467059688172</v>
      </c>
      <c r="W1651">
        <v>8.9392758620739712E-2</v>
      </c>
      <c r="X1651">
        <v>2.7994825268320544E-2</v>
      </c>
      <c r="Y1651">
        <v>3.7944545345132627E-3</v>
      </c>
    </row>
    <row r="1652" spans="1:25" x14ac:dyDescent="0.25">
      <c r="A1652" s="1098"/>
      <c r="B1652" s="1457">
        <v>1402</v>
      </c>
      <c r="C1652" s="1102">
        <v>1.0178840031675775</v>
      </c>
      <c r="D1652" s="1102">
        <v>0.95788535440903455</v>
      </c>
      <c r="E1652" s="1102">
        <v>0.99279315831667414</v>
      </c>
      <c r="F1652" s="1102">
        <v>1.0302851647922886</v>
      </c>
      <c r="G1652" s="1102">
        <v>1.0053764292855358</v>
      </c>
      <c r="H1652" s="1102">
        <v>1.0336577708863821</v>
      </c>
      <c r="I1652" s="1102">
        <v>0.98864166153569299</v>
      </c>
      <c r="K1652">
        <v>1.6012959756658542</v>
      </c>
      <c r="L1652">
        <v>0</v>
      </c>
      <c r="M1652">
        <v>1.654099899886111E-3</v>
      </c>
      <c r="N1652">
        <v>0.14893973865733373</v>
      </c>
      <c r="O1652">
        <v>0.12451927119107589</v>
      </c>
      <c r="P1652">
        <v>1.6003112676220347E-2</v>
      </c>
      <c r="Q1652">
        <v>8.9163275460800407E-4</v>
      </c>
      <c r="R1652">
        <v>1.6505013433996357E-3</v>
      </c>
      <c r="S1652">
        <v>0.12205135283623189</v>
      </c>
      <c r="T1652">
        <v>0.85073340196385461</v>
      </c>
      <c r="U1652">
        <v>0</v>
      </c>
      <c r="V1652">
        <v>0.20723354168402086</v>
      </c>
      <c r="W1652">
        <v>9.8264479831646476E-2</v>
      </c>
      <c r="X1652">
        <v>2.8170922058234765E-2</v>
      </c>
      <c r="Y1652">
        <v>4.4921205691121832E-3</v>
      </c>
    </row>
    <row r="1653" spans="1:25" x14ac:dyDescent="0.25">
      <c r="A1653" s="1098"/>
      <c r="B1653" s="1457">
        <v>1403</v>
      </c>
      <c r="C1653" s="1102">
        <v>0.99531906742121545</v>
      </c>
      <c r="D1653" s="1102">
        <v>0.97091770122961141</v>
      </c>
      <c r="E1653" s="1102">
        <v>1.0000768255105867</v>
      </c>
      <c r="F1653" s="1102">
        <v>0.95171649754626741</v>
      </c>
      <c r="G1653" s="1102">
        <v>1.0010593977517055</v>
      </c>
      <c r="H1653" s="1102">
        <v>1.0250056941993066</v>
      </c>
      <c r="I1653" s="1102">
        <v>1.0280428769932213</v>
      </c>
      <c r="K1653">
        <v>1.5325552136739302</v>
      </c>
      <c r="L1653">
        <v>0</v>
      </c>
      <c r="M1653">
        <v>1.6266449592412715E-3</v>
      </c>
      <c r="N1653">
        <v>0.14972115926707855</v>
      </c>
      <c r="O1653">
        <v>0.11945198205270557</v>
      </c>
      <c r="P1653">
        <v>1.5233886109833571E-2</v>
      </c>
      <c r="Q1653">
        <v>9.1381934032824623E-4</v>
      </c>
      <c r="R1653">
        <v>1.6230395147528265E-3</v>
      </c>
      <c r="S1653">
        <v>0.12736108333675938</v>
      </c>
      <c r="T1653">
        <v>0.78539879218363506</v>
      </c>
      <c r="U1653">
        <v>0</v>
      </c>
      <c r="V1653">
        <v>0.20440387376115826</v>
      </c>
      <c r="W1653">
        <v>9.8352132915873011E-2</v>
      </c>
      <c r="X1653">
        <v>2.7304711626721538E-2</v>
      </c>
      <c r="Y1653">
        <v>4.4173785243249485E-3</v>
      </c>
    </row>
    <row r="1654" spans="1:25" x14ac:dyDescent="0.25">
      <c r="A1654" s="1098"/>
      <c r="B1654" s="1457">
        <v>1404</v>
      </c>
      <c r="C1654" s="1102">
        <v>1.0076468459910102</v>
      </c>
      <c r="D1654" s="1102">
        <v>0.99740942295875068</v>
      </c>
      <c r="E1654" s="1102">
        <v>0.97286350999164173</v>
      </c>
      <c r="F1654" s="1102">
        <v>1.0058267388392683</v>
      </c>
      <c r="G1654" s="1102">
        <v>1.0001672079024779</v>
      </c>
      <c r="H1654" s="1102">
        <v>1.003620381437091</v>
      </c>
      <c r="I1654" s="1102">
        <v>1.0171643780190778</v>
      </c>
      <c r="K1654">
        <v>1.5604411414104729</v>
      </c>
      <c r="L1654">
        <v>0</v>
      </c>
      <c r="M1654">
        <v>1.6479629845612413E-3</v>
      </c>
      <c r="N1654">
        <v>0.13969346811666877</v>
      </c>
      <c r="O1654">
        <v>0.12158307935822055</v>
      </c>
      <c r="P1654">
        <v>1.5473616085616615E-2</v>
      </c>
      <c r="Q1654">
        <v>8.6795129242182693E-4</v>
      </c>
      <c r="R1654">
        <v>1.6442356388360144E-3</v>
      </c>
      <c r="S1654">
        <v>0.12115773536868273</v>
      </c>
      <c r="T1654">
        <v>0.83187185248154305</v>
      </c>
      <c r="U1654">
        <v>0</v>
      </c>
      <c r="V1654">
        <v>0.20531572058895253</v>
      </c>
      <c r="W1654">
        <v>9.3277464701110091E-2</v>
      </c>
      <c r="X1654">
        <v>2.6728913376202618E-2</v>
      </c>
      <c r="Y1654">
        <v>4.4750673867789597E-3</v>
      </c>
    </row>
    <row r="1655" spans="1:25" x14ac:dyDescent="0.25">
      <c r="A1655" s="1098"/>
      <c r="B1655" s="1457">
        <v>1405</v>
      </c>
      <c r="C1655" s="1102">
        <v>0.9723979767223746</v>
      </c>
      <c r="D1655" s="1102">
        <v>1.0273319470575413</v>
      </c>
      <c r="E1655" s="1102">
        <v>0.97799169938681885</v>
      </c>
      <c r="F1655" s="1102">
        <v>0.95449657045225722</v>
      </c>
      <c r="G1655" s="1102">
        <v>1.0102661685685435</v>
      </c>
      <c r="H1655" s="1102">
        <v>0.99579451974659405</v>
      </c>
      <c r="I1655" s="1102">
        <v>0.9964685437994788</v>
      </c>
      <c r="K1655">
        <v>1.5138253925403657</v>
      </c>
      <c r="L1655">
        <v>0</v>
      </c>
      <c r="M1655">
        <v>1.6378345027369828E-3</v>
      </c>
      <c r="N1655">
        <v>0.14100037656001158</v>
      </c>
      <c r="O1655">
        <v>0.11845821188004216</v>
      </c>
      <c r="P1655">
        <v>1.4940185286121573E-2</v>
      </c>
      <c r="Q1655">
        <v>8.9364364649314901E-4</v>
      </c>
      <c r="R1655">
        <v>1.6340576750907784E-3</v>
      </c>
      <c r="S1655">
        <v>0.11970395714602701</v>
      </c>
      <c r="T1655">
        <v>0.78909208220613725</v>
      </c>
      <c r="U1655">
        <v>0</v>
      </c>
      <c r="V1655">
        <v>0.20523445923003408</v>
      </c>
      <c r="W1655">
        <v>9.3857983301483899E-2</v>
      </c>
      <c r="X1655">
        <v>2.6200903787029609E-2</v>
      </c>
      <c r="Y1655">
        <v>4.4473663246292743E-3</v>
      </c>
    </row>
    <row r="1656" spans="1:25" x14ac:dyDescent="0.25">
      <c r="A1656" s="1098"/>
      <c r="B1656" s="1457">
        <v>1406</v>
      </c>
      <c r="C1656" s="1102">
        <v>0.96623146855655584</v>
      </c>
      <c r="D1656" s="1102">
        <v>1.0193021336240518</v>
      </c>
      <c r="E1656" s="1102">
        <v>0.99424494796025509</v>
      </c>
      <c r="F1656" s="1102">
        <v>1.0060643756191363</v>
      </c>
      <c r="G1656" s="1102">
        <v>0.98505928499062456</v>
      </c>
      <c r="H1656" s="1102">
        <v>0.99538901826579262</v>
      </c>
      <c r="I1656" s="1102">
        <v>1.0037882999463468</v>
      </c>
      <c r="K1656">
        <v>1.5729984436428943</v>
      </c>
      <c r="L1656">
        <v>0</v>
      </c>
      <c r="M1656">
        <v>1.605932154635173E-3</v>
      </c>
      <c r="N1656">
        <v>0.14522103829541011</v>
      </c>
      <c r="O1656">
        <v>0.12274445417580719</v>
      </c>
      <c r="P1656">
        <v>1.575508356876754E-2</v>
      </c>
      <c r="Q1656">
        <v>9.176209883353598E-4</v>
      </c>
      <c r="R1656">
        <v>1.6022454093152444E-3</v>
      </c>
      <c r="S1656">
        <v>0.12220989382120326</v>
      </c>
      <c r="T1656">
        <v>0.83063693757071966</v>
      </c>
      <c r="U1656">
        <v>0</v>
      </c>
      <c r="V1656">
        <v>0.20760954006218052</v>
      </c>
      <c r="W1656">
        <v>9.572796987791149E-2</v>
      </c>
      <c r="X1656">
        <v>2.7818808203778213E-2</v>
      </c>
      <c r="Y1656">
        <v>4.3607838240988656E-3</v>
      </c>
    </row>
    <row r="1657" spans="1:25" x14ac:dyDescent="0.25">
      <c r="A1657" s="1098"/>
      <c r="B1657" s="1457">
        <v>1407</v>
      </c>
      <c r="C1657" s="1102">
        <v>1.0039989054382601</v>
      </c>
      <c r="D1657" s="1102">
        <v>0.99499490069597474</v>
      </c>
      <c r="E1657" s="1102">
        <v>1.0060529010251928</v>
      </c>
      <c r="F1657" s="1102">
        <v>1.0182191820926316</v>
      </c>
      <c r="G1657" s="1102">
        <v>0.96462897446234064</v>
      </c>
      <c r="H1657" s="1102">
        <v>1.0228569905214673</v>
      </c>
      <c r="I1657" s="1102">
        <v>1.0239440638552664</v>
      </c>
      <c r="K1657">
        <v>1.5856198879322012</v>
      </c>
      <c r="L1657">
        <v>0</v>
      </c>
      <c r="M1657">
        <v>1.5768974881331837E-3</v>
      </c>
      <c r="N1657">
        <v>0.14778594303514506</v>
      </c>
      <c r="O1657">
        <v>0.12264492276772251</v>
      </c>
      <c r="P1657">
        <v>1.6010677598115506E-2</v>
      </c>
      <c r="Q1657">
        <v>9.0265245454804459E-4</v>
      </c>
      <c r="R1657">
        <v>1.5734016898645135E-3</v>
      </c>
      <c r="S1657">
        <v>0.12426772418786854</v>
      </c>
      <c r="T1657">
        <v>0.83987867559905915</v>
      </c>
      <c r="U1657">
        <v>0</v>
      </c>
      <c r="V1657">
        <v>0.20478990008598408</v>
      </c>
      <c r="W1657">
        <v>9.6737509893936563E-2</v>
      </c>
      <c r="X1657">
        <v>2.8323097380007121E-2</v>
      </c>
      <c r="Y1657">
        <v>4.2822807280835391E-3</v>
      </c>
    </row>
    <row r="1658" spans="1:25" x14ac:dyDescent="0.25">
      <c r="A1658" s="1098"/>
      <c r="B1658" s="1457">
        <v>1408</v>
      </c>
      <c r="C1658" s="1102">
        <v>1.0311601985037593</v>
      </c>
      <c r="D1658" s="1102">
        <v>0.98702286579085452</v>
      </c>
      <c r="E1658" s="1102">
        <v>0.98311042619573641</v>
      </c>
      <c r="F1658" s="1102">
        <v>1.0007300102154508</v>
      </c>
      <c r="G1658" s="1102">
        <v>0.9706989273782658</v>
      </c>
      <c r="H1658" s="1102">
        <v>1.0083946766890528</v>
      </c>
      <c r="I1658" s="1102">
        <v>1.0237981673689307</v>
      </c>
      <c r="K1658">
        <v>1.5496716915834474</v>
      </c>
      <c r="L1658">
        <v>0</v>
      </c>
      <c r="M1658">
        <v>1.5956388995132427E-3</v>
      </c>
      <c r="N1658">
        <v>0.13952037380904617</v>
      </c>
      <c r="O1658">
        <v>0.12048041520908366</v>
      </c>
      <c r="P1658">
        <v>1.5476069686524737E-2</v>
      </c>
      <c r="Q1658">
        <v>8.6092364031679143E-4</v>
      </c>
      <c r="R1658">
        <v>1.5920579240826583E-3</v>
      </c>
      <c r="S1658">
        <v>0.12041715867746863</v>
      </c>
      <c r="T1658">
        <v>0.82697237000336865</v>
      </c>
      <c r="U1658">
        <v>0</v>
      </c>
      <c r="V1658">
        <v>0.20213441713890054</v>
      </c>
      <c r="W1658">
        <v>9.2586324067837247E-2</v>
      </c>
      <c r="X1658">
        <v>2.6894163478730013E-2</v>
      </c>
      <c r="Y1658">
        <v>4.3330568475993718E-3</v>
      </c>
    </row>
    <row r="1659" spans="1:25" x14ac:dyDescent="0.25">
      <c r="A1659" s="1098"/>
      <c r="B1659" s="1457">
        <v>1409</v>
      </c>
      <c r="C1659" s="1102">
        <v>0.96314745343257202</v>
      </c>
      <c r="D1659" s="1102">
        <v>1.0132418220358546</v>
      </c>
      <c r="E1659" s="1102">
        <v>1.0077908916673459</v>
      </c>
      <c r="F1659" s="1102">
        <v>0.96487526545584201</v>
      </c>
      <c r="G1659" s="1102">
        <v>1.0417292412514279</v>
      </c>
      <c r="H1659" s="1102">
        <v>1.0021274816464516</v>
      </c>
      <c r="I1659" s="1102">
        <v>0.97761560210562204</v>
      </c>
      <c r="K1659">
        <v>1.5386528829166768</v>
      </c>
      <c r="L1659">
        <v>0</v>
      </c>
      <c r="M1659">
        <v>1.5768146600308758E-3</v>
      </c>
      <c r="N1659">
        <v>0.14854549012828624</v>
      </c>
      <c r="O1659">
        <v>0.12020144931527357</v>
      </c>
      <c r="P1659">
        <v>1.5420207582602071E-2</v>
      </c>
      <c r="Q1659">
        <v>9.3580169446931939E-4</v>
      </c>
      <c r="R1659">
        <v>1.5732100145313596E-3</v>
      </c>
      <c r="S1659">
        <v>0.12011310092234104</v>
      </c>
      <c r="T1659">
        <v>0.79576758842400164</v>
      </c>
      <c r="U1659">
        <v>0</v>
      </c>
      <c r="V1659">
        <v>0.20848232279102155</v>
      </c>
      <c r="W1659">
        <v>9.7134851249785534E-2</v>
      </c>
      <c r="X1659">
        <v>2.7773916403381692E-2</v>
      </c>
      <c r="Y1659">
        <v>4.2817590510124508E-3</v>
      </c>
    </row>
    <row r="1660" spans="1:25" x14ac:dyDescent="0.25">
      <c r="A1660" s="1098"/>
      <c r="B1660" s="1457">
        <v>1410</v>
      </c>
      <c r="C1660" s="1102">
        <v>0.98573399862266187</v>
      </c>
      <c r="D1660" s="1102">
        <v>0.9602914400817808</v>
      </c>
      <c r="E1660" s="1102">
        <v>0.99541243176028094</v>
      </c>
      <c r="F1660" s="1102">
        <v>1.0121730519039052</v>
      </c>
      <c r="G1660" s="1102">
        <v>0.99187600289492384</v>
      </c>
      <c r="H1660" s="1102">
        <v>0.97312096016901306</v>
      </c>
      <c r="I1660" s="1102">
        <v>0.96047165141000057</v>
      </c>
      <c r="K1660">
        <v>1.5746155476509895</v>
      </c>
      <c r="L1660">
        <v>0</v>
      </c>
      <c r="M1660">
        <v>1.5909487621485676E-3</v>
      </c>
      <c r="N1660">
        <v>0.14437104300573264</v>
      </c>
      <c r="O1660">
        <v>0.12479902397205628</v>
      </c>
      <c r="P1660">
        <v>1.57776720979317E-2</v>
      </c>
      <c r="Q1660">
        <v>9.222992908153847E-4</v>
      </c>
      <c r="R1660">
        <v>1.5872566606021802E-3</v>
      </c>
      <c r="S1660">
        <v>0.11716691473399143</v>
      </c>
      <c r="T1660">
        <v>0.8356022381362066</v>
      </c>
      <c r="U1660">
        <v>0</v>
      </c>
      <c r="V1660">
        <v>0.20833917919624426</v>
      </c>
      <c r="W1660">
        <v>9.5101380214343167E-2</v>
      </c>
      <c r="X1660">
        <v>2.8219499714070836E-2</v>
      </c>
      <c r="Y1660">
        <v>4.3199893911415894E-3</v>
      </c>
    </row>
    <row r="1661" spans="1:25" x14ac:dyDescent="0.25">
      <c r="A1661" s="1098"/>
      <c r="B1661" s="1457">
        <v>1411</v>
      </c>
      <c r="C1661" s="1102">
        <v>1.0049138806388562</v>
      </c>
      <c r="D1661" s="1102">
        <v>1.0238619246448395</v>
      </c>
      <c r="E1661" s="1102">
        <v>1.0045424921312713</v>
      </c>
      <c r="F1661" s="1102">
        <v>0.98722752691185178</v>
      </c>
      <c r="G1661" s="1102">
        <v>0.98120405604933558</v>
      </c>
      <c r="H1661" s="1102">
        <v>1.0059587189117563</v>
      </c>
      <c r="I1661" s="1102">
        <v>1.0059152176734569</v>
      </c>
      <c r="K1661">
        <v>1.5386370674532326</v>
      </c>
      <c r="L1661">
        <v>0</v>
      </c>
      <c r="M1661">
        <v>1.5258435591502801E-3</v>
      </c>
      <c r="N1661">
        <v>0.14234279950114298</v>
      </c>
      <c r="O1661">
        <v>0.11918978140869414</v>
      </c>
      <c r="P1661">
        <v>1.5539606408011117E-2</v>
      </c>
      <c r="Q1661">
        <v>8.9018148547211377E-4</v>
      </c>
      <c r="R1661">
        <v>1.5223798268166595E-3</v>
      </c>
      <c r="S1661">
        <v>0.11839866880350797</v>
      </c>
      <c r="T1661">
        <v>0.81441337064871344</v>
      </c>
      <c r="U1661">
        <v>0</v>
      </c>
      <c r="V1661">
        <v>0.2030042257803169</v>
      </c>
      <c r="W1661">
        <v>9.3257876354051694E-2</v>
      </c>
      <c r="X1661">
        <v>2.7460604759435292E-2</v>
      </c>
      <c r="Y1661">
        <v>4.1434160362199129E-3</v>
      </c>
    </row>
    <row r="1662" spans="1:25" x14ac:dyDescent="0.25">
      <c r="A1662" s="1098"/>
      <c r="B1662" s="1457">
        <v>1412</v>
      </c>
      <c r="C1662" s="1102">
        <v>1.0121579681529611</v>
      </c>
      <c r="D1662" s="1102">
        <v>1.0326781804562335</v>
      </c>
      <c r="E1662" s="1102">
        <v>1.0122104520617106</v>
      </c>
      <c r="F1662" s="1102">
        <v>0.99040814949231437</v>
      </c>
      <c r="G1662" s="1102">
        <v>1.0129193029010723</v>
      </c>
      <c r="H1662" s="1102">
        <v>0.96847165294555149</v>
      </c>
      <c r="I1662" s="1102">
        <v>0.97302631009823304</v>
      </c>
      <c r="K1662">
        <v>1.5227282383336267</v>
      </c>
      <c r="L1662">
        <v>0</v>
      </c>
      <c r="M1662">
        <v>1.4295336073812364E-3</v>
      </c>
      <c r="N1662">
        <v>0.13646957399224025</v>
      </c>
      <c r="O1662">
        <v>0.11865489521810108</v>
      </c>
      <c r="P1662">
        <v>1.555752234148116E-2</v>
      </c>
      <c r="Q1662">
        <v>8.8778341120480107E-4</v>
      </c>
      <c r="R1662">
        <v>1.4261605887406236E-3</v>
      </c>
      <c r="S1662">
        <v>0.11039171716695773</v>
      </c>
      <c r="T1662">
        <v>0.81653794228935606</v>
      </c>
      <c r="U1662">
        <v>0</v>
      </c>
      <c r="V1662">
        <v>0.20376026331183442</v>
      </c>
      <c r="W1662">
        <v>8.9006069950397226E-2</v>
      </c>
      <c r="X1662">
        <v>2.7584304681852891E-2</v>
      </c>
      <c r="Y1662">
        <v>3.8815389888402496E-3</v>
      </c>
    </row>
    <row r="1663" spans="1:25" x14ac:dyDescent="0.25">
      <c r="A1663" s="1098"/>
      <c r="B1663" s="1457">
        <v>1413</v>
      </c>
      <c r="C1663" s="1102">
        <v>0.96636308504962654</v>
      </c>
      <c r="D1663" s="1102">
        <v>0.96489626113871063</v>
      </c>
      <c r="E1663" s="1102">
        <v>0.97557251366817999</v>
      </c>
      <c r="F1663" s="1102">
        <v>1.0267461532194884</v>
      </c>
      <c r="G1663" s="1102">
        <v>1.0170687697904766</v>
      </c>
      <c r="H1663" s="1102">
        <v>0.99801179784570326</v>
      </c>
      <c r="I1663" s="1102">
        <v>0.99701486863397148</v>
      </c>
      <c r="K1663">
        <v>1.6088448908952113</v>
      </c>
      <c r="L1663">
        <v>0</v>
      </c>
      <c r="M1663">
        <v>1.7287772334572474E-3</v>
      </c>
      <c r="N1663">
        <v>0.14774993768207725</v>
      </c>
      <c r="O1663">
        <v>0.12673559840085349</v>
      </c>
      <c r="P1663">
        <v>1.5882431704519476E-2</v>
      </c>
      <c r="Q1663">
        <v>9.197234214267712E-4</v>
      </c>
      <c r="R1663">
        <v>1.7248607677640049E-3</v>
      </c>
      <c r="S1663">
        <v>0.1257144895268551</v>
      </c>
      <c r="T1663">
        <v>0.84898738421096342</v>
      </c>
      <c r="U1663">
        <v>0</v>
      </c>
      <c r="V1663">
        <v>0.21178420014853361</v>
      </c>
      <c r="W1663">
        <v>9.8495020176187539E-2</v>
      </c>
      <c r="X1663">
        <v>2.788551967983386E-2</v>
      </c>
      <c r="Y1663">
        <v>4.6945024096543431E-3</v>
      </c>
    </row>
    <row r="1664" spans="1:25" x14ac:dyDescent="0.25">
      <c r="A1664" s="1098"/>
      <c r="B1664" s="1457">
        <v>1414</v>
      </c>
      <c r="C1664" s="1102">
        <v>1.0139671434305861</v>
      </c>
      <c r="D1664" s="1102">
        <v>0.96752072516381549</v>
      </c>
      <c r="E1664" s="1102">
        <v>0.97541642829332731</v>
      </c>
      <c r="F1664" s="1102">
        <v>0.99799089603445212</v>
      </c>
      <c r="G1664" s="1102">
        <v>1.0334540754473287</v>
      </c>
      <c r="H1664" s="1102">
        <v>1.0160774118014742</v>
      </c>
      <c r="I1664" s="1102">
        <v>0.98525622440294403</v>
      </c>
      <c r="K1664">
        <v>1.5604268567310848</v>
      </c>
      <c r="L1664">
        <v>0</v>
      </c>
      <c r="M1664">
        <v>1.6777583564776713E-3</v>
      </c>
      <c r="N1664">
        <v>0.14332797680255424</v>
      </c>
      <c r="O1664">
        <v>0.12204673761446305</v>
      </c>
      <c r="P1664">
        <v>1.5415760727123357E-2</v>
      </c>
      <c r="Q1664">
        <v>8.7544854573404912E-4</v>
      </c>
      <c r="R1664">
        <v>1.6740286128341855E-3</v>
      </c>
      <c r="S1664">
        <v>0.11973586739410542</v>
      </c>
      <c r="T1664">
        <v>0.82522088080028999</v>
      </c>
      <c r="U1664">
        <v>0</v>
      </c>
      <c r="V1664">
        <v>0.20680626414213679</v>
      </c>
      <c r="W1664">
        <v>9.5556231843033204E-2</v>
      </c>
      <c r="X1664">
        <v>2.6889264564536594E-2</v>
      </c>
      <c r="Y1664">
        <v>4.5561540407507437E-3</v>
      </c>
    </row>
    <row r="1665" spans="1:25" x14ac:dyDescent="0.25">
      <c r="A1665" s="1098"/>
      <c r="B1665" s="1457">
        <v>1415</v>
      </c>
      <c r="C1665" s="1102">
        <v>0.98225989411855097</v>
      </c>
      <c r="D1665" s="1102">
        <v>1.0360035504709662</v>
      </c>
      <c r="E1665" s="1102">
        <v>1.0060393229927687</v>
      </c>
      <c r="F1665" s="1102">
        <v>0.95804077026160794</v>
      </c>
      <c r="G1665" s="1102">
        <v>0.99268671067989578</v>
      </c>
      <c r="H1665" s="1102">
        <v>1.0094644973018492</v>
      </c>
      <c r="I1665" s="1102">
        <v>1.0334434062048552</v>
      </c>
      <c r="K1665">
        <v>1.5223214035429116</v>
      </c>
      <c r="L1665">
        <v>0</v>
      </c>
      <c r="M1665">
        <v>1.5451637458582697E-3</v>
      </c>
      <c r="N1665">
        <v>0.14479743159521816</v>
      </c>
      <c r="O1665">
        <v>0.11777058632208216</v>
      </c>
      <c r="P1665">
        <v>1.5304237959292222E-2</v>
      </c>
      <c r="Q1665">
        <v>9.0783128493128441E-4</v>
      </c>
      <c r="R1665">
        <v>1.5416477425256815E-3</v>
      </c>
      <c r="S1665">
        <v>0.12353970324768922</v>
      </c>
      <c r="T1665">
        <v>0.79024133432029398</v>
      </c>
      <c r="U1665">
        <v>0</v>
      </c>
      <c r="V1665">
        <v>0.20357597001710176</v>
      </c>
      <c r="W1665">
        <v>9.4782055628366502E-2</v>
      </c>
      <c r="X1665">
        <v>2.7209912220153138E-2</v>
      </c>
      <c r="Y1665">
        <v>4.1958569511131635E-3</v>
      </c>
    </row>
    <row r="1666" spans="1:25" x14ac:dyDescent="0.25">
      <c r="A1666" s="1098"/>
      <c r="B1666" s="1457">
        <v>1416</v>
      </c>
      <c r="C1666" s="1102">
        <v>0.98482546303548291</v>
      </c>
      <c r="D1666" s="1102">
        <v>0.99112143690565413</v>
      </c>
      <c r="E1666" s="1102">
        <v>0.98568430772743754</v>
      </c>
      <c r="F1666" s="1102">
        <v>0.97361014712888561</v>
      </c>
      <c r="G1666" s="1102">
        <v>1.0165159215489257</v>
      </c>
      <c r="H1666" s="1102">
        <v>0.98590299797412984</v>
      </c>
      <c r="I1666" s="1102">
        <v>1.0187865727593033</v>
      </c>
      <c r="K1666">
        <v>1.5381886551706869</v>
      </c>
      <c r="L1666">
        <v>0</v>
      </c>
      <c r="M1666">
        <v>1.6119838542189998E-3</v>
      </c>
      <c r="N1666">
        <v>0.14204181635259214</v>
      </c>
      <c r="O1666">
        <v>0.1207134472304919</v>
      </c>
      <c r="P1666">
        <v>1.5293845374613937E-2</v>
      </c>
      <c r="Q1666">
        <v>9.0236096951901005E-4</v>
      </c>
      <c r="R1666">
        <v>1.6082604917571836E-3</v>
      </c>
      <c r="S1666">
        <v>0.12285211635852732</v>
      </c>
      <c r="T1666">
        <v>0.80439466230064571</v>
      </c>
      <c r="U1666">
        <v>0</v>
      </c>
      <c r="V1666">
        <v>0.20651759171874923</v>
      </c>
      <c r="W1666">
        <v>9.4113691349957534E-2</v>
      </c>
      <c r="X1666">
        <v>2.6985691982416432E-2</v>
      </c>
      <c r="Y1666">
        <v>4.3771548956344315E-3</v>
      </c>
    </row>
    <row r="1667" spans="1:25" x14ac:dyDescent="0.25">
      <c r="A1667" s="1098"/>
      <c r="B1667" s="1457">
        <v>1417</v>
      </c>
      <c r="C1667" s="1102">
        <v>1.0243056708855769</v>
      </c>
      <c r="D1667" s="1102">
        <v>1.0177652850952479</v>
      </c>
      <c r="E1667" s="1102">
        <v>1.0018873916271382</v>
      </c>
      <c r="F1667" s="1102">
        <v>1.0118608258997663</v>
      </c>
      <c r="G1667" s="1102">
        <v>1.0074479569258623</v>
      </c>
      <c r="H1667" s="1102">
        <v>1.0019836482280302</v>
      </c>
      <c r="I1667" s="1102">
        <v>0.96317614337930002</v>
      </c>
      <c r="K1667">
        <v>1.5502543358918492</v>
      </c>
      <c r="L1667">
        <v>0</v>
      </c>
      <c r="M1667">
        <v>1.5091480321735484E-3</v>
      </c>
      <c r="N1667">
        <v>0.13966082971102645</v>
      </c>
      <c r="O1667">
        <v>0.1201923438046027</v>
      </c>
      <c r="P1667">
        <v>1.5709301128209782E-2</v>
      </c>
      <c r="Q1667">
        <v>8.7301526812891164E-4</v>
      </c>
      <c r="R1667">
        <v>1.5057229250450964E-3</v>
      </c>
      <c r="S1667">
        <v>0.11155603181674444</v>
      </c>
      <c r="T1667">
        <v>0.83491168515200509</v>
      </c>
      <c r="U1667">
        <v>0</v>
      </c>
      <c r="V1667">
        <v>0.20403550132872064</v>
      </c>
      <c r="W1667">
        <v>9.1644886279600685E-2</v>
      </c>
      <c r="X1667">
        <v>2.7576085069395784E-2</v>
      </c>
      <c r="Y1667">
        <v>4.0980814405439121E-3</v>
      </c>
    </row>
    <row r="1668" spans="1:25" x14ac:dyDescent="0.25">
      <c r="A1668" s="1098"/>
      <c r="B1668" s="1457">
        <v>1418</v>
      </c>
      <c r="C1668" s="1102">
        <v>1.0022610385587565</v>
      </c>
      <c r="D1668" s="1102">
        <v>1.03719550844911</v>
      </c>
      <c r="E1668" s="1102">
        <v>0.9931843833413595</v>
      </c>
      <c r="F1668" s="1102">
        <v>0.96300022806004582</v>
      </c>
      <c r="G1668" s="1102">
        <v>0.97545296034893036</v>
      </c>
      <c r="H1668" s="1102">
        <v>1.020500089737457</v>
      </c>
      <c r="I1668" s="1102">
        <v>1.0073443488068297</v>
      </c>
      <c r="K1668">
        <v>1.5148237649003342</v>
      </c>
      <c r="L1668">
        <v>0</v>
      </c>
      <c r="M1668">
        <v>1.5741706996792964E-3</v>
      </c>
      <c r="N1668">
        <v>0.14190023570810101</v>
      </c>
      <c r="O1668">
        <v>0.11710553469645242</v>
      </c>
      <c r="P1668">
        <v>1.5131101954798495E-2</v>
      </c>
      <c r="Q1668">
        <v>8.7752891906317456E-4</v>
      </c>
      <c r="R1668">
        <v>1.5706333754094486E-3</v>
      </c>
      <c r="S1668">
        <v>0.11891713976722142</v>
      </c>
      <c r="T1668">
        <v>0.79514951415846569</v>
      </c>
      <c r="U1668">
        <v>0</v>
      </c>
      <c r="V1668">
        <v>0.201314182801069</v>
      </c>
      <c r="W1668">
        <v>9.3598210309783728E-2</v>
      </c>
      <c r="X1668">
        <v>2.6559107620936325E-2</v>
      </c>
      <c r="Y1668">
        <v>4.2747462887114665E-3</v>
      </c>
    </row>
    <row r="1669" spans="1:25" x14ac:dyDescent="0.25">
      <c r="A1669" s="1098"/>
      <c r="B1669" s="1457">
        <v>1419</v>
      </c>
      <c r="C1669" s="1102">
        <v>0.99901767819531173</v>
      </c>
      <c r="D1669" s="1102">
        <v>1.0072483063446815</v>
      </c>
      <c r="E1669" s="1102">
        <v>1.0210362736119596</v>
      </c>
      <c r="F1669" s="1102">
        <v>0.97629332244009681</v>
      </c>
      <c r="G1669" s="1102">
        <v>1.007300816444672</v>
      </c>
      <c r="H1669" s="1102">
        <v>0.98631773492098151</v>
      </c>
      <c r="I1669" s="1102">
        <v>0.98968466888162798</v>
      </c>
      <c r="K1669">
        <v>1.5305988134184882</v>
      </c>
      <c r="L1669">
        <v>0</v>
      </c>
      <c r="M1669">
        <v>1.4658021656419505E-3</v>
      </c>
      <c r="N1669">
        <v>0.14371554547050827</v>
      </c>
      <c r="O1669">
        <v>0.11937872799166348</v>
      </c>
      <c r="P1669">
        <v>1.558950740125443E-2</v>
      </c>
      <c r="Q1669">
        <v>9.167536666444744E-4</v>
      </c>
      <c r="R1669">
        <v>1.4624133017202671E-3</v>
      </c>
      <c r="S1669">
        <v>0.11672059852757552</v>
      </c>
      <c r="T1669">
        <v>0.80433684253993321</v>
      </c>
      <c r="U1669">
        <v>0</v>
      </c>
      <c r="V1669">
        <v>0.20461508686617641</v>
      </c>
      <c r="W1669">
        <v>9.324789909652248E-2</v>
      </c>
      <c r="X1669">
        <v>2.8101033799262948E-2</v>
      </c>
      <c r="Y1669">
        <v>3.9802069228672184E-3</v>
      </c>
    </row>
    <row r="1670" spans="1:25" x14ac:dyDescent="0.25">
      <c r="A1670" s="1098"/>
      <c r="B1670" s="1457">
        <v>1420</v>
      </c>
      <c r="C1670" s="1102">
        <v>0.99599804311676543</v>
      </c>
      <c r="D1670" s="1102">
        <v>0.96790580888674282</v>
      </c>
      <c r="E1670" s="1102">
        <v>0.98966660321939359</v>
      </c>
      <c r="F1670" s="1102">
        <v>1.0080039070638098</v>
      </c>
      <c r="G1670" s="1102">
        <v>1.011941791555508</v>
      </c>
      <c r="H1670" s="1102">
        <v>0.97436654702233538</v>
      </c>
      <c r="I1670" s="1102">
        <v>1.0119164734771493</v>
      </c>
      <c r="K1670">
        <v>1.5698748486543648</v>
      </c>
      <c r="L1670">
        <v>0</v>
      </c>
      <c r="M1670">
        <v>1.589068999623858E-3</v>
      </c>
      <c r="N1670">
        <v>0.14171762730634047</v>
      </c>
      <c r="O1670">
        <v>0.12362003982230767</v>
      </c>
      <c r="P1670">
        <v>1.572382093042515E-2</v>
      </c>
      <c r="Q1670">
        <v>9.044895855529635E-4</v>
      </c>
      <c r="R1670">
        <v>1.5853828493560017E-3</v>
      </c>
      <c r="S1670">
        <v>0.12172334260691957</v>
      </c>
      <c r="T1670">
        <v>0.83254412584918225</v>
      </c>
      <c r="U1670">
        <v>0</v>
      </c>
      <c r="V1670">
        <v>0.20788189413222335</v>
      </c>
      <c r="W1670">
        <v>9.3674737793841639E-2</v>
      </c>
      <c r="X1670">
        <v>2.7773567283206558E-2</v>
      </c>
      <c r="Y1670">
        <v>4.3148894946312029E-3</v>
      </c>
    </row>
    <row r="1671" spans="1:25" x14ac:dyDescent="0.25">
      <c r="A1671" s="1098"/>
      <c r="B1671" s="1457">
        <v>1421</v>
      </c>
      <c r="C1671" s="1102">
        <v>0.99532930163254119</v>
      </c>
      <c r="D1671" s="1102">
        <v>1.009447639871667</v>
      </c>
      <c r="E1671" s="1102">
        <v>1.0195711367245344</v>
      </c>
      <c r="F1671" s="1102">
        <v>0.96634356146630196</v>
      </c>
      <c r="G1671" s="1102">
        <v>0.99689816705797996</v>
      </c>
      <c r="H1671" s="1102">
        <v>0.99043001271811648</v>
      </c>
      <c r="I1671" s="1102">
        <v>0.98991801783714684</v>
      </c>
      <c r="K1671">
        <v>1.5224767274723709</v>
      </c>
      <c r="L1671">
        <v>0</v>
      </c>
      <c r="M1671">
        <v>1.4784812318328125E-3</v>
      </c>
      <c r="N1671">
        <v>0.1443202978623454</v>
      </c>
      <c r="O1671">
        <v>0.11877357361863539</v>
      </c>
      <c r="P1671">
        <v>1.5457934907840228E-2</v>
      </c>
      <c r="Q1671">
        <v>9.1796790540196868E-4</v>
      </c>
      <c r="R1671">
        <v>1.4750723998028863E-3</v>
      </c>
      <c r="S1671">
        <v>0.11726533249653733</v>
      </c>
      <c r="T1671">
        <v>0.79623208828444436</v>
      </c>
      <c r="U1671">
        <v>0</v>
      </c>
      <c r="V1671">
        <v>0.20387183942466802</v>
      </c>
      <c r="W1671">
        <v>9.3720566633622715E-2</v>
      </c>
      <c r="X1671">
        <v>2.7905874356127149E-2</v>
      </c>
      <c r="Y1671">
        <v>4.0146608147775447E-3</v>
      </c>
    </row>
    <row r="1672" spans="1:25" x14ac:dyDescent="0.25">
      <c r="A1672" s="1098"/>
      <c r="B1672" s="1457">
        <v>1422</v>
      </c>
      <c r="C1672" s="1102">
        <v>0.99953524728625609</v>
      </c>
      <c r="D1672" s="1102">
        <v>0.98903305375058737</v>
      </c>
      <c r="E1672" s="1102">
        <v>1.0068286308659957</v>
      </c>
      <c r="F1672" s="1102">
        <v>0.98474766113826917</v>
      </c>
      <c r="G1672" s="1102">
        <v>0.96310700912498559</v>
      </c>
      <c r="H1672" s="1102">
        <v>1.0305065867916123</v>
      </c>
      <c r="I1672" s="1102">
        <v>0.99191461296444128</v>
      </c>
      <c r="K1672">
        <v>1.5547021824587013</v>
      </c>
      <c r="L1672">
        <v>0</v>
      </c>
      <c r="M1672">
        <v>1.5940168549610024E-3</v>
      </c>
      <c r="N1672">
        <v>0.14974256430802113</v>
      </c>
      <c r="O1672">
        <v>0.12078236648097671</v>
      </c>
      <c r="P1672">
        <v>1.5588887569571773E-2</v>
      </c>
      <c r="Q1672">
        <v>9.0959447109393199E-4</v>
      </c>
      <c r="R1672">
        <v>1.5905026588904836E-3</v>
      </c>
      <c r="S1672">
        <v>0.12172362210252814</v>
      </c>
      <c r="T1672">
        <v>0.81221940325850195</v>
      </c>
      <c r="U1672">
        <v>0</v>
      </c>
      <c r="V1672">
        <v>0.20353777968880477</v>
      </c>
      <c r="W1672">
        <v>9.7973320148851212E-2</v>
      </c>
      <c r="X1672">
        <v>2.7899334697983263E-2</v>
      </c>
      <c r="Y1672">
        <v>4.3288239284393036E-3</v>
      </c>
    </row>
    <row r="1673" spans="1:25" x14ac:dyDescent="0.25">
      <c r="A1673" s="1098"/>
      <c r="B1673" s="1457">
        <v>1423</v>
      </c>
      <c r="C1673" s="1102">
        <v>1.0192712405920763</v>
      </c>
      <c r="D1673" s="1102">
        <v>0.99989592137981209</v>
      </c>
      <c r="E1673" s="1102">
        <v>0.99963998208025562</v>
      </c>
      <c r="F1673" s="1102">
        <v>0.98685307979041215</v>
      </c>
      <c r="G1673" s="1102">
        <v>1.0133185502895452</v>
      </c>
      <c r="H1673" s="1102">
        <v>0.98957894506777011</v>
      </c>
      <c r="I1673" s="1102">
        <v>0.99104070683397982</v>
      </c>
      <c r="K1673">
        <v>1.5320493794122503</v>
      </c>
      <c r="L1673">
        <v>0</v>
      </c>
      <c r="M1673">
        <v>1.5166965426103584E-3</v>
      </c>
      <c r="N1673">
        <v>0.13940591669169292</v>
      </c>
      <c r="O1673">
        <v>0.11948844141238894</v>
      </c>
      <c r="P1673">
        <v>1.5455591429222213E-2</v>
      </c>
      <c r="Q1673">
        <v>8.815099761186843E-4</v>
      </c>
      <c r="R1673">
        <v>1.5132138436066691E-3</v>
      </c>
      <c r="S1673">
        <v>0.11544658462369244</v>
      </c>
      <c r="T1673">
        <v>0.8144235236118802</v>
      </c>
      <c r="U1673">
        <v>0</v>
      </c>
      <c r="V1673">
        <v>0.20394225172240718</v>
      </c>
      <c r="W1673">
        <v>9.1599811327505429E-2</v>
      </c>
      <c r="X1673">
        <v>2.7290762064857314E-2</v>
      </c>
      <c r="Y1673">
        <v>4.1184692514878718E-3</v>
      </c>
    </row>
    <row r="1674" spans="1:25" x14ac:dyDescent="0.25">
      <c r="A1674" s="1098"/>
      <c r="B1674" s="1457">
        <v>1424</v>
      </c>
      <c r="C1674" s="1102">
        <v>0.96969252516221804</v>
      </c>
      <c r="D1674" s="1102">
        <v>1.0126260358443142</v>
      </c>
      <c r="E1674" s="1102">
        <v>0.97501966727687739</v>
      </c>
      <c r="F1674" s="1102">
        <v>0.98779622076830642</v>
      </c>
      <c r="G1674" s="1102">
        <v>1.0158724687079044</v>
      </c>
      <c r="H1674" s="1102">
        <v>1.0373870676552399</v>
      </c>
      <c r="I1674" s="1102">
        <v>0.96812336379296149</v>
      </c>
      <c r="K1674">
        <v>1.5625974689772484</v>
      </c>
      <c r="L1674">
        <v>0</v>
      </c>
      <c r="M1674">
        <v>1.7398414411995274E-3</v>
      </c>
      <c r="N1674">
        <v>0.14845623871114486</v>
      </c>
      <c r="O1674">
        <v>0.121612155244076</v>
      </c>
      <c r="P1674">
        <v>1.5331197722868508E-2</v>
      </c>
      <c r="Q1674">
        <v>8.9851203712863238E-4</v>
      </c>
      <c r="R1674">
        <v>1.7360087015332109E-3</v>
      </c>
      <c r="S1674">
        <v>0.12106958621293913</v>
      </c>
      <c r="T1674">
        <v>0.81681727111717972</v>
      </c>
      <c r="U1674">
        <v>0</v>
      </c>
      <c r="V1674">
        <v>0.20790000054275798</v>
      </c>
      <c r="W1674">
        <v>9.8999029883481679E-2</v>
      </c>
      <c r="X1674">
        <v>2.6792466834878619E-2</v>
      </c>
      <c r="Y1674">
        <v>4.7248434104587419E-3</v>
      </c>
    </row>
    <row r="1675" spans="1:25" x14ac:dyDescent="0.25">
      <c r="A1675" s="1098"/>
      <c r="B1675" s="1457">
        <v>1425</v>
      </c>
      <c r="C1675" s="1102">
        <v>0.98401810277214041</v>
      </c>
      <c r="D1675" s="1102">
        <v>1.0115442319254062</v>
      </c>
      <c r="E1675" s="1102">
        <v>0.99521097262349978</v>
      </c>
      <c r="F1675" s="1102">
        <v>1.015100006615969</v>
      </c>
      <c r="G1675" s="1102">
        <v>0.95819902408564284</v>
      </c>
      <c r="H1675" s="1102">
        <v>0.96380858222518606</v>
      </c>
      <c r="I1675" s="1102">
        <v>0.97956280798051332</v>
      </c>
      <c r="K1675">
        <v>1.5609540168840788</v>
      </c>
      <c r="L1675">
        <v>0</v>
      </c>
      <c r="M1675">
        <v>1.5334899896791803E-3</v>
      </c>
      <c r="N1675">
        <v>0.13906630730987274</v>
      </c>
      <c r="O1675">
        <v>0.12276581075125795</v>
      </c>
      <c r="P1675">
        <v>1.574498712587822E-2</v>
      </c>
      <c r="Q1675">
        <v>9.0470055057007991E-4</v>
      </c>
      <c r="R1675">
        <v>1.529866067100386E-3</v>
      </c>
      <c r="S1675">
        <v>0.11532174828052387</v>
      </c>
      <c r="T1675">
        <v>0.83803212454051557</v>
      </c>
      <c r="U1675">
        <v>0</v>
      </c>
      <c r="V1675">
        <v>0.20552842444613667</v>
      </c>
      <c r="W1675">
        <v>9.1618007471937726E-2</v>
      </c>
      <c r="X1675">
        <v>2.7811739215531706E-2</v>
      </c>
      <c r="Y1675">
        <v>4.1637911144337698E-3</v>
      </c>
    </row>
    <row r="1676" spans="1:25" x14ac:dyDescent="0.25">
      <c r="A1676" s="1098"/>
      <c r="B1676" s="1457">
        <v>1426</v>
      </c>
      <c r="C1676" s="1102">
        <v>1.0044016484880469</v>
      </c>
      <c r="D1676" s="1102">
        <v>1.0001855678910254</v>
      </c>
      <c r="E1676" s="1102">
        <v>0.98866539828732991</v>
      </c>
      <c r="F1676" s="1102">
        <v>1.021413228154751</v>
      </c>
      <c r="G1676" s="1102">
        <v>1.0460166918987632</v>
      </c>
      <c r="H1676" s="1102">
        <v>0.99868670815646265</v>
      </c>
      <c r="I1676" s="1102">
        <v>1.0146993721175988</v>
      </c>
      <c r="K1676">
        <v>1.5792534979946549</v>
      </c>
      <c r="L1676">
        <v>0</v>
      </c>
      <c r="M1676">
        <v>1.5912260104697308E-3</v>
      </c>
      <c r="N1676">
        <v>0.14148782010771516</v>
      </c>
      <c r="O1676">
        <v>0.12266495869267363</v>
      </c>
      <c r="P1676">
        <v>1.5856589016184749E-2</v>
      </c>
      <c r="Q1676">
        <v>8.8430526228972536E-4</v>
      </c>
      <c r="R1676">
        <v>1.5876108670845851E-3</v>
      </c>
      <c r="S1676">
        <v>0.12076275572305149</v>
      </c>
      <c r="T1676">
        <v>0.84368719901982381</v>
      </c>
      <c r="U1676">
        <v>0</v>
      </c>
      <c r="V1676">
        <v>0.20840182330941617</v>
      </c>
      <c r="W1676">
        <v>9.3578983478759009E-2</v>
      </c>
      <c r="X1676">
        <v>2.7611725103702675E-2</v>
      </c>
      <c r="Y1676">
        <v>4.320953424422562E-3</v>
      </c>
    </row>
    <row r="1677" spans="1:25" x14ac:dyDescent="0.25">
      <c r="A1677" s="1098"/>
      <c r="B1677" s="1457">
        <v>1427</v>
      </c>
      <c r="C1677" s="1102">
        <v>0.97661931544513125</v>
      </c>
      <c r="D1677" s="1102">
        <v>0.99446837389207932</v>
      </c>
      <c r="E1677" s="1102">
        <v>0.99255417054994477</v>
      </c>
      <c r="F1677" s="1102">
        <v>0.98675086259802158</v>
      </c>
      <c r="G1677" s="1102">
        <v>0.98199945808760769</v>
      </c>
      <c r="H1677" s="1102">
        <v>1.0086353077456667</v>
      </c>
      <c r="I1677" s="1102">
        <v>0.99223288162459489</v>
      </c>
      <c r="K1677">
        <v>1.5581754833417114</v>
      </c>
      <c r="L1677">
        <v>0</v>
      </c>
      <c r="M1677">
        <v>1.6371081533175711E-3</v>
      </c>
      <c r="N1677">
        <v>0.14729112448607451</v>
      </c>
      <c r="O1677">
        <v>0.12191791534705394</v>
      </c>
      <c r="P1677">
        <v>1.550353767125667E-2</v>
      </c>
      <c r="Q1677">
        <v>9.1525051993642382E-4</v>
      </c>
      <c r="R1677">
        <v>1.6334115284971158E-3</v>
      </c>
      <c r="S1677">
        <v>0.12229220643426349</v>
      </c>
      <c r="T1677">
        <v>0.81480161356073821</v>
      </c>
      <c r="U1677">
        <v>0</v>
      </c>
      <c r="V1677">
        <v>0.20628158319742779</v>
      </c>
      <c r="W1677">
        <v>9.7190674401587948E-2</v>
      </c>
      <c r="X1677">
        <v>2.7539666621588077E-2</v>
      </c>
      <c r="Y1677">
        <v>4.4456077266034925E-3</v>
      </c>
    </row>
    <row r="1678" spans="1:25" x14ac:dyDescent="0.25">
      <c r="A1678" s="1098"/>
      <c r="B1678" s="1457">
        <v>1428</v>
      </c>
      <c r="C1678" s="1102">
        <v>1.0351193130323528</v>
      </c>
      <c r="D1678" s="1102">
        <v>1.0112719309544316</v>
      </c>
      <c r="E1678" s="1102">
        <v>1.0077930113779874</v>
      </c>
      <c r="F1678" s="1102">
        <v>0.98327494835857909</v>
      </c>
      <c r="G1678" s="1102">
        <v>1.005543303661097</v>
      </c>
      <c r="H1678" s="1102">
        <v>1.0099175766629609</v>
      </c>
      <c r="I1678" s="1102">
        <v>1.0152963213745725</v>
      </c>
      <c r="K1678">
        <v>1.5279826874116842</v>
      </c>
      <c r="L1678">
        <v>0</v>
      </c>
      <c r="M1678">
        <v>1.490254668573551E-3</v>
      </c>
      <c r="N1678">
        <v>0.14039664908047447</v>
      </c>
      <c r="O1678">
        <v>0.11795388493477207</v>
      </c>
      <c r="P1678">
        <v>1.5498624705633242E-2</v>
      </c>
      <c r="Q1678">
        <v>8.7141535541422545E-4</v>
      </c>
      <c r="R1678">
        <v>1.4868980570660847E-3</v>
      </c>
      <c r="S1678">
        <v>0.11732956061627878</v>
      </c>
      <c r="T1678">
        <v>0.81094233646043945</v>
      </c>
      <c r="U1678">
        <v>0</v>
      </c>
      <c r="V1678">
        <v>0.20181936940400891</v>
      </c>
      <c r="W1678">
        <v>9.1806156733317448E-2</v>
      </c>
      <c r="X1678">
        <v>2.7321200377331923E-2</v>
      </c>
      <c r="Y1678">
        <v>4.0468463555211028E-3</v>
      </c>
    </row>
    <row r="1679" spans="1:25" x14ac:dyDescent="0.25">
      <c r="A1679" s="1098"/>
      <c r="B1679" s="1457">
        <v>1429</v>
      </c>
      <c r="C1679" s="1102">
        <v>1.03650819391142</v>
      </c>
      <c r="D1679" s="1102">
        <v>1.0214804674833877</v>
      </c>
      <c r="E1679" s="1102">
        <v>0.96604060297104888</v>
      </c>
      <c r="F1679" s="1102">
        <v>0.98295300026511434</v>
      </c>
      <c r="G1679" s="1102">
        <v>0.96514849718175988</v>
      </c>
      <c r="H1679" s="1102">
        <v>1.0036884841110758</v>
      </c>
      <c r="I1679" s="1102">
        <v>0.96002177485817075</v>
      </c>
      <c r="K1679">
        <v>1.5081829262732702</v>
      </c>
      <c r="L1679">
        <v>0</v>
      </c>
      <c r="M1679">
        <v>1.6035336597979167E-3</v>
      </c>
      <c r="N1679">
        <v>0.13314678739024732</v>
      </c>
      <c r="O1679">
        <v>0.11754991158869853</v>
      </c>
      <c r="P1679">
        <v>1.4916625007216562E-2</v>
      </c>
      <c r="Q1679">
        <v>8.2978483539530347E-4</v>
      </c>
      <c r="R1679">
        <v>1.5998935924764134E-3</v>
      </c>
      <c r="S1679">
        <v>0.10960915359075736</v>
      </c>
      <c r="T1679">
        <v>0.81340340052860749</v>
      </c>
      <c r="U1679">
        <v>0</v>
      </c>
      <c r="V1679">
        <v>0.19950925157699589</v>
      </c>
      <c r="W1679">
        <v>8.9276177262820319E-2</v>
      </c>
      <c r="X1679">
        <v>2.5591091605912691E-2</v>
      </c>
      <c r="Y1679">
        <v>4.35438295393978E-3</v>
      </c>
    </row>
    <row r="1680" spans="1:25" x14ac:dyDescent="0.25">
      <c r="A1680" s="1098"/>
      <c r="B1680" s="1457">
        <v>1430</v>
      </c>
      <c r="C1680" s="1102">
        <v>0.96585389574099823</v>
      </c>
      <c r="D1680" s="1102">
        <v>0.99302800483165765</v>
      </c>
      <c r="E1680" s="1102">
        <v>1.0048689403195841</v>
      </c>
      <c r="F1680" s="1102">
        <v>0.99139376077686037</v>
      </c>
      <c r="G1680" s="1102">
        <v>0.97795140259447277</v>
      </c>
      <c r="H1680" s="1102">
        <v>0.98629972956111689</v>
      </c>
      <c r="I1680" s="1102">
        <v>1.0009727043631873</v>
      </c>
      <c r="K1680">
        <v>1.5641286985970018</v>
      </c>
      <c r="L1680">
        <v>0</v>
      </c>
      <c r="M1680">
        <v>1.5784196407379581E-3</v>
      </c>
      <c r="N1680">
        <v>0.14738690167666957</v>
      </c>
      <c r="O1680">
        <v>0.12284830691707312</v>
      </c>
      <c r="P1680">
        <v>1.5712856515857458E-2</v>
      </c>
      <c r="Q1680">
        <v>9.3789571108784193E-4</v>
      </c>
      <c r="R1680">
        <v>1.5747739536232086E-3</v>
      </c>
      <c r="S1680">
        <v>0.12300098491589402</v>
      </c>
      <c r="T1680">
        <v>0.81782898984962515</v>
      </c>
      <c r="U1680">
        <v>0</v>
      </c>
      <c r="V1680">
        <v>0.20736417055718473</v>
      </c>
      <c r="W1680">
        <v>9.6543926347044479E-2</v>
      </c>
      <c r="X1680">
        <v>2.8222296216011706E-2</v>
      </c>
      <c r="Y1680">
        <v>4.2860155776680798E-3</v>
      </c>
    </row>
    <row r="1681" spans="1:25" x14ac:dyDescent="0.25">
      <c r="A1681" s="1098"/>
      <c r="B1681" s="1457">
        <v>1431</v>
      </c>
      <c r="C1681" s="1102">
        <v>1.0309593029284982</v>
      </c>
      <c r="D1681" s="1102">
        <v>0.97097591614312773</v>
      </c>
      <c r="E1681" s="1102">
        <v>0.96140262697893364</v>
      </c>
      <c r="F1681" s="1102">
        <v>1.0155580743698482</v>
      </c>
      <c r="G1681" s="1102">
        <v>0.9891188457055452</v>
      </c>
      <c r="H1681" s="1102">
        <v>0.9875128254043547</v>
      </c>
      <c r="I1681" s="1102">
        <v>0.99605167105112802</v>
      </c>
      <c r="K1681">
        <v>1.5572398889908183</v>
      </c>
      <c r="L1681">
        <v>0</v>
      </c>
      <c r="M1681">
        <v>1.6517022537599236E-3</v>
      </c>
      <c r="N1681">
        <v>0.13523125259483229</v>
      </c>
      <c r="O1681">
        <v>0.12230849081802186</v>
      </c>
      <c r="P1681">
        <v>1.5381426037844087E-2</v>
      </c>
      <c r="Q1681">
        <v>8.4718062411659706E-4</v>
      </c>
      <c r="R1681">
        <v>1.6479317153481974E-3</v>
      </c>
      <c r="S1681">
        <v>0.11674646829335544</v>
      </c>
      <c r="T1681">
        <v>0.84070086961618395</v>
      </c>
      <c r="U1681">
        <v>0</v>
      </c>
      <c r="V1681">
        <v>0.20420082058066116</v>
      </c>
      <c r="W1681">
        <v>9.093143297000561E-2</v>
      </c>
      <c r="X1681">
        <v>2.6410591105573936E-2</v>
      </c>
      <c r="Y1681">
        <v>4.4851268886338287E-3</v>
      </c>
    </row>
    <row r="1682" spans="1:25" x14ac:dyDescent="0.25">
      <c r="A1682" s="1098"/>
      <c r="B1682" s="1457">
        <v>1432</v>
      </c>
      <c r="C1682" s="1102">
        <v>0.98289070199634387</v>
      </c>
      <c r="D1682" s="1102">
        <v>0.99346413608079975</v>
      </c>
      <c r="E1682" s="1102">
        <v>0.97409966060775466</v>
      </c>
      <c r="F1682" s="1102">
        <v>0.99456803967838403</v>
      </c>
      <c r="G1682" s="1102">
        <v>0.97742538965330872</v>
      </c>
      <c r="H1682" s="1102">
        <v>1.0046893197467037</v>
      </c>
      <c r="I1682" s="1102">
        <v>1.005611447601896</v>
      </c>
      <c r="K1682">
        <v>1.5605451004926476</v>
      </c>
      <c r="L1682">
        <v>0</v>
      </c>
      <c r="M1682">
        <v>1.686176456344032E-3</v>
      </c>
      <c r="N1682">
        <v>0.14346825444214553</v>
      </c>
      <c r="O1682">
        <v>0.12224252851247147</v>
      </c>
      <c r="P1682">
        <v>1.5395068927849316E-2</v>
      </c>
      <c r="Q1682">
        <v>8.9238353171472592E-4</v>
      </c>
      <c r="R1682">
        <v>1.6823589271044825E-3</v>
      </c>
      <c r="S1682">
        <v>0.12295756273256341</v>
      </c>
      <c r="T1682">
        <v>0.82247810152032541</v>
      </c>
      <c r="U1682">
        <v>0</v>
      </c>
      <c r="V1682">
        <v>0.20593502348757703</v>
      </c>
      <c r="W1682">
        <v>9.5726152384384103E-2</v>
      </c>
      <c r="X1682">
        <v>2.6875016072748909E-2</v>
      </c>
      <c r="Y1682">
        <v>4.5788264101071299E-3</v>
      </c>
    </row>
    <row r="1683" spans="1:25" x14ac:dyDescent="0.25">
      <c r="A1683" s="1098"/>
      <c r="B1683" s="1457">
        <v>1433</v>
      </c>
      <c r="C1683" s="1102">
        <v>1.0014203972691633</v>
      </c>
      <c r="D1683" s="1102">
        <v>0.96998354425352629</v>
      </c>
      <c r="E1683" s="1102">
        <v>1.0301801659412086</v>
      </c>
      <c r="F1683" s="1102">
        <v>1.0090423393428256</v>
      </c>
      <c r="G1683" s="1102">
        <v>0.98398231003188097</v>
      </c>
      <c r="H1683" s="1102">
        <v>1.0090235923035564</v>
      </c>
      <c r="I1683" s="1102">
        <v>1.0268509979317986</v>
      </c>
      <c r="K1683">
        <v>1.5857949718389146</v>
      </c>
      <c r="L1683">
        <v>0</v>
      </c>
      <c r="M1683">
        <v>1.5034800957998741E-3</v>
      </c>
      <c r="N1683">
        <v>0.15154187883744558</v>
      </c>
      <c r="O1683">
        <v>0.12319964720858406</v>
      </c>
      <c r="P1683">
        <v>1.6209046879097532E-2</v>
      </c>
      <c r="Q1683">
        <v>9.371734501294074E-4</v>
      </c>
      <c r="R1683">
        <v>1.5001127309195348E-3</v>
      </c>
      <c r="S1683">
        <v>0.12568359688076997</v>
      </c>
      <c r="T1683">
        <v>0.83071626147330058</v>
      </c>
      <c r="U1683">
        <v>0</v>
      </c>
      <c r="V1683">
        <v>0.20622265688421579</v>
      </c>
      <c r="W1683">
        <v>9.7803603678111792E-2</v>
      </c>
      <c r="X1683">
        <v>2.9401661570605482E-2</v>
      </c>
      <c r="Y1683">
        <v>4.0828123415341299E-3</v>
      </c>
    </row>
    <row r="1684" spans="1:25" x14ac:dyDescent="0.25">
      <c r="A1684" s="1098"/>
      <c r="B1684" s="1457">
        <v>1434</v>
      </c>
      <c r="C1684" s="1102">
        <v>1.0099117162745319</v>
      </c>
      <c r="D1684" s="1102">
        <v>1.0332200041809196</v>
      </c>
      <c r="E1684" s="1102">
        <v>0.98159069483258854</v>
      </c>
      <c r="F1684" s="1102">
        <v>0.98854467460323892</v>
      </c>
      <c r="G1684" s="1102">
        <v>0.9848737546388453</v>
      </c>
      <c r="H1684" s="1102">
        <v>1.0230283902359043</v>
      </c>
      <c r="I1684" s="1102">
        <v>1.0232551038545439</v>
      </c>
      <c r="K1684">
        <v>1.5392629091027981</v>
      </c>
      <c r="L1684">
        <v>0</v>
      </c>
      <c r="M1684">
        <v>1.6116660064041033E-3</v>
      </c>
      <c r="N1684">
        <v>0.14027673682846867</v>
      </c>
      <c r="O1684">
        <v>0.11870377202713828</v>
      </c>
      <c r="P1684">
        <v>1.5330932427157343E-2</v>
      </c>
      <c r="Q1684">
        <v>8.6172827734707161E-4</v>
      </c>
      <c r="R1684">
        <v>1.6080646748376254E-3</v>
      </c>
      <c r="S1684">
        <v>0.12053214601898495</v>
      </c>
      <c r="T1684">
        <v>0.817002815253005</v>
      </c>
      <c r="U1684">
        <v>0</v>
      </c>
      <c r="V1684">
        <v>0.20251867298813281</v>
      </c>
      <c r="W1684">
        <v>9.3173552306527394E-2</v>
      </c>
      <c r="X1684">
        <v>2.6489532361071853E-2</v>
      </c>
      <c r="Y1684">
        <v>4.3766219465304224E-3</v>
      </c>
    </row>
    <row r="1685" spans="1:25" x14ac:dyDescent="0.25">
      <c r="A1685" s="1098"/>
      <c r="B1685" s="1457">
        <v>1435</v>
      </c>
      <c r="C1685" s="1102">
        <v>1.0249921595662332</v>
      </c>
      <c r="D1685" s="1102">
        <v>1.0295026293221718</v>
      </c>
      <c r="E1685" s="1102">
        <v>0.96143786678176124</v>
      </c>
      <c r="F1685" s="1102">
        <v>1.0020609823233508</v>
      </c>
      <c r="G1685" s="1102">
        <v>0.99058396125394976</v>
      </c>
      <c r="H1685" s="1102">
        <v>0.97478320163691567</v>
      </c>
      <c r="I1685" s="1102">
        <v>1.0410386959340627</v>
      </c>
      <c r="K1685">
        <v>1.5313522607931314</v>
      </c>
      <c r="L1685">
        <v>0</v>
      </c>
      <c r="M1685">
        <v>1.5838014619893102E-3</v>
      </c>
      <c r="N1685">
        <v>0.12967849945672691</v>
      </c>
      <c r="O1685">
        <v>0.11910368935457591</v>
      </c>
      <c r="P1685">
        <v>1.5217349414025064E-2</v>
      </c>
      <c r="Q1685">
        <v>8.3242591285451401E-4</v>
      </c>
      <c r="R1685">
        <v>1.580096999549731E-3</v>
      </c>
      <c r="S1685">
        <v>0.11738232474114546</v>
      </c>
      <c r="T1685">
        <v>0.82952531077567271</v>
      </c>
      <c r="U1685">
        <v>0</v>
      </c>
      <c r="V1685">
        <v>0.20231514483024327</v>
      </c>
      <c r="W1685">
        <v>8.7195799150159889E-2</v>
      </c>
      <c r="X1685">
        <v>2.5804918466229097E-2</v>
      </c>
      <c r="Y1685">
        <v>4.3005031539384555E-3</v>
      </c>
    </row>
    <row r="1686" spans="1:25" x14ac:dyDescent="0.25">
      <c r="A1686" s="1098"/>
      <c r="B1686" s="1457">
        <v>1436</v>
      </c>
      <c r="C1686" s="1102">
        <v>0.98333504292821239</v>
      </c>
      <c r="D1686" s="1102">
        <v>0.99907588090394928</v>
      </c>
      <c r="E1686" s="1102">
        <v>0.98652427887331406</v>
      </c>
      <c r="F1686" s="1102">
        <v>1.0247021818559297</v>
      </c>
      <c r="G1686" s="1102">
        <v>0.98545984775568474</v>
      </c>
      <c r="H1686" s="1102">
        <v>1.0050430117368629</v>
      </c>
      <c r="I1686" s="1102">
        <v>0.97280521779462625</v>
      </c>
      <c r="K1686">
        <v>1.5870901576313268</v>
      </c>
      <c r="L1686">
        <v>0</v>
      </c>
      <c r="M1686">
        <v>1.6418403336024457E-3</v>
      </c>
      <c r="N1686">
        <v>0.14504786980827364</v>
      </c>
      <c r="O1686">
        <v>0.12405293313703926</v>
      </c>
      <c r="P1686">
        <v>1.5832331498858699E-2</v>
      </c>
      <c r="Q1686">
        <v>9.0163435137996344E-4</v>
      </c>
      <c r="R1686">
        <v>1.6381296888622113E-3</v>
      </c>
      <c r="S1686">
        <v>0.11872917166912371</v>
      </c>
      <c r="T1686">
        <v>0.84654958853149065</v>
      </c>
      <c r="U1686">
        <v>0</v>
      </c>
      <c r="V1686">
        <v>0.20767580581477169</v>
      </c>
      <c r="W1686">
        <v>9.6056937563105613E-2</v>
      </c>
      <c r="X1686">
        <v>2.7789146898246613E-2</v>
      </c>
      <c r="Y1686">
        <v>4.4584490037761363E-3</v>
      </c>
    </row>
    <row r="1687" spans="1:25" x14ac:dyDescent="0.25">
      <c r="A1687" s="1098"/>
      <c r="B1687" s="1457">
        <v>1437</v>
      </c>
      <c r="C1687" s="1102">
        <v>1.0264973589974395</v>
      </c>
      <c r="D1687" s="1102">
        <v>0.95895437831848507</v>
      </c>
      <c r="E1687" s="1102">
        <v>0.99242376025759127</v>
      </c>
      <c r="F1687" s="1102">
        <v>1.0189769425584674</v>
      </c>
      <c r="G1687" s="1102">
        <v>0.98997120861744492</v>
      </c>
      <c r="H1687" s="1102">
        <v>1.0209641677894261</v>
      </c>
      <c r="I1687" s="1102">
        <v>1.0189593631949116</v>
      </c>
      <c r="K1687">
        <v>1.5843231227931351</v>
      </c>
      <c r="L1687">
        <v>0</v>
      </c>
      <c r="M1687">
        <v>1.6199117234282584E-3</v>
      </c>
      <c r="N1687">
        <v>0.14569447200347183</v>
      </c>
      <c r="O1687">
        <v>0.12323413962612437</v>
      </c>
      <c r="P1687">
        <v>1.5866096924448101E-2</v>
      </c>
      <c r="Q1687">
        <v>8.834169193347761E-4</v>
      </c>
      <c r="R1687">
        <v>1.6163422232823802E-3</v>
      </c>
      <c r="S1687">
        <v>0.12360893837644234</v>
      </c>
      <c r="T1687">
        <v>0.84142084523047211</v>
      </c>
      <c r="U1687">
        <v>0</v>
      </c>
      <c r="V1687">
        <v>0.20520747356551272</v>
      </c>
      <c r="W1687">
        <v>9.6144612585575745E-2</v>
      </c>
      <c r="X1687">
        <v>2.7867546357192397E-2</v>
      </c>
      <c r="Y1687">
        <v>4.3991507047039342E-3</v>
      </c>
    </row>
    <row r="1688" spans="1:25" x14ac:dyDescent="0.25">
      <c r="A1688" s="1098"/>
      <c r="B1688" s="1457">
        <v>1438</v>
      </c>
      <c r="C1688" s="1102">
        <v>1.0074775274605692</v>
      </c>
      <c r="D1688" s="1102">
        <v>1.0396755141162779</v>
      </c>
      <c r="E1688" s="1102">
        <v>1.0148879163815274</v>
      </c>
      <c r="F1688" s="1102">
        <v>1.0054157675849824</v>
      </c>
      <c r="G1688" s="1102">
        <v>1.0294655990298769</v>
      </c>
      <c r="H1688" s="1102">
        <v>1.0449102271583768</v>
      </c>
      <c r="I1688" s="1102">
        <v>0.99941119825749525</v>
      </c>
      <c r="K1688">
        <v>1.566425339340177</v>
      </c>
      <c r="L1688">
        <v>0</v>
      </c>
      <c r="M1688">
        <v>1.536219443071639E-3</v>
      </c>
      <c r="N1688">
        <v>0.14786967397748607</v>
      </c>
      <c r="O1688">
        <v>0.11962429330444067</v>
      </c>
      <c r="P1688">
        <v>1.5904278222437902E-2</v>
      </c>
      <c r="Q1688">
        <v>8.9195671642187794E-4</v>
      </c>
      <c r="R1688">
        <v>1.5328586521299438E-3</v>
      </c>
      <c r="S1688">
        <v>0.11940219781530499</v>
      </c>
      <c r="T1688">
        <v>0.82873438234280583</v>
      </c>
      <c r="U1688">
        <v>0</v>
      </c>
      <c r="V1688">
        <v>0.20546921660942843</v>
      </c>
      <c r="W1688">
        <v>9.6289545892203704E-2</v>
      </c>
      <c r="X1688">
        <v>2.8071219306210465E-2</v>
      </c>
      <c r="Y1688">
        <v>4.1719359443788363E-3</v>
      </c>
    </row>
    <row r="1689" spans="1:25" x14ac:dyDescent="0.25">
      <c r="A1689" s="1098"/>
      <c r="B1689" s="1457">
        <v>1439</v>
      </c>
      <c r="C1689" s="1102">
        <v>0.99284985622962496</v>
      </c>
      <c r="D1689" s="1102">
        <v>1.0191915488313079</v>
      </c>
      <c r="E1689" s="1102">
        <v>1.0113050093711724</v>
      </c>
      <c r="F1689" s="1102">
        <v>0.97014823854246768</v>
      </c>
      <c r="G1689" s="1102">
        <v>0.97512365980088578</v>
      </c>
      <c r="H1689" s="1102">
        <v>1.0276470151183932</v>
      </c>
      <c r="I1689" s="1102">
        <v>1.006563793750185</v>
      </c>
      <c r="K1689">
        <v>1.5365960292320231</v>
      </c>
      <c r="L1689">
        <v>0</v>
      </c>
      <c r="M1689">
        <v>1.5562626579547908E-3</v>
      </c>
      <c r="N1689">
        <v>0.14818210408569374</v>
      </c>
      <c r="O1689">
        <v>0.11877604527560365</v>
      </c>
      <c r="P1689">
        <v>1.5464836545581088E-2</v>
      </c>
      <c r="Q1689">
        <v>9.0897149069054382E-4</v>
      </c>
      <c r="R1689">
        <v>1.5527994043777419E-3</v>
      </c>
      <c r="S1689">
        <v>0.12179822126995984</v>
      </c>
      <c r="T1689">
        <v>0.79989239569721471</v>
      </c>
      <c r="U1689">
        <v>0</v>
      </c>
      <c r="V1689">
        <v>0.20300055482987042</v>
      </c>
      <c r="W1689">
        <v>9.6696577614434953E-2</v>
      </c>
      <c r="X1689">
        <v>2.7653577578020356E-2</v>
      </c>
      <c r="Y1689">
        <v>4.2262080985301315E-3</v>
      </c>
    </row>
    <row r="1690" spans="1:25" x14ac:dyDescent="0.25">
      <c r="A1690" s="1098"/>
      <c r="B1690" s="1457">
        <v>1440</v>
      </c>
      <c r="C1690" s="1102">
        <v>1.013483336576547</v>
      </c>
      <c r="D1690" s="1102">
        <v>1.004743032924126</v>
      </c>
      <c r="E1690" s="1102">
        <v>1.0193707477037965</v>
      </c>
      <c r="F1690" s="1102">
        <v>1.0139131399202288</v>
      </c>
      <c r="G1690" s="1102">
        <v>1.0166790215853849</v>
      </c>
      <c r="H1690" s="1102">
        <v>1.0400354419071416</v>
      </c>
      <c r="I1690" s="1102">
        <v>0.99594890912501799</v>
      </c>
      <c r="K1690">
        <v>1.5802526985364642</v>
      </c>
      <c r="L1690">
        <v>0</v>
      </c>
      <c r="M1690">
        <v>1.5370313756119668E-3</v>
      </c>
      <c r="N1690">
        <v>0.14996334911216891</v>
      </c>
      <c r="O1690">
        <v>0.1213953043955224</v>
      </c>
      <c r="P1690">
        <v>1.6069202135684635E-2</v>
      </c>
      <c r="Q1690">
        <v>9.0302524076017786E-4</v>
      </c>
      <c r="R1690">
        <v>1.5336759442648265E-3</v>
      </c>
      <c r="S1690">
        <v>0.12043564291097697</v>
      </c>
      <c r="T1690">
        <v>0.83544098241684672</v>
      </c>
      <c r="U1690">
        <v>0</v>
      </c>
      <c r="V1690">
        <v>0.20585692179851317</v>
      </c>
      <c r="W1690">
        <v>9.7396546331955394E-2</v>
      </c>
      <c r="X1690">
        <v>2.8620919281232719E-2</v>
      </c>
      <c r="Y1690">
        <v>4.1741603441497075E-3</v>
      </c>
    </row>
    <row r="1691" spans="1:25" x14ac:dyDescent="0.25">
      <c r="A1691" s="1098"/>
      <c r="B1691" s="1457">
        <v>1441</v>
      </c>
      <c r="C1691" s="1102">
        <v>1.0348570493977582</v>
      </c>
      <c r="D1691" s="1102">
        <v>0.98243201691489523</v>
      </c>
      <c r="E1691" s="1102">
        <v>0.99305487704547279</v>
      </c>
      <c r="F1691" s="1102">
        <v>0.98862206943631781</v>
      </c>
      <c r="G1691" s="1102">
        <v>1.0240902515310488</v>
      </c>
      <c r="H1691" s="1102">
        <v>0.97067991794309616</v>
      </c>
      <c r="I1691" s="1102">
        <v>0.96467483408248667</v>
      </c>
      <c r="K1691">
        <v>1.5221783363910557</v>
      </c>
      <c r="L1691">
        <v>0</v>
      </c>
      <c r="M1691">
        <v>1.5022587717002434E-3</v>
      </c>
      <c r="N1691">
        <v>0.13535348585297058</v>
      </c>
      <c r="O1691">
        <v>0.11962665380474213</v>
      </c>
      <c r="P1691">
        <v>1.5336044338825815E-2</v>
      </c>
      <c r="Q1691">
        <v>8.6841365363714545E-4</v>
      </c>
      <c r="R1691">
        <v>1.4987567797020696E-3</v>
      </c>
      <c r="S1691">
        <v>0.11052177654981643</v>
      </c>
      <c r="T1691">
        <v>0.81631395500206849</v>
      </c>
      <c r="U1691">
        <v>0</v>
      </c>
      <c r="V1691">
        <v>0.2037750811403988</v>
      </c>
      <c r="W1691">
        <v>8.9286846241291171E-2</v>
      </c>
      <c r="X1691">
        <v>2.7020459909993615E-2</v>
      </c>
      <c r="Y1691">
        <v>4.0791218893093889E-3</v>
      </c>
    </row>
    <row r="1692" spans="1:25" x14ac:dyDescent="0.25">
      <c r="A1692" s="1098"/>
      <c r="B1692" s="1457">
        <v>1442</v>
      </c>
      <c r="C1692" s="1102">
        <v>1.0180464393924007</v>
      </c>
      <c r="D1692" s="1102">
        <v>0.99857577754475058</v>
      </c>
      <c r="E1692" s="1102">
        <v>0.98994928420728245</v>
      </c>
      <c r="F1692" s="1102">
        <v>1.0054769337611393</v>
      </c>
      <c r="G1692" s="1102">
        <v>1.0192676432895524</v>
      </c>
      <c r="H1692" s="1102">
        <v>1.0063032274681996</v>
      </c>
      <c r="I1692" s="1102">
        <v>1.0240288788123995</v>
      </c>
      <c r="K1692">
        <v>1.5597782941337079</v>
      </c>
      <c r="L1692">
        <v>0</v>
      </c>
      <c r="M1692">
        <v>1.5787880317816327E-3</v>
      </c>
      <c r="N1692">
        <v>0.14093032899243932</v>
      </c>
      <c r="O1692">
        <v>0.12093331966481184</v>
      </c>
      <c r="P1692">
        <v>1.5653170872581508E-2</v>
      </c>
      <c r="Q1692">
        <v>8.741848452738009E-4</v>
      </c>
      <c r="R1692">
        <v>1.5752285193958585E-3</v>
      </c>
      <c r="S1692">
        <v>0.12095016476725813</v>
      </c>
      <c r="T1692">
        <v>0.8304381574620382</v>
      </c>
      <c r="U1692">
        <v>0</v>
      </c>
      <c r="V1692">
        <v>0.20529523495027216</v>
      </c>
      <c r="W1692">
        <v>9.3138560912694221E-2</v>
      </c>
      <c r="X1692">
        <v>2.7281478422872044E-2</v>
      </c>
      <c r="Y1692">
        <v>4.2872527558536653E-3</v>
      </c>
    </row>
    <row r="1693" spans="1:25" x14ac:dyDescent="0.25">
      <c r="A1693" s="1098"/>
      <c r="B1693" s="1457">
        <v>1443</v>
      </c>
      <c r="C1693" s="1102">
        <v>0.98883694891123997</v>
      </c>
      <c r="D1693" s="1102">
        <v>0.99759623122657304</v>
      </c>
      <c r="E1693" s="1102">
        <v>0.9954774554017396</v>
      </c>
      <c r="F1693" s="1102">
        <v>0.99387341956383879</v>
      </c>
      <c r="G1693" s="1102">
        <v>1.0227782212371834</v>
      </c>
      <c r="H1693" s="1102">
        <v>1.0182414057502656</v>
      </c>
      <c r="I1693" s="1102">
        <v>1.0053233730797029</v>
      </c>
      <c r="K1693">
        <v>1.56530269516408</v>
      </c>
      <c r="L1693">
        <v>0</v>
      </c>
      <c r="M1693">
        <v>1.6219683348815746E-3</v>
      </c>
      <c r="N1693">
        <v>0.14722756224602249</v>
      </c>
      <c r="O1693">
        <v>0.12163450591575141</v>
      </c>
      <c r="P1693">
        <v>1.5639516261932357E-2</v>
      </c>
      <c r="Q1693">
        <v>9.0555655325369043E-4</v>
      </c>
      <c r="R1693">
        <v>1.6183439905206839E-3</v>
      </c>
      <c r="S1693">
        <v>0.12304736565926506</v>
      </c>
      <c r="T1693">
        <v>0.82049065080114847</v>
      </c>
      <c r="U1693">
        <v>0</v>
      </c>
      <c r="V1693">
        <v>0.20733851493947933</v>
      </c>
      <c r="W1693">
        <v>9.6979290537424309E-2</v>
      </c>
      <c r="X1693">
        <v>2.7638757738920511E-2</v>
      </c>
      <c r="Y1693">
        <v>4.4045988552442036E-3</v>
      </c>
    </row>
    <row r="1694" spans="1:25" x14ac:dyDescent="0.25">
      <c r="A1694" s="1098"/>
      <c r="B1694" s="1457">
        <v>1444</v>
      </c>
      <c r="C1694" s="1102">
        <v>0.99621121195044093</v>
      </c>
      <c r="D1694" s="1102">
        <v>1.0241481026563335</v>
      </c>
      <c r="E1694" s="1102">
        <v>1.0069928928719045</v>
      </c>
      <c r="F1694" s="1102">
        <v>0.98272133887997604</v>
      </c>
      <c r="G1694" s="1102">
        <v>1.0169805204625355</v>
      </c>
      <c r="H1694" s="1102">
        <v>1.0241022566638573</v>
      </c>
      <c r="I1694" s="1102">
        <v>0.98136301376815205</v>
      </c>
      <c r="K1694">
        <v>1.5431282394389128</v>
      </c>
      <c r="L1694">
        <v>0</v>
      </c>
      <c r="M1694">
        <v>1.5572235836154508E-3</v>
      </c>
      <c r="N1694">
        <v>0.14635473814152117</v>
      </c>
      <c r="O1694">
        <v>0.1192961253774215</v>
      </c>
      <c r="P1694">
        <v>1.553579200842989E-2</v>
      </c>
      <c r="Q1694">
        <v>9.0013450270506109E-4</v>
      </c>
      <c r="R1694">
        <v>1.5537477117472524E-3</v>
      </c>
      <c r="S1694">
        <v>0.11782372370956763</v>
      </c>
      <c r="T1694">
        <v>0.81053747341441129</v>
      </c>
      <c r="U1694">
        <v>0</v>
      </c>
      <c r="V1694">
        <v>0.20510943161056852</v>
      </c>
      <c r="W1694">
        <v>9.5747441494920052E-2</v>
      </c>
      <c r="X1694">
        <v>2.7598065972654653E-2</v>
      </c>
      <c r="Y1694">
        <v>4.2287890785804999E-3</v>
      </c>
    </row>
    <row r="1695" spans="1:25" x14ac:dyDescent="0.25">
      <c r="A1695" s="1098"/>
      <c r="B1695" s="1457">
        <v>1445</v>
      </c>
      <c r="C1695" s="1102">
        <v>1.0195165394703576</v>
      </c>
      <c r="D1695" s="1102">
        <v>1.0203293097784443</v>
      </c>
      <c r="E1695" s="1102">
        <v>0.98322383401979607</v>
      </c>
      <c r="F1695" s="1102">
        <v>1.030060632116709</v>
      </c>
      <c r="G1695" s="1102">
        <v>1.0183693584988547</v>
      </c>
      <c r="H1695" s="1102">
        <v>0.95879615490540826</v>
      </c>
      <c r="I1695" s="1102">
        <v>0.98175752822085216</v>
      </c>
      <c r="K1695">
        <v>1.5565254744339505</v>
      </c>
      <c r="L1695">
        <v>0</v>
      </c>
      <c r="M1695">
        <v>1.5073714893157808E-3</v>
      </c>
      <c r="N1695">
        <v>0.13183093080822789</v>
      </c>
      <c r="O1695">
        <v>0.12161899378656507</v>
      </c>
      <c r="P1695">
        <v>1.572298915380832E-2</v>
      </c>
      <c r="Q1695">
        <v>8.5937509982690413E-4</v>
      </c>
      <c r="R1695">
        <v>1.5037982175080135E-3</v>
      </c>
      <c r="S1695">
        <v>0.11083867756178796</v>
      </c>
      <c r="T1695">
        <v>0.8512025149512602</v>
      </c>
      <c r="U1695">
        <v>0</v>
      </c>
      <c r="V1695">
        <v>0.20573681158348192</v>
      </c>
      <c r="W1695">
        <v>8.7477600897116273E-2</v>
      </c>
      <c r="X1695">
        <v>2.7148310842574089E-2</v>
      </c>
      <c r="Y1695">
        <v>4.0928430211076413E-3</v>
      </c>
    </row>
    <row r="1696" spans="1:25" x14ac:dyDescent="0.25">
      <c r="A1696" s="1098"/>
      <c r="B1696" s="1457">
        <v>1446</v>
      </c>
      <c r="C1696" s="1102">
        <v>1.0152219297893399</v>
      </c>
      <c r="D1696" s="1102">
        <v>1.0440257854884427</v>
      </c>
      <c r="E1696" s="1102">
        <v>0.9943571994315531</v>
      </c>
      <c r="F1696" s="1102">
        <v>0.99516462201518063</v>
      </c>
      <c r="G1696" s="1102">
        <v>1.0056235437551104</v>
      </c>
      <c r="H1696" s="1102">
        <v>1.0055067045828039</v>
      </c>
      <c r="I1696" s="1102">
        <v>0.95698320083105681</v>
      </c>
      <c r="K1696">
        <v>1.5298493090850482</v>
      </c>
      <c r="L1696">
        <v>0</v>
      </c>
      <c r="M1696">
        <v>1.5269280730971823E-3</v>
      </c>
      <c r="N1696">
        <v>0.1381265156910827</v>
      </c>
      <c r="O1696">
        <v>0.11840944130912347</v>
      </c>
      <c r="P1696">
        <v>1.5410006964342964E-2</v>
      </c>
      <c r="Q1696">
        <v>8.6510915354557206E-4</v>
      </c>
      <c r="R1696">
        <v>1.52345351982202E-3</v>
      </c>
      <c r="S1696">
        <v>0.11024972299775458</v>
      </c>
      <c r="T1696">
        <v>0.8216303790220959</v>
      </c>
      <c r="U1696">
        <v>0</v>
      </c>
      <c r="V1696">
        <v>0.20307529251594175</v>
      </c>
      <c r="W1696">
        <v>9.1045243714874519E-2</v>
      </c>
      <c r="X1696">
        <v>2.6894733994921465E-2</v>
      </c>
      <c r="Y1696">
        <v>4.1463382746377009E-3</v>
      </c>
    </row>
    <row r="1697" spans="1:25" x14ac:dyDescent="0.25">
      <c r="A1697" s="1098"/>
      <c r="B1697" s="1457">
        <v>1447</v>
      </c>
      <c r="C1697" s="1102">
        <v>1.0033511708706431</v>
      </c>
      <c r="D1697" s="1102">
        <v>0.97565817779635811</v>
      </c>
      <c r="E1697" s="1102">
        <v>0.96300178798854852</v>
      </c>
      <c r="F1697" s="1102">
        <v>1.0276633216432838</v>
      </c>
      <c r="G1697" s="1102">
        <v>0.98292485444645894</v>
      </c>
      <c r="H1697" s="1102">
        <v>0.97345288799379914</v>
      </c>
      <c r="I1697" s="1102">
        <v>0.99868083269008012</v>
      </c>
      <c r="K1697">
        <v>1.5766814191990897</v>
      </c>
      <c r="L1697">
        <v>0</v>
      </c>
      <c r="M1697">
        <v>1.6611235793840423E-3</v>
      </c>
      <c r="N1697">
        <v>0.13665800747016954</v>
      </c>
      <c r="O1697">
        <v>0.12434692303575186</v>
      </c>
      <c r="P1697">
        <v>1.5590916309320196E-2</v>
      </c>
      <c r="Q1697">
        <v>8.7028935779128694E-4</v>
      </c>
      <c r="R1697">
        <v>1.65726946789516E-3</v>
      </c>
      <c r="S1697">
        <v>0.11871988596985329</v>
      </c>
      <c r="T1697">
        <v>0.8506113638830558</v>
      </c>
      <c r="U1697">
        <v>0</v>
      </c>
      <c r="V1697">
        <v>0.20668312398439537</v>
      </c>
      <c r="W1697">
        <v>9.1800853873974506E-2</v>
      </c>
      <c r="X1697">
        <v>2.68933682533871E-2</v>
      </c>
      <c r="Y1697">
        <v>4.5105411728773607E-3</v>
      </c>
    </row>
    <row r="1698" spans="1:25" x14ac:dyDescent="0.25">
      <c r="A1698" s="1098"/>
      <c r="B1698" s="1457">
        <v>1448</v>
      </c>
      <c r="C1698" s="1102">
        <v>0.98392910261868227</v>
      </c>
      <c r="D1698" s="1102">
        <v>0.99760777554801061</v>
      </c>
      <c r="E1698" s="1102">
        <v>0.99375553918237058</v>
      </c>
      <c r="F1698" s="1102">
        <v>1.0382868162168781</v>
      </c>
      <c r="G1698" s="1102">
        <v>1.0125996698284663</v>
      </c>
      <c r="H1698" s="1102">
        <v>1.0123992602952279</v>
      </c>
      <c r="I1698" s="1102">
        <v>1.0047948990071254</v>
      </c>
      <c r="K1698">
        <v>1.6095367084440719</v>
      </c>
      <c r="L1698">
        <v>0</v>
      </c>
      <c r="M1698">
        <v>1.6313511665656004E-3</v>
      </c>
      <c r="N1698">
        <v>0.14730968237277298</v>
      </c>
      <c r="O1698">
        <v>0.12501686762617142</v>
      </c>
      <c r="P1698">
        <v>1.6153534841649553E-2</v>
      </c>
      <c r="Q1698">
        <v>9.0844131337169563E-4</v>
      </c>
      <c r="R1698">
        <v>1.6276957386115772E-3</v>
      </c>
      <c r="S1698">
        <v>0.12336385794939331</v>
      </c>
      <c r="T1698">
        <v>0.85727439471020384</v>
      </c>
      <c r="U1698">
        <v>0</v>
      </c>
      <c r="V1698">
        <v>0.20960995506225352</v>
      </c>
      <c r="W1698">
        <v>9.7133163008720574E-2</v>
      </c>
      <c r="X1698">
        <v>2.8340415756743977E-2</v>
      </c>
      <c r="Y1698">
        <v>4.4300512307446855E-3</v>
      </c>
    </row>
    <row r="1699" spans="1:25" x14ac:dyDescent="0.25">
      <c r="A1699" s="1098"/>
      <c r="B1699" s="1457">
        <v>1449</v>
      </c>
      <c r="C1699" s="1102">
        <v>0.97592220618838277</v>
      </c>
      <c r="D1699" s="1102">
        <v>0.9974159744706308</v>
      </c>
      <c r="E1699" s="1102">
        <v>1.0175383635766668</v>
      </c>
      <c r="F1699" s="1102">
        <v>1.0176923552179147</v>
      </c>
      <c r="G1699" s="1102">
        <v>0.97174207015674852</v>
      </c>
      <c r="H1699" s="1102">
        <v>1.0125137317422463</v>
      </c>
      <c r="I1699" s="1102">
        <v>0.99102119650736709</v>
      </c>
      <c r="K1699">
        <v>1.5931872050691023</v>
      </c>
      <c r="L1699">
        <v>0</v>
      </c>
      <c r="M1699">
        <v>1.5625205036539664E-3</v>
      </c>
      <c r="N1699">
        <v>0.15160030450990508</v>
      </c>
      <c r="O1699">
        <v>0.12394426048892346</v>
      </c>
      <c r="P1699">
        <v>1.6143859542109475E-2</v>
      </c>
      <c r="Q1699">
        <v>9.3876252476476994E-4</v>
      </c>
      <c r="R1699">
        <v>1.5590123659123805E-3</v>
      </c>
      <c r="S1699">
        <v>0.12256779716954752</v>
      </c>
      <c r="T1699">
        <v>0.83867695977255408</v>
      </c>
      <c r="U1699">
        <v>0</v>
      </c>
      <c r="V1699">
        <v>0.20745514761564021</v>
      </c>
      <c r="W1699">
        <v>9.8565436152922847E-2</v>
      </c>
      <c r="X1699">
        <v>2.9055067698749118E-2</v>
      </c>
      <c r="Y1699">
        <v>4.243117731725198E-3</v>
      </c>
    </row>
    <row r="1700" spans="1:25" x14ac:dyDescent="0.25">
      <c r="A1700" s="1098"/>
      <c r="B1700" s="1457">
        <v>1450</v>
      </c>
      <c r="C1700" s="1102">
        <v>0.99288587860090105</v>
      </c>
      <c r="D1700" s="1102">
        <v>1.027037833365271</v>
      </c>
      <c r="E1700" s="1102">
        <v>0.98883084936027932</v>
      </c>
      <c r="F1700" s="1102">
        <v>1.0459081670390173</v>
      </c>
      <c r="G1700" s="1102">
        <v>1.0339914515045341</v>
      </c>
      <c r="H1700" s="1102">
        <v>0.9844955515489574</v>
      </c>
      <c r="I1700" s="1102">
        <v>0.97187795682165068</v>
      </c>
      <c r="K1700">
        <v>1.5913018325868595</v>
      </c>
      <c r="L1700">
        <v>0</v>
      </c>
      <c r="M1700">
        <v>1.563970443642861E-3</v>
      </c>
      <c r="N1700">
        <v>0.13912819955162731</v>
      </c>
      <c r="O1700">
        <v>0.12376684057915781</v>
      </c>
      <c r="P1700">
        <v>1.6054453242801855E-2</v>
      </c>
      <c r="Q1700">
        <v>8.8528457365239866E-4</v>
      </c>
      <c r="R1700">
        <v>1.5603531606997228E-3</v>
      </c>
      <c r="S1700">
        <v>0.11415110076615401</v>
      </c>
      <c r="T1700">
        <v>0.86390852910832605</v>
      </c>
      <c r="U1700">
        <v>0</v>
      </c>
      <c r="V1700">
        <v>0.2092905583259464</v>
      </c>
      <c r="W1700">
        <v>9.2009219125982464E-2</v>
      </c>
      <c r="X1700">
        <v>2.7864497663008733E-2</v>
      </c>
      <c r="Y1700">
        <v>4.2467669331434617E-3</v>
      </c>
    </row>
    <row r="1701" spans="1:25" x14ac:dyDescent="0.25">
      <c r="A1701" s="1098"/>
      <c r="B1701" s="1457">
        <v>1451</v>
      </c>
      <c r="C1701" s="1102">
        <v>1.0377604511916416</v>
      </c>
      <c r="D1701" s="1102">
        <v>0.98624507750470713</v>
      </c>
      <c r="E1701" s="1102">
        <v>1.011334570464544</v>
      </c>
      <c r="F1701" s="1102">
        <v>1.0046065457984816</v>
      </c>
      <c r="G1701" s="1102">
        <v>0.9774548588975166</v>
      </c>
      <c r="H1701" s="1102">
        <v>1.0324911807918915</v>
      </c>
      <c r="I1701" s="1102">
        <v>1.0211180464929133</v>
      </c>
      <c r="K1701">
        <v>1.5624348707647178</v>
      </c>
      <c r="L1701">
        <v>0</v>
      </c>
      <c r="M1701">
        <v>1.5329473391283751E-3</v>
      </c>
      <c r="N1701">
        <v>0.14598031137819467</v>
      </c>
      <c r="O1701">
        <v>0.12038255917799366</v>
      </c>
      <c r="P1701">
        <v>1.5839160710870201E-2</v>
      </c>
      <c r="Q1701">
        <v>8.8116723558031012E-4</v>
      </c>
      <c r="R1701">
        <v>1.5295903304640937E-3</v>
      </c>
      <c r="S1701">
        <v>0.12140928031311095</v>
      </c>
      <c r="T1701">
        <v>0.82830150419037896</v>
      </c>
      <c r="U1701">
        <v>0</v>
      </c>
      <c r="V1701">
        <v>0.20218831824178365</v>
      </c>
      <c r="W1701">
        <v>9.5258133869814549E-2</v>
      </c>
      <c r="X1701">
        <v>2.8034752005446466E-2</v>
      </c>
      <c r="Y1701">
        <v>4.1630406502063408E-3</v>
      </c>
    </row>
    <row r="1702" spans="1:25" x14ac:dyDescent="0.25">
      <c r="A1702" s="1098"/>
      <c r="B1702" s="1457">
        <v>1452</v>
      </c>
      <c r="C1702" s="1102">
        <v>1.0124664395038721</v>
      </c>
      <c r="D1702" s="1102">
        <v>0.99141651254970986</v>
      </c>
      <c r="E1702" s="1102">
        <v>1.001340681971677</v>
      </c>
      <c r="F1702" s="1102">
        <v>1.0218140279738712</v>
      </c>
      <c r="G1702" s="1102">
        <v>0.96527177675901243</v>
      </c>
      <c r="H1702" s="1102">
        <v>1.0340361092289068</v>
      </c>
      <c r="I1702" s="1102">
        <v>0.99958565029432966</v>
      </c>
      <c r="K1702">
        <v>1.5860461907728645</v>
      </c>
      <c r="L1702">
        <v>0</v>
      </c>
      <c r="M1702">
        <v>1.601004764187508E-3</v>
      </c>
      <c r="N1702">
        <v>0.14792886383817119</v>
      </c>
      <c r="O1702">
        <v>0.12263425794870168</v>
      </c>
      <c r="P1702">
        <v>1.5956236522329539E-2</v>
      </c>
      <c r="Q1702">
        <v>8.9203401232786029E-4</v>
      </c>
      <c r="R1702">
        <v>1.5974990837393267E-3</v>
      </c>
      <c r="S1702">
        <v>0.1214989422678263</v>
      </c>
      <c r="T1702">
        <v>0.84316116991728418</v>
      </c>
      <c r="U1702">
        <v>0</v>
      </c>
      <c r="V1702">
        <v>0.20439735307849088</v>
      </c>
      <c r="W1702">
        <v>9.710184413485512E-2</v>
      </c>
      <c r="X1702">
        <v>2.8131128842819104E-2</v>
      </c>
      <c r="Y1702">
        <v>4.3478658905070234E-3</v>
      </c>
    </row>
    <row r="1703" spans="1:25" x14ac:dyDescent="0.25">
      <c r="A1703" s="1098"/>
      <c r="B1703" s="1457">
        <v>1453</v>
      </c>
      <c r="C1703" s="1102">
        <v>0.99561884357599351</v>
      </c>
      <c r="D1703" s="1102">
        <v>0.99009095576432371</v>
      </c>
      <c r="E1703" s="1102">
        <v>1.0176585768729167</v>
      </c>
      <c r="F1703" s="1102">
        <v>0.99125558291259597</v>
      </c>
      <c r="G1703" s="1102">
        <v>0.99788447675490699</v>
      </c>
      <c r="H1703" s="1102">
        <v>1.0227091300059921</v>
      </c>
      <c r="I1703" s="1102">
        <v>1.0413926569926513</v>
      </c>
      <c r="K1703">
        <v>1.569764295525272</v>
      </c>
      <c r="L1703">
        <v>0</v>
      </c>
      <c r="M1703">
        <v>1.5522368106655931E-3</v>
      </c>
      <c r="N1703">
        <v>0.15066078864059998</v>
      </c>
      <c r="O1703">
        <v>0.12136710710147119</v>
      </c>
      <c r="P1703">
        <v>1.589061784915366E-2</v>
      </c>
      <c r="Q1703">
        <v>9.230217880382256E-4</v>
      </c>
      <c r="R1703">
        <v>1.5487887838715616E-3</v>
      </c>
      <c r="S1703">
        <v>0.12760804363242423</v>
      </c>
      <c r="T1703">
        <v>0.8168827030841801</v>
      </c>
      <c r="U1703">
        <v>0</v>
      </c>
      <c r="V1703">
        <v>0.20576550145375699</v>
      </c>
      <c r="W1703">
        <v>9.7947692387321705E-2</v>
      </c>
      <c r="X1703">
        <v>2.8506975103506482E-2</v>
      </c>
      <c r="Y1703">
        <v>4.2152925116130018E-3</v>
      </c>
    </row>
    <row r="1704" spans="1:25" x14ac:dyDescent="0.25">
      <c r="A1704" s="1098"/>
      <c r="B1704" s="1457">
        <v>1454</v>
      </c>
      <c r="C1704" s="1102">
        <v>1.0101783142247291</v>
      </c>
      <c r="D1704" s="1102">
        <v>1.0169201438290592</v>
      </c>
      <c r="E1704" s="1102">
        <v>1.0309745615422752</v>
      </c>
      <c r="F1704" s="1102">
        <v>1.0439206932560976</v>
      </c>
      <c r="G1704" s="1102">
        <v>0.96102429183376747</v>
      </c>
      <c r="H1704" s="1102">
        <v>0.99267624665159093</v>
      </c>
      <c r="I1704" s="1102">
        <v>1.0245622191209078</v>
      </c>
      <c r="K1704">
        <v>1.595366031829256</v>
      </c>
      <c r="L1704">
        <v>0</v>
      </c>
      <c r="M1704">
        <v>1.4295773477422979E-3</v>
      </c>
      <c r="N1704">
        <v>0.14443146065406684</v>
      </c>
      <c r="O1704">
        <v>0.12304990485200312</v>
      </c>
      <c r="P1704">
        <v>1.651628721075513E-2</v>
      </c>
      <c r="Q1704">
        <v>9.1239168488531374E-4</v>
      </c>
      <c r="R1704">
        <v>1.4263071003549502E-3</v>
      </c>
      <c r="S1704">
        <v>0.11980082707992833</v>
      </c>
      <c r="T1704">
        <v>0.85937670707631286</v>
      </c>
      <c r="U1704">
        <v>0</v>
      </c>
      <c r="V1704">
        <v>0.20481305162583582</v>
      </c>
      <c r="W1704">
        <v>9.3171656896920793E-2</v>
      </c>
      <c r="X1704">
        <v>2.9415077250777546E-2</v>
      </c>
      <c r="Y1704">
        <v>3.881937745156906E-3</v>
      </c>
    </row>
    <row r="1705" spans="1:25" x14ac:dyDescent="0.25">
      <c r="A1705" s="1098"/>
      <c r="B1705" s="1457">
        <v>1455</v>
      </c>
      <c r="C1705" s="1102">
        <v>1.0199324443447313</v>
      </c>
      <c r="D1705" s="1102">
        <v>1.0168886541212567</v>
      </c>
      <c r="E1705" s="1102">
        <v>1.0223477101580496</v>
      </c>
      <c r="F1705" s="1102">
        <v>1.0419125770444084</v>
      </c>
      <c r="G1705" s="1102">
        <v>1.0233333250107872</v>
      </c>
      <c r="H1705" s="1102">
        <v>0.99675200961514454</v>
      </c>
      <c r="I1705" s="1102">
        <v>1.018705388685089</v>
      </c>
      <c r="K1705">
        <v>1.5909385213376903</v>
      </c>
      <c r="L1705">
        <v>0</v>
      </c>
      <c r="M1705">
        <v>1.4482653356684934E-3</v>
      </c>
      <c r="N1705">
        <v>0.14256395110501063</v>
      </c>
      <c r="O1705">
        <v>0.12244057718487934</v>
      </c>
      <c r="P1705">
        <v>1.6403580010328971E-2</v>
      </c>
      <c r="Q1705">
        <v>8.9574300717166263E-4</v>
      </c>
      <c r="R1705">
        <v>1.4449676002294542E-3</v>
      </c>
      <c r="S1705">
        <v>0.11832397619091314</v>
      </c>
      <c r="T1705">
        <v>0.85830920359365415</v>
      </c>
      <c r="U1705">
        <v>0</v>
      </c>
      <c r="V1705">
        <v>0.20669806183401473</v>
      </c>
      <c r="W1705">
        <v>9.2429851976329358E-2</v>
      </c>
      <c r="X1705">
        <v>2.8944148696441005E-2</v>
      </c>
      <c r="Y1705">
        <v>3.9327254743831757E-3</v>
      </c>
    </row>
    <row r="1706" spans="1:25" x14ac:dyDescent="0.25">
      <c r="A1706" s="1098"/>
      <c r="B1706" s="1457">
        <v>1456</v>
      </c>
      <c r="C1706" s="1102">
        <v>1.0224488375548768</v>
      </c>
      <c r="D1706" s="1102">
        <v>0.96892794898165935</v>
      </c>
      <c r="E1706" s="1102">
        <v>1.0365442581251598</v>
      </c>
      <c r="F1706" s="1102">
        <v>1.0416647700303205</v>
      </c>
      <c r="G1706" s="1102">
        <v>0.97992693538050935</v>
      </c>
      <c r="H1706" s="1102">
        <v>0.99976453121965692</v>
      </c>
      <c r="I1706" s="1102">
        <v>1.0045982461998584</v>
      </c>
      <c r="K1706">
        <v>1.6032291821329328</v>
      </c>
      <c r="L1706">
        <v>0</v>
      </c>
      <c r="M1706">
        <v>1.4464575827658728E-3</v>
      </c>
      <c r="N1706">
        <v>0.14861602659868348</v>
      </c>
      <c r="O1706">
        <v>0.1244294972210869</v>
      </c>
      <c r="P1706">
        <v>1.6573008220243171E-2</v>
      </c>
      <c r="Q1706">
        <v>9.2427102946371733E-4</v>
      </c>
      <c r="R1706">
        <v>1.4432015259811977E-3</v>
      </c>
      <c r="S1706">
        <v>0.12010360689718684</v>
      </c>
      <c r="T1706">
        <v>0.85714291758621597</v>
      </c>
      <c r="U1706">
        <v>0</v>
      </c>
      <c r="V1706">
        <v>0.20602345086173482</v>
      </c>
      <c r="W1706">
        <v>9.5562540783994412E-2</v>
      </c>
      <c r="X1706">
        <v>2.9929200188640839E-2</v>
      </c>
      <c r="Y1706">
        <v>3.9279188024656415E-3</v>
      </c>
    </row>
    <row r="1707" spans="1:25" x14ac:dyDescent="0.25">
      <c r="A1707" s="1098"/>
      <c r="B1707" s="1457">
        <v>1457</v>
      </c>
      <c r="C1707" s="1102">
        <v>0.98127721442483651</v>
      </c>
      <c r="D1707" s="1102">
        <v>0.98169418547516196</v>
      </c>
      <c r="E1707" s="1102">
        <v>1.0136014561843765</v>
      </c>
      <c r="F1707" s="1102">
        <v>1.0232022998960928</v>
      </c>
      <c r="G1707" s="1102">
        <v>1.0116128804315445</v>
      </c>
      <c r="H1707" s="1102">
        <v>0.96679815181794149</v>
      </c>
      <c r="I1707" s="1102">
        <v>0.98422303326150762</v>
      </c>
      <c r="K1707">
        <v>1.5857876399220705</v>
      </c>
      <c r="L1707">
        <v>0</v>
      </c>
      <c r="M1707">
        <v>1.5107851263415374E-3</v>
      </c>
      <c r="N1707">
        <v>0.14483538206060925</v>
      </c>
      <c r="O1707">
        <v>0.12477360563595354</v>
      </c>
      <c r="P1707">
        <v>1.6137441731935605E-2</v>
      </c>
      <c r="Q1707">
        <v>9.3579598503598053E-4</v>
      </c>
      <c r="R1707">
        <v>1.5072450286318861E-3</v>
      </c>
      <c r="S1707">
        <v>0.11859915670332059</v>
      </c>
      <c r="T1707">
        <v>0.84348158227470749</v>
      </c>
      <c r="U1707">
        <v>0</v>
      </c>
      <c r="V1707">
        <v>0.2095495477975437</v>
      </c>
      <c r="W1707">
        <v>9.4385014436106543E-2</v>
      </c>
      <c r="X1707">
        <v>2.8991429289821759E-2</v>
      </c>
      <c r="Y1707">
        <v>4.1022241047458411E-3</v>
      </c>
    </row>
    <row r="1708" spans="1:25" x14ac:dyDescent="0.25">
      <c r="A1708" s="1098"/>
      <c r="B1708" s="1457">
        <v>1458</v>
      </c>
      <c r="C1708" s="1102">
        <v>1.003544047575561</v>
      </c>
      <c r="D1708" s="1102">
        <v>1.0335952053314643</v>
      </c>
      <c r="E1708" s="1102">
        <v>1.0047624536150546</v>
      </c>
      <c r="F1708" s="1102">
        <v>0.97963999617547171</v>
      </c>
      <c r="G1708" s="1102">
        <v>1.0128428421316753</v>
      </c>
      <c r="H1708" s="1102">
        <v>0.97745293830500179</v>
      </c>
      <c r="I1708" s="1102">
        <v>0.97085386937002882</v>
      </c>
      <c r="K1708">
        <v>1.517287618496731</v>
      </c>
      <c r="L1708">
        <v>0</v>
      </c>
      <c r="M1708">
        <v>1.4750267969189325E-3</v>
      </c>
      <c r="N1708">
        <v>0.13768378941989823</v>
      </c>
      <c r="O1708">
        <v>0.11831806840611701</v>
      </c>
      <c r="P1708">
        <v>1.5374985987489062E-2</v>
      </c>
      <c r="Q1708">
        <v>8.8823140565506907E-4</v>
      </c>
      <c r="R1708">
        <v>1.4715730159265571E-3</v>
      </c>
      <c r="S1708">
        <v>0.11159044649955253</v>
      </c>
      <c r="T1708">
        <v>0.80813984446088782</v>
      </c>
      <c r="U1708">
        <v>0</v>
      </c>
      <c r="V1708">
        <v>0.20387334088721698</v>
      </c>
      <c r="W1708">
        <v>9.0193711869242743E-2</v>
      </c>
      <c r="X1708">
        <v>2.7223516696226687E-2</v>
      </c>
      <c r="Y1708">
        <v>4.0051366454377626E-3</v>
      </c>
    </row>
    <row r="1709" spans="1:25" x14ac:dyDescent="0.25">
      <c r="A1709" s="1098"/>
      <c r="B1709" s="1457">
        <v>1459</v>
      </c>
      <c r="C1709" s="1102">
        <v>0.99257952150668249</v>
      </c>
      <c r="D1709" s="1102">
        <v>1.0092395553764071</v>
      </c>
      <c r="E1709" s="1102">
        <v>0.98102127039812892</v>
      </c>
      <c r="F1709" s="1102">
        <v>1.0002954185752373</v>
      </c>
      <c r="G1709" s="1102">
        <v>0.98230946412870634</v>
      </c>
      <c r="H1709" s="1102">
        <v>1.0217679031904399</v>
      </c>
      <c r="I1709" s="1102">
        <v>1.0009682064637804</v>
      </c>
      <c r="K1709">
        <v>1.5630035917626981</v>
      </c>
      <c r="L1709">
        <v>0</v>
      </c>
      <c r="M1709">
        <v>1.6610806133662631E-3</v>
      </c>
      <c r="N1709">
        <v>0.14432959826963601</v>
      </c>
      <c r="O1709">
        <v>0.12142615205876055</v>
      </c>
      <c r="P1709">
        <v>1.5504166732079513E-2</v>
      </c>
      <c r="Q1709">
        <v>8.8452250796041245E-4</v>
      </c>
      <c r="R1709">
        <v>1.6573774566636991E-3</v>
      </c>
      <c r="S1709">
        <v>0.12152652899031689</v>
      </c>
      <c r="T1709">
        <v>0.82675240095630853</v>
      </c>
      <c r="U1709">
        <v>0</v>
      </c>
      <c r="V1709">
        <v>0.20515550717476724</v>
      </c>
      <c r="W1709">
        <v>9.5898446421401412E-2</v>
      </c>
      <c r="X1709">
        <v>2.7019136725461402E-2</v>
      </c>
      <c r="Y1709">
        <v>4.5108350827068357E-3</v>
      </c>
    </row>
    <row r="1710" spans="1:25" x14ac:dyDescent="0.25">
      <c r="A1710" s="1098"/>
      <c r="B1710" s="1457">
        <v>1460</v>
      </c>
      <c r="C1710" s="1102">
        <v>0.99089830623429653</v>
      </c>
      <c r="D1710" s="1102">
        <v>0.96978166736374805</v>
      </c>
      <c r="E1710" s="1102">
        <v>0.98018479548430382</v>
      </c>
      <c r="F1710" s="1102">
        <v>0.99448459844977399</v>
      </c>
      <c r="G1710" s="1102">
        <v>1.0091258752507732</v>
      </c>
      <c r="H1710" s="1102">
        <v>0.98796569678756418</v>
      </c>
      <c r="I1710" s="1102">
        <v>1.0287097710289221</v>
      </c>
      <c r="K1710">
        <v>1.5633222897037991</v>
      </c>
      <c r="L1710">
        <v>0</v>
      </c>
      <c r="M1710">
        <v>1.6474246912689258E-3</v>
      </c>
      <c r="N1710">
        <v>0.14277230570280824</v>
      </c>
      <c r="O1710">
        <v>0.12286823320482278</v>
      </c>
      <c r="P1710">
        <v>1.5510748391659553E-2</v>
      </c>
      <c r="Q1710">
        <v>8.9948238176896568E-4</v>
      </c>
      <c r="R1710">
        <v>1.6436490764484574E-3</v>
      </c>
      <c r="S1710">
        <v>0.1252360925744371</v>
      </c>
      <c r="T1710">
        <v>0.82200514558436799</v>
      </c>
      <c r="U1710">
        <v>0</v>
      </c>
      <c r="V1710">
        <v>0.20741005802542115</v>
      </c>
      <c r="W1710">
        <v>9.4911621253816802E-2</v>
      </c>
      <c r="X1710">
        <v>2.723890724219525E-2</v>
      </c>
      <c r="Y1710">
        <v>4.4734709573202693E-3</v>
      </c>
    </row>
    <row r="1711" spans="1:25" x14ac:dyDescent="0.25">
      <c r="A1711" s="1098"/>
      <c r="B1711" s="1457">
        <v>1461</v>
      </c>
      <c r="C1711" s="1102">
        <v>0.99529042641901877</v>
      </c>
      <c r="D1711" s="1102">
        <v>0.96368705115724052</v>
      </c>
      <c r="E1711" s="1102">
        <v>1.0082278294667684</v>
      </c>
      <c r="F1711" s="1102">
        <v>0.97063344971288967</v>
      </c>
      <c r="G1711" s="1102">
        <v>1.0104800250960182</v>
      </c>
      <c r="H1711" s="1102">
        <v>1.0152774016562642</v>
      </c>
      <c r="I1711" s="1102">
        <v>1.0046788302692846</v>
      </c>
      <c r="K1711">
        <v>1.5494092896555371</v>
      </c>
      <c r="L1711">
        <v>0</v>
      </c>
      <c r="M1711">
        <v>1.5934302023228272E-3</v>
      </c>
      <c r="N1711">
        <v>0.15031716881186991</v>
      </c>
      <c r="O1711">
        <v>0.12112379435647279</v>
      </c>
      <c r="P1711">
        <v>1.5515487951049513E-2</v>
      </c>
      <c r="Q1711">
        <v>9.2434377678499201E-4</v>
      </c>
      <c r="R1711">
        <v>1.589874525823969E-3</v>
      </c>
      <c r="S1711">
        <v>0.12438047659501675</v>
      </c>
      <c r="T1711">
        <v>0.80048868432689768</v>
      </c>
      <c r="U1711">
        <v>0</v>
      </c>
      <c r="V1711">
        <v>0.20607437479750332</v>
      </c>
      <c r="W1711">
        <v>9.826800138627613E-2</v>
      </c>
      <c r="X1711">
        <v>2.7993398972866113E-2</v>
      </c>
      <c r="Y1711">
        <v>4.327114357296262E-3</v>
      </c>
    </row>
    <row r="1712" spans="1:25" x14ac:dyDescent="0.25">
      <c r="A1712" s="1098"/>
      <c r="B1712" s="1457">
        <v>1462</v>
      </c>
      <c r="C1712" s="1102">
        <v>0.96799983850369886</v>
      </c>
      <c r="D1712" s="1102">
        <v>1.0275493638607429</v>
      </c>
      <c r="E1712" s="1102">
        <v>1.0233027074564065</v>
      </c>
      <c r="F1712" s="1102">
        <v>0.9715137241837043</v>
      </c>
      <c r="G1712" s="1102">
        <v>0.98887530849695737</v>
      </c>
      <c r="H1712" s="1102">
        <v>0.96461542577713011</v>
      </c>
      <c r="I1712" s="1102">
        <v>1.0047755879016975</v>
      </c>
      <c r="K1712">
        <v>1.5295045150200861</v>
      </c>
      <c r="L1712">
        <v>0</v>
      </c>
      <c r="M1712">
        <v>1.4521119210694948E-3</v>
      </c>
      <c r="N1712">
        <v>0.14334040099760342</v>
      </c>
      <c r="O1712">
        <v>0.11976874263525628</v>
      </c>
      <c r="P1712">
        <v>1.560299244107503E-2</v>
      </c>
      <c r="Q1712">
        <v>9.4078994038343023E-4</v>
      </c>
      <c r="R1712">
        <v>1.4486586005087673E-3</v>
      </c>
      <c r="S1712">
        <v>0.11889118193943364</v>
      </c>
      <c r="T1712">
        <v>0.80025530720703442</v>
      </c>
      <c r="U1712">
        <v>0</v>
      </c>
      <c r="V1712">
        <v>0.20562801139678227</v>
      </c>
      <c r="W1712">
        <v>9.2881460743468328E-2</v>
      </c>
      <c r="X1712">
        <v>2.8256309879205944E-2</v>
      </c>
      <c r="Y1712">
        <v>3.9427711604055511E-3</v>
      </c>
    </row>
    <row r="1713" spans="1:25" x14ac:dyDescent="0.25">
      <c r="A1713" s="1098"/>
      <c r="B1713" s="1457">
        <v>1463</v>
      </c>
      <c r="C1713" s="1102">
        <v>1.013045525093385</v>
      </c>
      <c r="D1713" s="1102">
        <v>1.001767159795639</v>
      </c>
      <c r="E1713" s="1102">
        <v>0.96519923325091939</v>
      </c>
      <c r="F1713" s="1102">
        <v>0.98051446943581699</v>
      </c>
      <c r="G1713" s="1102">
        <v>1.0239679879601653</v>
      </c>
      <c r="H1713" s="1102">
        <v>0.97144148473228509</v>
      </c>
      <c r="I1713" s="1102">
        <v>1.0018852777252469</v>
      </c>
      <c r="K1713">
        <v>1.5193384990619472</v>
      </c>
      <c r="L1713">
        <v>0</v>
      </c>
      <c r="M1713">
        <v>1.6054470840381476E-3</v>
      </c>
      <c r="N1713">
        <v>0.13295678418470452</v>
      </c>
      <c r="O1713">
        <v>0.11936394628985922</v>
      </c>
      <c r="P1713">
        <v>1.5028515393598754E-2</v>
      </c>
      <c r="Q1713">
        <v>8.5488696369464883E-4</v>
      </c>
      <c r="R1713">
        <v>1.6016870452417846E-3</v>
      </c>
      <c r="S1713">
        <v>0.11573903831323121</v>
      </c>
      <c r="T1713">
        <v>0.81144086666256499</v>
      </c>
      <c r="U1713">
        <v>0</v>
      </c>
      <c r="V1713">
        <v>0.20448537201530961</v>
      </c>
      <c r="W1713">
        <v>8.9194601048000297E-2</v>
      </c>
      <c r="X1713">
        <v>2.5918984088624867E-2</v>
      </c>
      <c r="Y1713">
        <v>4.3592641411555749E-3</v>
      </c>
    </row>
    <row r="1714" spans="1:25" x14ac:dyDescent="0.25">
      <c r="A1714" s="1098"/>
      <c r="B1714" s="1457">
        <v>1464</v>
      </c>
      <c r="C1714" s="1102">
        <v>0.99713041904567323</v>
      </c>
      <c r="D1714" s="1102">
        <v>0.97243158070014601</v>
      </c>
      <c r="E1714" s="1102">
        <v>1.0120449703575396</v>
      </c>
      <c r="F1714" s="1102">
        <v>1.0136209975397892</v>
      </c>
      <c r="G1714" s="1102">
        <v>0.990503733062986</v>
      </c>
      <c r="H1714" s="1102">
        <v>1.0065971322418739</v>
      </c>
      <c r="I1714" s="1102">
        <v>0.99674709351941149</v>
      </c>
      <c r="K1714">
        <v>1.5847140920497527</v>
      </c>
      <c r="L1714">
        <v>0</v>
      </c>
      <c r="M1714">
        <v>1.5620669745916482E-3</v>
      </c>
      <c r="N1714">
        <v>0.14906428600484489</v>
      </c>
      <c r="O1714">
        <v>0.12368520346011737</v>
      </c>
      <c r="P1714">
        <v>1.6025088695802169E-2</v>
      </c>
      <c r="Q1714">
        <v>9.2293624904229554E-4</v>
      </c>
      <c r="R1714">
        <v>1.5585585931329443E-3</v>
      </c>
      <c r="S1714">
        <v>0.12211069689605418</v>
      </c>
      <c r="T1714">
        <v>0.83568668698715853</v>
      </c>
      <c r="U1714">
        <v>0</v>
      </c>
      <c r="V1714">
        <v>0.20700959537770561</v>
      </c>
      <c r="W1714">
        <v>9.7229869171535963E-2</v>
      </c>
      <c r="X1714">
        <v>2.8741354877143944E-2</v>
      </c>
      <c r="Y1714">
        <v>4.2418827118057287E-3</v>
      </c>
    </row>
    <row r="1715" spans="1:25" x14ac:dyDescent="0.25">
      <c r="A1715" s="1098"/>
      <c r="B1715" s="1457">
        <v>1465</v>
      </c>
      <c r="C1715" s="1102">
        <v>1.0161743198982676</v>
      </c>
      <c r="D1715" s="1102">
        <v>1.0264442366521456</v>
      </c>
      <c r="E1715" s="1102">
        <v>0.97511159284902116</v>
      </c>
      <c r="F1715" s="1102">
        <v>1.0038331786264825</v>
      </c>
      <c r="G1715" s="1102">
        <v>0.99863984886660728</v>
      </c>
      <c r="H1715" s="1102">
        <v>0.97478213814105485</v>
      </c>
      <c r="I1715" s="1102">
        <v>0.9707904145189975</v>
      </c>
      <c r="K1715">
        <v>1.532000621838902</v>
      </c>
      <c r="L1715">
        <v>0</v>
      </c>
      <c r="M1715">
        <v>1.5549851611419451E-3</v>
      </c>
      <c r="N1715">
        <v>0.13270175889555666</v>
      </c>
      <c r="O1715">
        <v>0.11975066427268809</v>
      </c>
      <c r="P1715">
        <v>1.5311636954028762E-2</v>
      </c>
      <c r="Q1715">
        <v>8.5285887089865187E-4</v>
      </c>
      <c r="R1715">
        <v>1.55134820420509E-3</v>
      </c>
      <c r="S1715">
        <v>0.11059791714838141</v>
      </c>
      <c r="T1715">
        <v>0.83007220492247535</v>
      </c>
      <c r="U1715">
        <v>0</v>
      </c>
      <c r="V1715">
        <v>0.20359180616215158</v>
      </c>
      <c r="W1715">
        <v>8.8488119177629332E-2</v>
      </c>
      <c r="X1715">
        <v>2.6415033981978326E-2</v>
      </c>
      <c r="Y1715">
        <v>4.2222584100481825E-3</v>
      </c>
    </row>
    <row r="1716" spans="1:25" x14ac:dyDescent="0.25">
      <c r="A1716" s="1098"/>
      <c r="B1716" s="1457">
        <v>1466</v>
      </c>
      <c r="C1716" s="1102">
        <v>1.0112554818206902</v>
      </c>
      <c r="D1716" s="1102">
        <v>0.97952442252354832</v>
      </c>
      <c r="E1716" s="1102">
        <v>1.0118021295253508</v>
      </c>
      <c r="F1716" s="1102">
        <v>0.99844312849799166</v>
      </c>
      <c r="G1716" s="1102">
        <v>0.99583431203735151</v>
      </c>
      <c r="H1716" s="1102">
        <v>1.040578641970503</v>
      </c>
      <c r="I1716" s="1102">
        <v>0.97806215913663941</v>
      </c>
      <c r="K1716">
        <v>1.569338839086341</v>
      </c>
      <c r="L1716">
        <v>0</v>
      </c>
      <c r="M1716">
        <v>1.5863062760188317E-3</v>
      </c>
      <c r="N1716">
        <v>0.15127714008131693</v>
      </c>
      <c r="O1716">
        <v>0.12156477039328893</v>
      </c>
      <c r="P1716">
        <v>1.5797930673748028E-2</v>
      </c>
      <c r="Q1716">
        <v>9.0717618275223033E-4</v>
      </c>
      <c r="R1716">
        <v>1.5828551996871162E-3</v>
      </c>
      <c r="S1716">
        <v>0.12026487676984658</v>
      </c>
      <c r="T1716">
        <v>0.82318910276022472</v>
      </c>
      <c r="U1716">
        <v>0</v>
      </c>
      <c r="V1716">
        <v>0.2050470578580095</v>
      </c>
      <c r="W1716">
        <v>9.8687352525862609E-2</v>
      </c>
      <c r="X1716">
        <v>2.8298872852151723E-2</v>
      </c>
      <c r="Y1716">
        <v>4.3080100654719865E-3</v>
      </c>
    </row>
    <row r="1717" spans="1:25" x14ac:dyDescent="0.25">
      <c r="A1717" s="1098"/>
      <c r="B1717" s="1457">
        <v>1467</v>
      </c>
      <c r="C1717" s="1102">
        <v>0.99993513413518387</v>
      </c>
      <c r="D1717" s="1102">
        <v>0.98893686261504155</v>
      </c>
      <c r="E1717" s="1102">
        <v>1.0328531963470997</v>
      </c>
      <c r="F1717" s="1102">
        <v>1.0106246489269353</v>
      </c>
      <c r="G1717" s="1102">
        <v>1.0229468679826361</v>
      </c>
      <c r="H1717" s="1102">
        <v>1.0315824317076998</v>
      </c>
      <c r="I1717" s="1102">
        <v>1.0242359343211105</v>
      </c>
      <c r="K1717">
        <v>1.5916809239196315</v>
      </c>
      <c r="L1717">
        <v>0</v>
      </c>
      <c r="M1717">
        <v>1.5141469043176245E-3</v>
      </c>
      <c r="N1717">
        <v>0.15385812022432158</v>
      </c>
      <c r="O1717">
        <v>0.12251985012399597</v>
      </c>
      <c r="P1717">
        <v>1.6279426062901219E-2</v>
      </c>
      <c r="Q1717">
        <v>9.3387028316419831E-4</v>
      </c>
      <c r="R1717">
        <v>1.5108191325316309E-3</v>
      </c>
      <c r="S1717">
        <v>0.12596000127804427</v>
      </c>
      <c r="T1717">
        <v>0.83184335162940404</v>
      </c>
      <c r="U1717">
        <v>0</v>
      </c>
      <c r="V1717">
        <v>0.20760297059256322</v>
      </c>
      <c r="W1717">
        <v>9.9144710523700566E-2</v>
      </c>
      <c r="X1717">
        <v>2.9429999335964206E-2</v>
      </c>
      <c r="Y1717">
        <v>4.1119516373579112E-3</v>
      </c>
    </row>
    <row r="1718" spans="1:25" x14ac:dyDescent="0.25">
      <c r="A1718" s="1098"/>
      <c r="B1718" s="1457">
        <v>1468</v>
      </c>
      <c r="C1718" s="1102">
        <v>1.0373633669746241</v>
      </c>
      <c r="D1718" s="1102">
        <v>0.97239429666167787</v>
      </c>
      <c r="E1718" s="1102">
        <v>1.0211751059336827</v>
      </c>
      <c r="F1718" s="1102">
        <v>1.0188050341516477</v>
      </c>
      <c r="G1718" s="1102">
        <v>1.0113214558716805</v>
      </c>
      <c r="H1718" s="1102">
        <v>1.0024115411075081</v>
      </c>
      <c r="I1718" s="1102">
        <v>1.0078688120006714</v>
      </c>
      <c r="K1718">
        <v>1.5726992439935719</v>
      </c>
      <c r="L1718">
        <v>0</v>
      </c>
      <c r="M1718">
        <v>1.472020061565001E-3</v>
      </c>
      <c r="N1718">
        <v>0.14439490944147015</v>
      </c>
      <c r="O1718">
        <v>0.12198027589502836</v>
      </c>
      <c r="P1718">
        <v>1.610668479160058E-2</v>
      </c>
      <c r="Q1718">
        <v>8.9551815539670103E-4</v>
      </c>
      <c r="R1718">
        <v>1.4687111239386004E-3</v>
      </c>
      <c r="S1718">
        <v>0.11863743364991886</v>
      </c>
      <c r="T1718">
        <v>0.83935164134806173</v>
      </c>
      <c r="U1718">
        <v>0</v>
      </c>
      <c r="V1718">
        <v>0.20491810412683217</v>
      </c>
      <c r="W1718">
        <v>9.3681092397797663E-2</v>
      </c>
      <c r="X1718">
        <v>2.8739545606223212E-2</v>
      </c>
      <c r="Y1718">
        <v>3.9973475188689843E-3</v>
      </c>
    </row>
    <row r="1719" spans="1:25" x14ac:dyDescent="0.25">
      <c r="A1719" s="1098"/>
      <c r="B1719" s="1457">
        <v>1469</v>
      </c>
      <c r="C1719" s="1102">
        <v>0.99580296569650362</v>
      </c>
      <c r="D1719" s="1102">
        <v>0.96380078599684571</v>
      </c>
      <c r="E1719" s="1102">
        <v>0.95467371830877135</v>
      </c>
      <c r="F1719" s="1102">
        <v>1.0324556195448766</v>
      </c>
      <c r="G1719" s="1102">
        <v>0.97478868939543983</v>
      </c>
      <c r="H1719" s="1102">
        <v>0.98330831568877963</v>
      </c>
      <c r="I1719" s="1102">
        <v>1.0105636896594405</v>
      </c>
      <c r="K1719">
        <v>1.5918021833736262</v>
      </c>
      <c r="L1719">
        <v>0</v>
      </c>
      <c r="M1719">
        <v>1.7315556328645284E-3</v>
      </c>
      <c r="N1719">
        <v>0.13890605757482838</v>
      </c>
      <c r="O1719">
        <v>0.12565432392221301</v>
      </c>
      <c r="P1719">
        <v>1.5614731257409168E-2</v>
      </c>
      <c r="Q1719">
        <v>8.7344148879223203E-4</v>
      </c>
      <c r="R1719">
        <v>1.7275857178763575E-3</v>
      </c>
      <c r="S1719">
        <v>0.12271030241058552</v>
      </c>
      <c r="T1719">
        <v>0.85515703920756236</v>
      </c>
      <c r="U1719">
        <v>0</v>
      </c>
      <c r="V1719">
        <v>0.20756834235813959</v>
      </c>
      <c r="W1719">
        <v>9.3789403865060184E-2</v>
      </c>
      <c r="X1719">
        <v>2.6830592378441251E-2</v>
      </c>
      <c r="Y1719">
        <v>4.701918825580605E-3</v>
      </c>
    </row>
    <row r="1720" spans="1:25" x14ac:dyDescent="0.25">
      <c r="A1720" s="1098"/>
      <c r="B1720" s="1457">
        <v>1470</v>
      </c>
      <c r="C1720" s="1102">
        <v>1.0007895635701798</v>
      </c>
      <c r="D1720" s="1102">
        <v>0.98548562743697921</v>
      </c>
      <c r="E1720" s="1102">
        <v>0.98589713354539776</v>
      </c>
      <c r="F1720" s="1102">
        <v>1.0065237045783268</v>
      </c>
      <c r="G1720" s="1102">
        <v>0.95810486166687447</v>
      </c>
      <c r="H1720" s="1102">
        <v>0.96183246692106616</v>
      </c>
      <c r="I1720" s="1102">
        <v>1.0188250793270206</v>
      </c>
      <c r="K1720">
        <v>1.554543388171872</v>
      </c>
      <c r="L1720">
        <v>0</v>
      </c>
      <c r="M1720">
        <v>1.5577788367781315E-3</v>
      </c>
      <c r="N1720">
        <v>0.13734744748680791</v>
      </c>
      <c r="O1720">
        <v>0.12247767844753581</v>
      </c>
      <c r="P1720">
        <v>1.5591331642387046E-2</v>
      </c>
      <c r="Q1720">
        <v>8.9019262867061539E-4</v>
      </c>
      <c r="R1720">
        <v>1.5541081177135947E-3</v>
      </c>
      <c r="S1720">
        <v>0.11965517112163834</v>
      </c>
      <c r="T1720">
        <v>0.83157353504868015</v>
      </c>
      <c r="U1720">
        <v>0</v>
      </c>
      <c r="V1720">
        <v>0.20441571558691546</v>
      </c>
      <c r="W1720">
        <v>9.0991668338068987E-2</v>
      </c>
      <c r="X1720">
        <v>2.7374548605418131E-2</v>
      </c>
      <c r="Y1720">
        <v>4.2297699848130883E-3</v>
      </c>
    </row>
    <row r="1721" spans="1:25" x14ac:dyDescent="0.25">
      <c r="A1721" s="1098"/>
      <c r="B1721" s="1457">
        <v>1471</v>
      </c>
      <c r="C1721" s="1102">
        <v>0.99686231589418506</v>
      </c>
      <c r="D1721" s="1102">
        <v>1.0267906089072498</v>
      </c>
      <c r="E1721" s="1102">
        <v>1.02466332114001</v>
      </c>
      <c r="F1721" s="1102">
        <v>1.0257545645760846</v>
      </c>
      <c r="G1721" s="1102">
        <v>0.99566930046484814</v>
      </c>
      <c r="H1721" s="1102">
        <v>0.98382229387058906</v>
      </c>
      <c r="I1721" s="1102">
        <v>0.98027739222547317</v>
      </c>
      <c r="K1721">
        <v>1.5734784206991708</v>
      </c>
      <c r="L1721">
        <v>0</v>
      </c>
      <c r="M1721">
        <v>1.4436113197734309E-3</v>
      </c>
      <c r="N1721">
        <v>0.14309601445054099</v>
      </c>
      <c r="O1721">
        <v>0.12208314707532614</v>
      </c>
      <c r="P1721">
        <v>1.6187013492035898E-2</v>
      </c>
      <c r="Q1721">
        <v>9.1509460760025503E-4</v>
      </c>
      <c r="R1721">
        <v>1.4402664816205257E-3</v>
      </c>
      <c r="S1721">
        <v>0.11462365696788664</v>
      </c>
      <c r="T1721">
        <v>0.84484352218109049</v>
      </c>
      <c r="U1721">
        <v>0</v>
      </c>
      <c r="V1721">
        <v>0.20626492528170695</v>
      </c>
      <c r="W1721">
        <v>9.2649552978237487E-2</v>
      </c>
      <c r="X1721">
        <v>2.8898907923645106E-2</v>
      </c>
      <c r="Y1721">
        <v>3.9199305792530052E-3</v>
      </c>
    </row>
    <row r="1722" spans="1:25" x14ac:dyDescent="0.25">
      <c r="A1722" s="1098"/>
      <c r="B1722" s="1457">
        <v>1472</v>
      </c>
      <c r="C1722" s="1102">
        <v>1.006492506343081</v>
      </c>
      <c r="D1722" s="1102">
        <v>0.96887473315878314</v>
      </c>
      <c r="E1722" s="1102">
        <v>1.0024631550233296</v>
      </c>
      <c r="F1722" s="1102">
        <v>1.0145771912743331</v>
      </c>
      <c r="G1722" s="1102">
        <v>1.0273755598611052</v>
      </c>
      <c r="H1722" s="1102">
        <v>1.0025753715504371</v>
      </c>
      <c r="I1722" s="1102">
        <v>1.0143979402081875</v>
      </c>
      <c r="K1722">
        <v>1.5832287533357843</v>
      </c>
      <c r="L1722">
        <v>0</v>
      </c>
      <c r="M1722">
        <v>1.5768270321481442E-3</v>
      </c>
      <c r="N1722">
        <v>0.14618064485959617</v>
      </c>
      <c r="O1722">
        <v>0.12346180046813106</v>
      </c>
      <c r="P1722">
        <v>1.5958556644188552E-2</v>
      </c>
      <c r="Q1722">
        <v>9.0667538515178797E-4</v>
      </c>
      <c r="R1722">
        <v>1.5732762311337677E-3</v>
      </c>
      <c r="S1722">
        <v>0.12310389644172486</v>
      </c>
      <c r="T1722">
        <v>0.83711450467962112</v>
      </c>
      <c r="U1722">
        <v>0</v>
      </c>
      <c r="V1722">
        <v>0.20802582726596749</v>
      </c>
      <c r="W1722">
        <v>9.5890400083863334E-2</v>
      </c>
      <c r="X1722">
        <v>2.8308059037777899E-2</v>
      </c>
      <c r="Y1722">
        <v>4.2819392707759071E-3</v>
      </c>
    </row>
    <row r="1723" spans="1:25" x14ac:dyDescent="0.25">
      <c r="A1723" s="1098"/>
      <c r="B1723" s="1457">
        <v>1473</v>
      </c>
      <c r="C1723" s="1102">
        <v>0.98741347948322555</v>
      </c>
      <c r="D1723" s="1102">
        <v>1.0275113798001703</v>
      </c>
      <c r="E1723" s="1102">
        <v>1.0170197467185809</v>
      </c>
      <c r="F1723" s="1102">
        <v>1.0011625645440465</v>
      </c>
      <c r="G1723" s="1102">
        <v>1.0051619275993708</v>
      </c>
      <c r="H1723" s="1102">
        <v>0.99179186963401211</v>
      </c>
      <c r="I1723" s="1102">
        <v>1.0002700147329251</v>
      </c>
      <c r="K1723">
        <v>1.5577232730758044</v>
      </c>
      <c r="L1723">
        <v>0</v>
      </c>
      <c r="M1723">
        <v>1.4885214667862282E-3</v>
      </c>
      <c r="N1723">
        <v>0.14418633281118276</v>
      </c>
      <c r="O1723">
        <v>0.12086288526594467</v>
      </c>
      <c r="P1723">
        <v>1.5875950529952786E-2</v>
      </c>
      <c r="Q1723">
        <v>9.1638163535820243E-4</v>
      </c>
      <c r="R1723">
        <v>1.4850914432729099E-3</v>
      </c>
      <c r="S1723">
        <v>0.11845462181128308</v>
      </c>
      <c r="T1723">
        <v>0.82508879898870968</v>
      </c>
      <c r="U1723">
        <v>0</v>
      </c>
      <c r="V1723">
        <v>0.20620081833783824</v>
      </c>
      <c r="W1723">
        <v>9.377362954362102E-2</v>
      </c>
      <c r="X1723">
        <v>2.8325354827099771E-2</v>
      </c>
      <c r="Y1723">
        <v>4.0419293483261575E-3</v>
      </c>
    </row>
    <row r="1724" spans="1:25" x14ac:dyDescent="0.25">
      <c r="A1724" s="1098"/>
      <c r="B1724" s="1457">
        <v>1474</v>
      </c>
      <c r="C1724" s="1102">
        <v>1.0123089146641466</v>
      </c>
      <c r="D1724" s="1102">
        <v>0.98150320198219565</v>
      </c>
      <c r="E1724" s="1102">
        <v>0.99015789479814664</v>
      </c>
      <c r="F1724" s="1102">
        <v>0.98867228754346859</v>
      </c>
      <c r="G1724" s="1102">
        <v>0.98076474535851377</v>
      </c>
      <c r="H1724" s="1102">
        <v>0.95894696420908376</v>
      </c>
      <c r="I1724" s="1102">
        <v>1.0004825140666385</v>
      </c>
      <c r="K1724">
        <v>1.5308927767396427</v>
      </c>
      <c r="L1724">
        <v>0</v>
      </c>
      <c r="M1724">
        <v>1.5246187139641312E-3</v>
      </c>
      <c r="N1724">
        <v>0.13616595754038349</v>
      </c>
      <c r="O1724">
        <v>0.12079461037540709</v>
      </c>
      <c r="P1724">
        <v>1.5381100079165396E-2</v>
      </c>
      <c r="Q1724">
        <v>8.8541720452893176E-4</v>
      </c>
      <c r="R1724">
        <v>1.5210158063838351E-3</v>
      </c>
      <c r="S1724">
        <v>0.1161837876316333</v>
      </c>
      <c r="T1724">
        <v>0.81654527203030813</v>
      </c>
      <c r="U1724">
        <v>0</v>
      </c>
      <c r="V1724">
        <v>0.20367183515373208</v>
      </c>
      <c r="W1724">
        <v>8.9978620462844577E-2</v>
      </c>
      <c r="X1724">
        <v>2.7150075546966856E-2</v>
      </c>
      <c r="Y1724">
        <v>4.1397036222509788E-3</v>
      </c>
    </row>
    <row r="1725" spans="1:25" x14ac:dyDescent="0.25">
      <c r="A1725" s="1098"/>
      <c r="B1725" s="1457">
        <v>1475</v>
      </c>
      <c r="C1725" s="1102">
        <v>1.00867592829082</v>
      </c>
      <c r="D1725" s="1102">
        <v>0.98698631472138332</v>
      </c>
      <c r="E1725" s="1102">
        <v>0.98989819622195219</v>
      </c>
      <c r="F1725" s="1102">
        <v>0.98825136565505789</v>
      </c>
      <c r="G1725" s="1102">
        <v>0.95643346264964413</v>
      </c>
      <c r="H1725" s="1102">
        <v>1.0083689047956368</v>
      </c>
      <c r="I1725" s="1102">
        <v>1.017553324191133</v>
      </c>
      <c r="K1725">
        <v>1.5474457264356918</v>
      </c>
      <c r="L1725">
        <v>0</v>
      </c>
      <c r="M1725">
        <v>1.6042877331812124E-3</v>
      </c>
      <c r="N1725">
        <v>0.14318508503462379</v>
      </c>
      <c r="O1725">
        <v>0.12070781424779317</v>
      </c>
      <c r="P1725">
        <v>1.5441171739316414E-2</v>
      </c>
      <c r="Q1725">
        <v>8.8638834449176302E-4</v>
      </c>
      <c r="R1725">
        <v>1.6006779563738679E-3</v>
      </c>
      <c r="S1725">
        <v>0.12215423125304177</v>
      </c>
      <c r="T1725">
        <v>0.81621465726346498</v>
      </c>
      <c r="U1725">
        <v>0</v>
      </c>
      <c r="V1725">
        <v>0.20268867330889714</v>
      </c>
      <c r="W1725">
        <v>9.463158879907145E-2</v>
      </c>
      <c r="X1725">
        <v>2.7183208487895731E-2</v>
      </c>
      <c r="Y1725">
        <v>4.3565177339031621E-3</v>
      </c>
    </row>
    <row r="1726" spans="1:25" x14ac:dyDescent="0.25">
      <c r="A1726" s="1098"/>
      <c r="B1726" s="1457">
        <v>1476</v>
      </c>
      <c r="C1726" s="1102">
        <v>0.98236392966664721</v>
      </c>
      <c r="D1726" s="1102">
        <v>0.95589897612747532</v>
      </c>
      <c r="E1726" s="1102">
        <v>0.99991620356411381</v>
      </c>
      <c r="F1726" s="1102">
        <v>1.0127906477745396</v>
      </c>
      <c r="G1726" s="1102">
        <v>0.99810199656729959</v>
      </c>
      <c r="H1726" s="1102">
        <v>0.9968978393282929</v>
      </c>
      <c r="I1726" s="1102">
        <v>1.007685879964761</v>
      </c>
      <c r="K1726">
        <v>1.5932031295541953</v>
      </c>
      <c r="L1726">
        <v>0</v>
      </c>
      <c r="M1726">
        <v>1.6240720609447053E-3</v>
      </c>
      <c r="N1726">
        <v>0.14940468933386575</v>
      </c>
      <c r="O1726">
        <v>0.12522084945549797</v>
      </c>
      <c r="P1726">
        <v>1.5960073295656244E-2</v>
      </c>
      <c r="Q1726">
        <v>9.3150696360522949E-4</v>
      </c>
      <c r="R1726">
        <v>1.6203949934950189E-3</v>
      </c>
      <c r="S1726">
        <v>0.12566088038410397</v>
      </c>
      <c r="T1726">
        <v>0.83581063687109358</v>
      </c>
      <c r="U1726">
        <v>0</v>
      </c>
      <c r="V1726">
        <v>0.20910121719812103</v>
      </c>
      <c r="W1726">
        <v>9.8153612977576368E-2</v>
      </c>
      <c r="X1726">
        <v>2.8553159132896518E-2</v>
      </c>
      <c r="Y1726">
        <v>4.4101810092273949E-3</v>
      </c>
    </row>
    <row r="1727" spans="1:25" x14ac:dyDescent="0.25">
      <c r="A1727" s="1098"/>
      <c r="B1727" s="1457">
        <v>1477</v>
      </c>
      <c r="C1727" s="1102">
        <v>1.0068991886521219</v>
      </c>
      <c r="D1727" s="1102">
        <v>1.0364212910051092</v>
      </c>
      <c r="E1727" s="1102">
        <v>0.98299372606538782</v>
      </c>
      <c r="F1727" s="1102">
        <v>1.0234339562487382</v>
      </c>
      <c r="G1727" s="1102">
        <v>1.0140721800735264</v>
      </c>
      <c r="H1727" s="1102">
        <v>0.97668637605021069</v>
      </c>
      <c r="I1727" s="1102">
        <v>0.96324246058240748</v>
      </c>
      <c r="K1727">
        <v>1.5545439114525721</v>
      </c>
      <c r="L1727">
        <v>0</v>
      </c>
      <c r="M1727">
        <v>1.5396348508362238E-3</v>
      </c>
      <c r="N1727">
        <v>0.13456351382980977</v>
      </c>
      <c r="O1727">
        <v>0.12111537804030763</v>
      </c>
      <c r="P1727">
        <v>1.5640355931585779E-2</v>
      </c>
      <c r="Q1727">
        <v>8.6450620296769161E-4</v>
      </c>
      <c r="R1727">
        <v>1.5360376664647947E-3</v>
      </c>
      <c r="S1727">
        <v>0.110320184271872</v>
      </c>
      <c r="T1727">
        <v>0.845742159445113</v>
      </c>
      <c r="U1727">
        <v>0</v>
      </c>
      <c r="V1727">
        <v>0.20577963234097735</v>
      </c>
      <c r="W1727">
        <v>8.9303207768680185E-2</v>
      </c>
      <c r="X1727">
        <v>2.7037982632193501E-2</v>
      </c>
      <c r="Y1727">
        <v>4.1805881734365063E-3</v>
      </c>
    </row>
    <row r="1728" spans="1:25" x14ac:dyDescent="0.25">
      <c r="A1728" s="1098"/>
      <c r="B1728" s="1457">
        <v>1478</v>
      </c>
      <c r="C1728" s="1102">
        <v>1.0000229732592572</v>
      </c>
      <c r="D1728" s="1102">
        <v>1.0105596710355542</v>
      </c>
      <c r="E1728" s="1102">
        <v>1.0349377293506059</v>
      </c>
      <c r="F1728" s="1102">
        <v>1.002669118096009</v>
      </c>
      <c r="G1728" s="1102">
        <v>0.99630976665241944</v>
      </c>
      <c r="H1728" s="1102">
        <v>1.0387054557073288</v>
      </c>
      <c r="I1728" s="1102">
        <v>1.0189470888354546</v>
      </c>
      <c r="K1728">
        <v>1.5778830052273496</v>
      </c>
      <c r="L1728">
        <v>0</v>
      </c>
      <c r="M1728">
        <v>1.4984658100545224E-3</v>
      </c>
      <c r="N1728">
        <v>0.15322517308938075</v>
      </c>
      <c r="O1728">
        <v>0.12099573987099453</v>
      </c>
      <c r="P1728">
        <v>1.6154414361359202E-2</v>
      </c>
      <c r="Q1728">
        <v>9.2771151901567929E-4</v>
      </c>
      <c r="R1728">
        <v>1.4951813008003158E-3</v>
      </c>
      <c r="S1728">
        <v>0.12421971092231404</v>
      </c>
      <c r="T1728">
        <v>0.82515948209432</v>
      </c>
      <c r="U1728">
        <v>0</v>
      </c>
      <c r="V1728">
        <v>0.20533343603897747</v>
      </c>
      <c r="W1728">
        <v>9.8617808057770928E-2</v>
      </c>
      <c r="X1728">
        <v>2.9183423168077042E-2</v>
      </c>
      <c r="Y1728">
        <v>4.0693906143951172E-3</v>
      </c>
    </row>
    <row r="1729" spans="1:25" x14ac:dyDescent="0.25">
      <c r="A1729" s="1098"/>
      <c r="B1729" s="1457">
        <v>1479</v>
      </c>
      <c r="C1729" s="1102">
        <v>0.98007908042243685</v>
      </c>
      <c r="D1729" s="1102">
        <v>1.0275809149032136</v>
      </c>
      <c r="E1729" s="1102">
        <v>0.97171265948840824</v>
      </c>
      <c r="F1729" s="1102">
        <v>0.96656178966078621</v>
      </c>
      <c r="G1729" s="1102">
        <v>1.0111896966642253</v>
      </c>
      <c r="H1729" s="1102">
        <v>1.0041844062034033</v>
      </c>
      <c r="I1729" s="1102">
        <v>0.99482957357548385</v>
      </c>
      <c r="K1729">
        <v>1.5236881052407159</v>
      </c>
      <c r="L1729">
        <v>0</v>
      </c>
      <c r="M1729">
        <v>1.6624582812908325E-3</v>
      </c>
      <c r="N1729">
        <v>0.14042905023152302</v>
      </c>
      <c r="O1729">
        <v>0.11893112562094908</v>
      </c>
      <c r="P1729">
        <v>1.5002005586275419E-2</v>
      </c>
      <c r="Q1729">
        <v>8.8072357088852117E-4</v>
      </c>
      <c r="R1729">
        <v>1.6586624919734218E-3</v>
      </c>
      <c r="S1729">
        <v>0.11932598568371106</v>
      </c>
      <c r="T1729">
        <v>0.79947209151615151</v>
      </c>
      <c r="U1729">
        <v>0</v>
      </c>
      <c r="V1729">
        <v>0.20522382512998819</v>
      </c>
      <c r="W1729">
        <v>9.3834218222403079E-2</v>
      </c>
      <c r="X1729">
        <v>2.6078542942931895E-2</v>
      </c>
      <c r="Y1729">
        <v>4.5143325252081255E-3</v>
      </c>
    </row>
    <row r="1730" spans="1:25" x14ac:dyDescent="0.25">
      <c r="A1730" s="1098"/>
      <c r="B1730" s="1457">
        <v>1480</v>
      </c>
      <c r="C1730" s="1102">
        <v>0.9849201836785777</v>
      </c>
      <c r="D1730" s="1102">
        <v>0.98825645978290932</v>
      </c>
      <c r="E1730" s="1102">
        <v>0.96435358483621525</v>
      </c>
      <c r="F1730" s="1102">
        <v>1.0327591675073862</v>
      </c>
      <c r="G1730" s="1102">
        <v>0.98809527699391286</v>
      </c>
      <c r="H1730" s="1102">
        <v>0.95197521979695854</v>
      </c>
      <c r="I1730" s="1102">
        <v>1.0193873448814643</v>
      </c>
      <c r="K1730">
        <v>1.5829317321106933</v>
      </c>
      <c r="L1730">
        <v>0</v>
      </c>
      <c r="M1730">
        <v>1.6366758517820231E-3</v>
      </c>
      <c r="N1730">
        <v>0.13519113598029669</v>
      </c>
      <c r="O1730">
        <v>0.1250937750459562</v>
      </c>
      <c r="P1730">
        <v>1.5710017043231474E-2</v>
      </c>
      <c r="Q1730">
        <v>8.8329840428496805E-4</v>
      </c>
      <c r="R1730">
        <v>1.6327805899590895E-3</v>
      </c>
      <c r="S1730">
        <v>0.12065306555628015</v>
      </c>
      <c r="T1730">
        <v>0.85473547087577206</v>
      </c>
      <c r="U1730">
        <v>0</v>
      </c>
      <c r="V1730">
        <v>0.20837215299440656</v>
      </c>
      <c r="W1730">
        <v>9.0740410357498899E-2</v>
      </c>
      <c r="X1730">
        <v>2.7112410594895719E-2</v>
      </c>
      <c r="Y1730">
        <v>4.443890519891816E-3</v>
      </c>
    </row>
    <row r="1731" spans="1:25" x14ac:dyDescent="0.25">
      <c r="A1731" s="1098"/>
      <c r="B1731" s="1457">
        <v>1481</v>
      </c>
      <c r="C1731" s="1102">
        <v>0.99282676623182586</v>
      </c>
      <c r="D1731" s="1102">
        <v>0.98575941574524351</v>
      </c>
      <c r="E1731" s="1102">
        <v>1.0243248868162562</v>
      </c>
      <c r="F1731" s="1102">
        <v>0.98533094369644536</v>
      </c>
      <c r="G1731" s="1102">
        <v>1.0151054084025326</v>
      </c>
      <c r="H1731" s="1102">
        <v>1.0107642084490072</v>
      </c>
      <c r="I1731" s="1102">
        <v>1.0365922468791964</v>
      </c>
      <c r="K1731">
        <v>1.5638055721954294</v>
      </c>
      <c r="L1731">
        <v>0</v>
      </c>
      <c r="M1731">
        <v>1.5199597560650198E-3</v>
      </c>
      <c r="N1731">
        <v>0.15052074079740549</v>
      </c>
      <c r="O1731">
        <v>0.12126827577288618</v>
      </c>
      <c r="P1731">
        <v>1.5893508460295181E-2</v>
      </c>
      <c r="Q1731">
        <v>9.3360175370197241E-4</v>
      </c>
      <c r="R1731">
        <v>1.5165436825014843E-3</v>
      </c>
      <c r="S1731">
        <v>0.12667058679923882</v>
      </c>
      <c r="T1731">
        <v>0.81157111423309469</v>
      </c>
      <c r="U1731">
        <v>0</v>
      </c>
      <c r="V1731">
        <v>0.20661633150754155</v>
      </c>
      <c r="W1731">
        <v>9.7476028324157166E-2</v>
      </c>
      <c r="X1731">
        <v>2.8731268645391418E-2</v>
      </c>
      <c r="Y1731">
        <v>4.1275319752784624E-3</v>
      </c>
    </row>
    <row r="1732" spans="1:25" x14ac:dyDescent="0.25">
      <c r="A1732" s="1098"/>
      <c r="B1732" s="1457">
        <v>1482</v>
      </c>
      <c r="C1732" s="1102">
        <v>1.0000426831457796</v>
      </c>
      <c r="D1732" s="1102">
        <v>1.0285900937124544</v>
      </c>
      <c r="E1732" s="1102">
        <v>0.99826423635818395</v>
      </c>
      <c r="F1732" s="1102">
        <v>0.99608218427467698</v>
      </c>
      <c r="G1732" s="1102">
        <v>1.0218241758911493</v>
      </c>
      <c r="H1732" s="1102">
        <v>1.0036062439109932</v>
      </c>
      <c r="I1732" s="1102">
        <v>1.0141454479262391</v>
      </c>
      <c r="K1732">
        <v>1.5496874874741406</v>
      </c>
      <c r="L1732">
        <v>0</v>
      </c>
      <c r="M1732">
        <v>1.5461992971600906E-3</v>
      </c>
      <c r="N1732">
        <v>0.14153093396912578</v>
      </c>
      <c r="O1732">
        <v>0.1198687274650765</v>
      </c>
      <c r="P1732">
        <v>1.5621086913177472E-2</v>
      </c>
      <c r="Q1732">
        <v>8.8708172934175687E-4</v>
      </c>
      <c r="R1732">
        <v>1.5426795512604302E-3</v>
      </c>
      <c r="S1732">
        <v>0.11944684149823485</v>
      </c>
      <c r="T1732">
        <v>0.82213056652411354</v>
      </c>
      <c r="U1732">
        <v>0</v>
      </c>
      <c r="V1732">
        <v>0.20555212766343051</v>
      </c>
      <c r="W1732">
        <v>9.3072236024042951E-2</v>
      </c>
      <c r="X1732">
        <v>2.7382740239145005E-2</v>
      </c>
      <c r="Y1732">
        <v>4.1986651943534932E-3</v>
      </c>
    </row>
    <row r="1733" spans="1:25" x14ac:dyDescent="0.25">
      <c r="A1733" s="1098"/>
      <c r="B1733" s="1457">
        <v>1483</v>
      </c>
      <c r="C1733" s="1102">
        <v>0.98065337249100515</v>
      </c>
      <c r="D1733" s="1102">
        <v>1.0226153600705166</v>
      </c>
      <c r="E1733" s="1102">
        <v>0.98454812696140726</v>
      </c>
      <c r="F1733" s="1102">
        <v>1.0171933504585646</v>
      </c>
      <c r="G1733" s="1102">
        <v>0.97011026901387098</v>
      </c>
      <c r="H1733" s="1102">
        <v>0.98302214633385909</v>
      </c>
      <c r="I1733" s="1102">
        <v>1.0129103696945991</v>
      </c>
      <c r="K1733">
        <v>1.5708580512345081</v>
      </c>
      <c r="L1733">
        <v>0</v>
      </c>
      <c r="M1733">
        <v>1.5944651895630217E-3</v>
      </c>
      <c r="N1733">
        <v>0.14001453080337456</v>
      </c>
      <c r="O1733">
        <v>0.12263840929882476</v>
      </c>
      <c r="P1733">
        <v>1.5728557870788907E-2</v>
      </c>
      <c r="Q1733">
        <v>8.9386964441324883E-4</v>
      </c>
      <c r="R1733">
        <v>1.5907637894440453E-3</v>
      </c>
      <c r="S1733">
        <v>0.12040683311177049</v>
      </c>
      <c r="T1733">
        <v>0.84047986226152038</v>
      </c>
      <c r="U1733">
        <v>0</v>
      </c>
      <c r="V1733">
        <v>0.20612054284973913</v>
      </c>
      <c r="W1733">
        <v>9.2833867464965497E-2</v>
      </c>
      <c r="X1733">
        <v>2.7415744689506017E-2</v>
      </c>
      <c r="Y1733">
        <v>4.3295346397244352E-3</v>
      </c>
    </row>
    <row r="1734" spans="1:25" x14ac:dyDescent="0.25">
      <c r="A1734" s="1098"/>
      <c r="B1734" s="1457">
        <v>1484</v>
      </c>
      <c r="C1734" s="1102">
        <v>1.0141574376123836</v>
      </c>
      <c r="D1734" s="1102">
        <v>0.97836281420184568</v>
      </c>
      <c r="E1734" s="1102">
        <v>1.0284345919282996</v>
      </c>
      <c r="F1734" s="1102">
        <v>0.97963450570361377</v>
      </c>
      <c r="G1734" s="1102">
        <v>1.0155999967798603</v>
      </c>
      <c r="H1734" s="1102">
        <v>0.95456435707088072</v>
      </c>
      <c r="I1734" s="1102">
        <v>1.0184197715397501</v>
      </c>
      <c r="K1734">
        <v>1.5295432241567104</v>
      </c>
      <c r="L1734">
        <v>0</v>
      </c>
      <c r="M1734">
        <v>1.4008243520594616E-3</v>
      </c>
      <c r="N1734">
        <v>0.14043479251019444</v>
      </c>
      <c r="O1734">
        <v>0.12009450333424532</v>
      </c>
      <c r="P1734">
        <v>1.5725185330394773E-2</v>
      </c>
      <c r="Q1734">
        <v>9.2058296641438263E-4</v>
      </c>
      <c r="R1734">
        <v>1.3974986254952386E-3</v>
      </c>
      <c r="S1734">
        <v>0.11795245529608829</v>
      </c>
      <c r="T1734">
        <v>0.80661688284160182</v>
      </c>
      <c r="U1734">
        <v>0</v>
      </c>
      <c r="V1734">
        <v>0.20478094340576894</v>
      </c>
      <c r="W1734">
        <v>9.0727135776881601E-2</v>
      </c>
      <c r="X1734">
        <v>2.8490537848382673E-2</v>
      </c>
      <c r="Y1734">
        <v>3.8035305732999573E-3</v>
      </c>
    </row>
    <row r="1735" spans="1:25" x14ac:dyDescent="0.25">
      <c r="A1735" s="1098"/>
      <c r="B1735" s="1457">
        <v>1485</v>
      </c>
      <c r="C1735" s="1102">
        <v>1.0252616777007018</v>
      </c>
      <c r="D1735" s="1102">
        <v>1.0147731955706438</v>
      </c>
      <c r="E1735" s="1102">
        <v>0.97616612395540814</v>
      </c>
      <c r="F1735" s="1102">
        <v>1.0179180820250826</v>
      </c>
      <c r="G1735" s="1102">
        <v>0.99351795382927022</v>
      </c>
      <c r="H1735" s="1102">
        <v>0.98567531200748004</v>
      </c>
      <c r="I1735" s="1102">
        <v>1.0270774466871759</v>
      </c>
      <c r="K1735">
        <v>1.5549136340775218</v>
      </c>
      <c r="L1735">
        <v>0</v>
      </c>
      <c r="M1735">
        <v>1.5677467222104027E-3</v>
      </c>
      <c r="N1735">
        <v>0.13422311002583517</v>
      </c>
      <c r="O1735">
        <v>0.12076103781817607</v>
      </c>
      <c r="P1735">
        <v>1.5576102724688283E-2</v>
      </c>
      <c r="Q1735">
        <v>8.5011615189233513E-4</v>
      </c>
      <c r="R1735">
        <v>1.5641333569717569E-3</v>
      </c>
      <c r="S1735">
        <v>0.11775810177464235</v>
      </c>
      <c r="T1735">
        <v>0.84164734230922456</v>
      </c>
      <c r="U1735">
        <v>0</v>
      </c>
      <c r="V1735">
        <v>0.20368098558302003</v>
      </c>
      <c r="W1735">
        <v>8.9445415777006848E-2</v>
      </c>
      <c r="X1735">
        <v>2.671797989702018E-2</v>
      </c>
      <c r="Y1735">
        <v>4.2570553812545705E-3</v>
      </c>
    </row>
    <row r="1736" spans="1:25" x14ac:dyDescent="0.25">
      <c r="A1736" s="1098"/>
      <c r="B1736" s="1457">
        <v>1486</v>
      </c>
      <c r="C1736" s="1102">
        <v>0.98508325658237383</v>
      </c>
      <c r="D1736" s="1102">
        <v>0.99047204960598745</v>
      </c>
      <c r="E1736" s="1102">
        <v>0.98900081430522813</v>
      </c>
      <c r="F1736" s="1102">
        <v>0.98612921652742369</v>
      </c>
      <c r="G1736" s="1102">
        <v>1.0242477407754451</v>
      </c>
      <c r="H1736" s="1102">
        <v>1.0110155352104573</v>
      </c>
      <c r="I1736" s="1102">
        <v>0.99269206969164203</v>
      </c>
      <c r="K1736">
        <v>1.5566991985013758</v>
      </c>
      <c r="L1736">
        <v>0</v>
      </c>
      <c r="M1736">
        <v>1.6436045079177614E-3</v>
      </c>
      <c r="N1736">
        <v>0.14629671395202637</v>
      </c>
      <c r="O1736">
        <v>0.12161687617940496</v>
      </c>
      <c r="P1736">
        <v>1.5468833512659234E-2</v>
      </c>
      <c r="Q1736">
        <v>9.0549064051356656E-4</v>
      </c>
      <c r="R1736">
        <v>1.6399066202462892E-3</v>
      </c>
      <c r="S1736">
        <v>0.12182092502773492</v>
      </c>
      <c r="T1736">
        <v>0.81452065552338215</v>
      </c>
      <c r="U1736">
        <v>0</v>
      </c>
      <c r="V1736">
        <v>0.20753012571227425</v>
      </c>
      <c r="W1736">
        <v>9.6740091472802145E-2</v>
      </c>
      <c r="X1736">
        <v>2.7339899143011385E-2</v>
      </c>
      <c r="Y1736">
        <v>4.4632852252383245E-3</v>
      </c>
    </row>
    <row r="1737" spans="1:25" x14ac:dyDescent="0.25">
      <c r="A1737" s="1098"/>
      <c r="B1737" s="1457">
        <v>1487</v>
      </c>
      <c r="C1737" s="1102">
        <v>1.0066094186793282</v>
      </c>
      <c r="D1737" s="1102">
        <v>1.0115972311246106</v>
      </c>
      <c r="E1737" s="1102">
        <v>1.0274130487973954</v>
      </c>
      <c r="F1737" s="1102">
        <v>0.99700993496456602</v>
      </c>
      <c r="G1737" s="1102">
        <v>1.0053020161641935</v>
      </c>
      <c r="H1737" s="1102">
        <v>1.0081061595858065</v>
      </c>
      <c r="I1737" s="1102">
        <v>1.0104355466528459</v>
      </c>
      <c r="K1737">
        <v>1.556817783673254</v>
      </c>
      <c r="L1737">
        <v>0</v>
      </c>
      <c r="M1737">
        <v>1.4668631151079658E-3</v>
      </c>
      <c r="N1737">
        <v>0.1466200070418687</v>
      </c>
      <c r="O1737">
        <v>0.1202453869530465</v>
      </c>
      <c r="P1737">
        <v>1.5941096259461229E-2</v>
      </c>
      <c r="Q1737">
        <v>9.1422066714431233E-4</v>
      </c>
      <c r="R1737">
        <v>1.4635498816643788E-3</v>
      </c>
      <c r="S1737">
        <v>0.11986965432330882</v>
      </c>
      <c r="T1737">
        <v>0.82098987551175606</v>
      </c>
      <c r="U1737">
        <v>0</v>
      </c>
      <c r="V1737">
        <v>0.20485175830700844</v>
      </c>
      <c r="W1737">
        <v>9.4779337345792539E-2</v>
      </c>
      <c r="X1737">
        <v>2.8626460178510522E-2</v>
      </c>
      <c r="Y1737">
        <v>3.9833003188016131E-3</v>
      </c>
    </row>
    <row r="1738" spans="1:25" x14ac:dyDescent="0.25">
      <c r="A1738" s="1098"/>
      <c r="B1738" s="1457">
        <v>1488</v>
      </c>
      <c r="C1738" s="1102">
        <v>1.0211178808073806</v>
      </c>
      <c r="D1738" s="1102">
        <v>0.99850659158854294</v>
      </c>
      <c r="E1738" s="1102">
        <v>0.98537911288465896</v>
      </c>
      <c r="F1738" s="1102">
        <v>1.0028849078746573</v>
      </c>
      <c r="G1738" s="1102">
        <v>0.98961786857449396</v>
      </c>
      <c r="H1738" s="1102">
        <v>0.98200078066056429</v>
      </c>
      <c r="I1738" s="1102">
        <v>0.95721799204885816</v>
      </c>
      <c r="K1738">
        <v>1.538130992450055</v>
      </c>
      <c r="L1738">
        <v>0</v>
      </c>
      <c r="M1738">
        <v>1.5507219528923318E-3</v>
      </c>
      <c r="N1738">
        <v>0.13651751484555513</v>
      </c>
      <c r="O1738">
        <v>0.12061380363759597</v>
      </c>
      <c r="P1738">
        <v>1.5415609966777818E-2</v>
      </c>
      <c r="Q1738">
        <v>8.6743227090980805E-4</v>
      </c>
      <c r="R1738">
        <v>1.5471393110669705E-3</v>
      </c>
      <c r="S1738">
        <v>0.11090664741040553</v>
      </c>
      <c r="T1738">
        <v>0.8286017564786351</v>
      </c>
      <c r="U1738">
        <v>0</v>
      </c>
      <c r="V1738">
        <v>0.20356707894197876</v>
      </c>
      <c r="W1738">
        <v>9.0470011985723908E-2</v>
      </c>
      <c r="X1738">
        <v>2.6963916363909289E-2</v>
      </c>
      <c r="Y1738">
        <v>4.2108031903874688E-3</v>
      </c>
    </row>
    <row r="1739" spans="1:25" x14ac:dyDescent="0.25">
      <c r="A1739" s="1098"/>
      <c r="B1739" s="1457">
        <v>1489</v>
      </c>
      <c r="C1739" s="1102">
        <v>0.98575451745793741</v>
      </c>
      <c r="D1739" s="1102">
        <v>0.97925257935524079</v>
      </c>
      <c r="E1739" s="1102">
        <v>0.98658909647733695</v>
      </c>
      <c r="F1739" s="1102">
        <v>0.96753858703015239</v>
      </c>
      <c r="G1739" s="1102">
        <v>1.0144234693990717</v>
      </c>
      <c r="H1739" s="1102">
        <v>1.0170880172771704</v>
      </c>
      <c r="I1739" s="1102">
        <v>0.96777558267182984</v>
      </c>
      <c r="K1739">
        <v>1.539063793323858</v>
      </c>
      <c r="L1739">
        <v>0</v>
      </c>
      <c r="M1739">
        <v>1.6688598858326689E-3</v>
      </c>
      <c r="N1739">
        <v>0.14746742746285635</v>
      </c>
      <c r="O1739">
        <v>0.12074983055660529</v>
      </c>
      <c r="P1739">
        <v>1.5193385646459154E-2</v>
      </c>
      <c r="Q1739">
        <v>9.0672185998437297E-4</v>
      </c>
      <c r="R1739">
        <v>1.6651290567935393E-3</v>
      </c>
      <c r="S1739">
        <v>0.11984425510311726</v>
      </c>
      <c r="T1739">
        <v>0.79932017039804093</v>
      </c>
      <c r="U1739">
        <v>0</v>
      </c>
      <c r="V1739">
        <v>0.20638349786256358</v>
      </c>
      <c r="W1739">
        <v>9.7655470349662293E-2</v>
      </c>
      <c r="X1739">
        <v>2.7014832530660171E-2</v>
      </c>
      <c r="Y1739">
        <v>4.5319323829459638E-3</v>
      </c>
    </row>
    <row r="1740" spans="1:25" x14ac:dyDescent="0.25">
      <c r="A1740" s="1098"/>
      <c r="B1740" s="1457">
        <v>1490</v>
      </c>
      <c r="C1740" s="1102">
        <v>1.0028478040966247</v>
      </c>
      <c r="D1740" s="1102">
        <v>1.0064609819529635</v>
      </c>
      <c r="E1740" s="1102">
        <v>1.0110618211238598</v>
      </c>
      <c r="F1740" s="1102">
        <v>1.0129642721366086</v>
      </c>
      <c r="G1740" s="1102">
        <v>0.99327529180962715</v>
      </c>
      <c r="H1740" s="1102">
        <v>0.97037262474849961</v>
      </c>
      <c r="I1740" s="1102">
        <v>1.0145260019479783</v>
      </c>
      <c r="K1740">
        <v>1.5613137731400113</v>
      </c>
      <c r="L1740">
        <v>0</v>
      </c>
      <c r="M1740">
        <v>1.4718970414496141E-3</v>
      </c>
      <c r="N1740">
        <v>0.14002981998948788</v>
      </c>
      <c r="O1740">
        <v>0.12181900448763955</v>
      </c>
      <c r="P1740">
        <v>1.5933290476235044E-2</v>
      </c>
      <c r="Q1740">
        <v>9.0421874674063247E-4</v>
      </c>
      <c r="R1740">
        <v>1.4684492908298554E-3</v>
      </c>
      <c r="S1740">
        <v>0.11819746267136066</v>
      </c>
      <c r="T1740">
        <v>0.83521061667489915</v>
      </c>
      <c r="U1740">
        <v>0</v>
      </c>
      <c r="V1740">
        <v>0.2055724613031758</v>
      </c>
      <c r="W1740">
        <v>9.1389877982976819E-2</v>
      </c>
      <c r="X1740">
        <v>2.8263833662654007E-2</v>
      </c>
      <c r="Y1740">
        <v>3.9966348954602413E-3</v>
      </c>
    </row>
    <row r="1741" spans="1:25" x14ac:dyDescent="0.25">
      <c r="A1741" s="1098"/>
      <c r="B1741" s="1457">
        <v>1491</v>
      </c>
      <c r="C1741" s="1102">
        <v>1.0285183063859979</v>
      </c>
      <c r="D1741" s="1102">
        <v>1.0025138312352726</v>
      </c>
      <c r="E1741" s="1102">
        <v>0.98321924774542413</v>
      </c>
      <c r="F1741" s="1102">
        <v>0.98323584125065788</v>
      </c>
      <c r="G1741" s="1102">
        <v>0.9900923971889275</v>
      </c>
      <c r="H1741" s="1102">
        <v>1.0062796779418546</v>
      </c>
      <c r="I1741" s="1102">
        <v>1.0039149909234404</v>
      </c>
      <c r="K1741">
        <v>1.5268007369827625</v>
      </c>
      <c r="L1741">
        <v>0</v>
      </c>
      <c r="M1741">
        <v>1.5795679763256608E-3</v>
      </c>
      <c r="N1741">
        <v>0.13815868432731807</v>
      </c>
      <c r="O1741">
        <v>0.11871478486314826</v>
      </c>
      <c r="P1741">
        <v>1.5232932681277915E-2</v>
      </c>
      <c r="Q1741">
        <v>8.5787285815209276E-4</v>
      </c>
      <c r="R1741">
        <v>1.5760008998620678E-3</v>
      </c>
      <c r="S1741">
        <v>0.11700346304116339</v>
      </c>
      <c r="T1741">
        <v>0.81250860766337463</v>
      </c>
      <c r="U1741">
        <v>0</v>
      </c>
      <c r="V1741">
        <v>0.20185777838338737</v>
      </c>
      <c r="W1741">
        <v>9.1676691940597174E-2</v>
      </c>
      <c r="X1741">
        <v>2.6504133379938517E-2</v>
      </c>
      <c r="Y1741">
        <v>4.2893549208675372E-3</v>
      </c>
    </row>
    <row r="1742" spans="1:25" x14ac:dyDescent="0.25">
      <c r="A1742" s="1098"/>
      <c r="B1742" s="1457">
        <v>1492</v>
      </c>
      <c r="C1742" s="1102">
        <v>1.0111436462641958</v>
      </c>
      <c r="D1742" s="1102">
        <v>1.0166773725771305</v>
      </c>
      <c r="E1742" s="1102">
        <v>0.97448302403470699</v>
      </c>
      <c r="F1742" s="1102">
        <v>0.99837132765764036</v>
      </c>
      <c r="G1742" s="1102">
        <v>0.98659763897643116</v>
      </c>
      <c r="H1742" s="1102">
        <v>0.98572410938108945</v>
      </c>
      <c r="I1742" s="1102">
        <v>1.035990621454848</v>
      </c>
      <c r="K1742">
        <v>1.5419758569632784</v>
      </c>
      <c r="L1742">
        <v>0</v>
      </c>
      <c r="M1742">
        <v>1.5897386266265562E-3</v>
      </c>
      <c r="N1742">
        <v>0.13541352591374745</v>
      </c>
      <c r="O1742">
        <v>0.12004239796891408</v>
      </c>
      <c r="P1742">
        <v>1.5370107292764657E-2</v>
      </c>
      <c r="Q1742">
        <v>8.5981801496053795E-4</v>
      </c>
      <c r="R1742">
        <v>1.586064802178279E-3</v>
      </c>
      <c r="S1742">
        <v>0.12011378261467384</v>
      </c>
      <c r="T1742">
        <v>0.82559772359273154</v>
      </c>
      <c r="U1742">
        <v>0</v>
      </c>
      <c r="V1742">
        <v>0.20346154304209696</v>
      </c>
      <c r="W1742">
        <v>9.0330798028217141E-2</v>
      </c>
      <c r="X1742">
        <v>2.6473088774212832E-2</v>
      </c>
      <c r="Y1742">
        <v>4.3167455454077566E-3</v>
      </c>
    </row>
    <row r="1743" spans="1:25" x14ac:dyDescent="0.25">
      <c r="A1743" s="1098"/>
      <c r="B1743" s="1457">
        <v>1493</v>
      </c>
      <c r="C1743" s="1102">
        <v>0.96168219153657486</v>
      </c>
      <c r="D1743" s="1102">
        <v>1.0245556853856317</v>
      </c>
      <c r="E1743" s="1102">
        <v>1.015051394266139</v>
      </c>
      <c r="F1743" s="1102">
        <v>1.0453132598077577</v>
      </c>
      <c r="G1743" s="1102">
        <v>1.0283278198298067</v>
      </c>
      <c r="H1743" s="1102">
        <v>1.007706060885295</v>
      </c>
      <c r="I1743" s="1102">
        <v>1.0149609702041074</v>
      </c>
      <c r="K1743">
        <v>1.6236895542035445</v>
      </c>
      <c r="L1743">
        <v>0</v>
      </c>
      <c r="M1743">
        <v>1.5638797602712767E-3</v>
      </c>
      <c r="N1743">
        <v>0.15059493143929864</v>
      </c>
      <c r="O1743">
        <v>0.12544377635902865</v>
      </c>
      <c r="P1743">
        <v>1.652572108845143E-2</v>
      </c>
      <c r="Q1743">
        <v>9.4008148701640155E-4</v>
      </c>
      <c r="R1743">
        <v>1.5603394397574544E-3</v>
      </c>
      <c r="S1743">
        <v>0.12504257150445644</v>
      </c>
      <c r="T1743">
        <v>0.86160950304883721</v>
      </c>
      <c r="U1743">
        <v>0</v>
      </c>
      <c r="V1743">
        <v>0.21188537124150436</v>
      </c>
      <c r="W1743">
        <v>9.805475892367306E-2</v>
      </c>
      <c r="X1743">
        <v>2.9349649842529819E-2</v>
      </c>
      <c r="Y1743">
        <v>4.2467295892617144E-3</v>
      </c>
    </row>
    <row r="1744" spans="1:25" x14ac:dyDescent="0.25">
      <c r="A1744" s="1098"/>
      <c r="B1744" s="1457">
        <v>1494</v>
      </c>
      <c r="C1744" s="1102">
        <v>0.96890175199914252</v>
      </c>
      <c r="D1744" s="1102">
        <v>1.0136555203042135</v>
      </c>
      <c r="E1744" s="1102">
        <v>0.99487874689081723</v>
      </c>
      <c r="F1744" s="1102">
        <v>1.0153923829083764</v>
      </c>
      <c r="G1744" s="1102">
        <v>1.0052644583448773</v>
      </c>
      <c r="H1744" s="1102">
        <v>1.0268123620715452</v>
      </c>
      <c r="I1744" s="1102">
        <v>1.0236772192051922</v>
      </c>
      <c r="K1744">
        <v>1.5965683714379475</v>
      </c>
      <c r="L1744">
        <v>0</v>
      </c>
      <c r="M1744">
        <v>1.656585256858591E-3</v>
      </c>
      <c r="N1744">
        <v>0.15009990589415328</v>
      </c>
      <c r="O1744">
        <v>0.12350462477574727</v>
      </c>
      <c r="P1744">
        <v>1.5954981562683188E-2</v>
      </c>
      <c r="Q1744">
        <v>9.1773227840696945E-4</v>
      </c>
      <c r="R1744">
        <v>1.652905330642752E-3</v>
      </c>
      <c r="S1744">
        <v>0.12738471071052007</v>
      </c>
      <c r="T1744">
        <v>0.83829582362006838</v>
      </c>
      <c r="U1744">
        <v>0</v>
      </c>
      <c r="V1744">
        <v>0.20893803319520005</v>
      </c>
      <c r="W1744">
        <v>9.8906635846639585E-2</v>
      </c>
      <c r="X1744">
        <v>2.807094005083011E-2</v>
      </c>
      <c r="Y1744">
        <v>4.4986634299137625E-3</v>
      </c>
    </row>
    <row r="1745" spans="1:25" x14ac:dyDescent="0.25">
      <c r="A1745" s="1098"/>
      <c r="B1745" s="1457">
        <v>1495</v>
      </c>
      <c r="C1745" s="1102">
        <v>0.9695747813453639</v>
      </c>
      <c r="D1745" s="1102">
        <v>1.0371121199947224</v>
      </c>
      <c r="E1745" s="1102">
        <v>1.0123356082057444</v>
      </c>
      <c r="F1745" s="1102">
        <v>0.96552265143986093</v>
      </c>
      <c r="G1745" s="1102">
        <v>0.95823489362747305</v>
      </c>
      <c r="H1745" s="1102">
        <v>0.99118730446485759</v>
      </c>
      <c r="I1745" s="1102">
        <v>0.99460673123216325</v>
      </c>
      <c r="K1745">
        <v>1.5245388088831826</v>
      </c>
      <c r="L1745">
        <v>0</v>
      </c>
      <c r="M1745">
        <v>1.5156015493179276E-3</v>
      </c>
      <c r="N1745">
        <v>0.14474659274930651</v>
      </c>
      <c r="O1745">
        <v>0.11888772989367043</v>
      </c>
      <c r="P1745">
        <v>1.5390325673872418E-2</v>
      </c>
      <c r="Q1745">
        <v>9.25306724051744E-4</v>
      </c>
      <c r="R1745">
        <v>1.5120873330565919E-3</v>
      </c>
      <c r="S1745">
        <v>0.1189101877224531</v>
      </c>
      <c r="T1745">
        <v>0.79601326604648637</v>
      </c>
      <c r="U1745">
        <v>0</v>
      </c>
      <c r="V1745">
        <v>0.20349752358810808</v>
      </c>
      <c r="W1745">
        <v>9.4397424337443567E-2</v>
      </c>
      <c r="X1745">
        <v>2.7658563102928448E-2</v>
      </c>
      <c r="Y1745">
        <v>4.1154032611246654E-3</v>
      </c>
    </row>
    <row r="1746" spans="1:25" x14ac:dyDescent="0.25">
      <c r="A1746" s="1098"/>
      <c r="B1746" s="1457">
        <v>1496</v>
      </c>
      <c r="C1746" s="1102">
        <v>0.9847489942529799</v>
      </c>
      <c r="D1746" s="1102">
        <v>0.98382415512502019</v>
      </c>
      <c r="E1746" s="1102">
        <v>0.98775355843070134</v>
      </c>
      <c r="F1746" s="1102">
        <v>1.0045663595107852</v>
      </c>
      <c r="G1746" s="1102">
        <v>1.0030185289766327</v>
      </c>
      <c r="H1746" s="1102">
        <v>0.9566127343813301</v>
      </c>
      <c r="I1746" s="1102">
        <v>0.98073121391064755</v>
      </c>
      <c r="K1746">
        <v>1.5568634227515576</v>
      </c>
      <c r="L1746">
        <v>0</v>
      </c>
      <c r="M1746">
        <v>1.567894399756433E-3</v>
      </c>
      <c r="N1746">
        <v>0.13901544820624503</v>
      </c>
      <c r="O1746">
        <v>0.12324901226116663</v>
      </c>
      <c r="P1746">
        <v>1.559456634544123E-2</v>
      </c>
      <c r="Q1746">
        <v>9.0706027629637565E-4</v>
      </c>
      <c r="R1746">
        <v>1.5641756875920513E-3</v>
      </c>
      <c r="S1746">
        <v>0.11665962766663192</v>
      </c>
      <c r="T1746">
        <v>0.82983250542308695</v>
      </c>
      <c r="U1746">
        <v>0</v>
      </c>
      <c r="V1746">
        <v>0.20777176820224325</v>
      </c>
      <c r="W1746">
        <v>9.1994084262039491E-2</v>
      </c>
      <c r="X1746">
        <v>2.7585898229320865E-2</v>
      </c>
      <c r="Y1746">
        <v>4.2571705912487273E-3</v>
      </c>
    </row>
    <row r="1747" spans="1:25" x14ac:dyDescent="0.25">
      <c r="A1747" s="1098"/>
      <c r="B1747" s="1457">
        <v>1497</v>
      </c>
      <c r="C1747" s="1102">
        <v>1.0319612177170465</v>
      </c>
      <c r="D1747" s="1102">
        <v>1.0171954561763461</v>
      </c>
      <c r="E1747" s="1102">
        <v>1.0321799728522798</v>
      </c>
      <c r="F1747" s="1102">
        <v>0.96623254124477542</v>
      </c>
      <c r="G1747" s="1102">
        <v>0.97116497966106829</v>
      </c>
      <c r="H1747" s="1102">
        <v>0.98678144831249137</v>
      </c>
      <c r="I1747" s="1102">
        <v>1.0212603345862998</v>
      </c>
      <c r="K1747">
        <v>1.5060310813689473</v>
      </c>
      <c r="L1747">
        <v>0</v>
      </c>
      <c r="M1747">
        <v>1.3816088369404749E-3</v>
      </c>
      <c r="N1747">
        <v>0.14008996307195967</v>
      </c>
      <c r="O1747">
        <v>0.11660613191674597</v>
      </c>
      <c r="P1747">
        <v>1.5511223733525014E-2</v>
      </c>
      <c r="Q1747">
        <v>8.9413421569713039E-4</v>
      </c>
      <c r="R1747">
        <v>1.3784159971573389E-3</v>
      </c>
      <c r="S1747">
        <v>0.11609670571735199</v>
      </c>
      <c r="T1747">
        <v>0.7953465446814143</v>
      </c>
      <c r="U1747">
        <v>0</v>
      </c>
      <c r="V1747">
        <v>0.199514211430973</v>
      </c>
      <c r="W1747">
        <v>9.0307855821235863E-2</v>
      </c>
      <c r="X1747">
        <v>2.7915909670277256E-2</v>
      </c>
      <c r="Y1747">
        <v>3.7515939495509345E-3</v>
      </c>
    </row>
    <row r="1748" spans="1:25" x14ac:dyDescent="0.25">
      <c r="A1748" s="1098"/>
      <c r="B1748" s="1457">
        <v>1498</v>
      </c>
      <c r="C1748" s="1102">
        <v>0.99492880804454131</v>
      </c>
      <c r="D1748" s="1102">
        <v>1.0135578332304418</v>
      </c>
      <c r="E1748" s="1102">
        <v>1.0057821974390526</v>
      </c>
      <c r="F1748" s="1102">
        <v>1.0102166572342361</v>
      </c>
      <c r="G1748" s="1102">
        <v>1.0308476693913851</v>
      </c>
      <c r="H1748" s="1102">
        <v>0.98643235970712917</v>
      </c>
      <c r="I1748" s="1102">
        <v>0.9924950827502399</v>
      </c>
      <c r="K1748">
        <v>1.563921173768466</v>
      </c>
      <c r="L1748">
        <v>0</v>
      </c>
      <c r="M1748">
        <v>1.5175503579727863E-3</v>
      </c>
      <c r="N1748">
        <v>0.14209465873281865</v>
      </c>
      <c r="O1748">
        <v>0.12173766948136301</v>
      </c>
      <c r="P1748">
        <v>1.5859333641308801E-2</v>
      </c>
      <c r="Q1748">
        <v>9.0391838644146181E-4</v>
      </c>
      <c r="R1748">
        <v>1.5140467087942666E-3</v>
      </c>
      <c r="S1748">
        <v>0.11725442362372099</v>
      </c>
      <c r="T1748">
        <v>0.83329578893681389</v>
      </c>
      <c r="U1748">
        <v>0</v>
      </c>
      <c r="V1748">
        <v>0.20757180669360348</v>
      </c>
      <c r="W1748">
        <v>9.3027013538694497E-2</v>
      </c>
      <c r="X1748">
        <v>2.8059328346905891E-2</v>
      </c>
      <c r="Y1748">
        <v>4.1207360359745765E-3</v>
      </c>
    </row>
    <row r="1749" spans="1:25" x14ac:dyDescent="0.25">
      <c r="A1749" s="1098"/>
      <c r="B1749" s="1457">
        <v>1499</v>
      </c>
      <c r="C1749" s="1102">
        <v>1.0033548643313024</v>
      </c>
      <c r="D1749" s="1102">
        <v>0.9898516242078369</v>
      </c>
      <c r="E1749" s="1102">
        <v>0.96510316776204241</v>
      </c>
      <c r="F1749" s="1102">
        <v>0.98534153190583218</v>
      </c>
      <c r="G1749" s="1102">
        <v>0.97979816753172644</v>
      </c>
      <c r="H1749" s="1102">
        <v>0.98740954179191387</v>
      </c>
      <c r="I1749" s="1102">
        <v>1.0054650045590894</v>
      </c>
      <c r="K1749">
        <v>1.5355512257178539</v>
      </c>
      <c r="L1749">
        <v>0</v>
      </c>
      <c r="M1749">
        <v>1.6585671883993216E-3</v>
      </c>
      <c r="N1749">
        <v>0.13732175578506997</v>
      </c>
      <c r="O1749">
        <v>0.12071663424490632</v>
      </c>
      <c r="P1749">
        <v>1.5120990590106657E-2</v>
      </c>
      <c r="Q1749">
        <v>8.6719687054037382E-4</v>
      </c>
      <c r="R1749">
        <v>1.6547518640239493E-3</v>
      </c>
      <c r="S1749">
        <v>0.11936318744747955</v>
      </c>
      <c r="T1749">
        <v>0.81544193665337672</v>
      </c>
      <c r="U1749">
        <v>0</v>
      </c>
      <c r="V1749">
        <v>0.20390582619341024</v>
      </c>
      <c r="W1749">
        <v>9.212826730207524E-2</v>
      </c>
      <c r="X1749">
        <v>2.618555687019529E-2</v>
      </c>
      <c r="Y1749">
        <v>4.5036890850678191E-3</v>
      </c>
    </row>
    <row r="1750" spans="1:25" x14ac:dyDescent="0.25">
      <c r="A1750" s="1098"/>
      <c r="B1750" s="1457">
        <v>1500</v>
      </c>
      <c r="C1750" s="1102">
        <v>0.96248103911368232</v>
      </c>
      <c r="D1750" s="1102">
        <v>1.0208120969769183</v>
      </c>
      <c r="E1750" s="1102">
        <v>1.0329204337802924</v>
      </c>
      <c r="F1750" s="1102">
        <v>0.9808971748332932</v>
      </c>
      <c r="G1750" s="1102">
        <v>0.98782884566412466</v>
      </c>
      <c r="H1750" s="1102">
        <v>0.98457874555620384</v>
      </c>
      <c r="I1750" s="1102">
        <v>1.0019721015146363</v>
      </c>
      <c r="K1750">
        <v>1.5514123934051043</v>
      </c>
      <c r="L1750">
        <v>0</v>
      </c>
      <c r="M1750">
        <v>1.4669749152103058E-3</v>
      </c>
      <c r="N1750">
        <v>0.14907574787753952</v>
      </c>
      <c r="O1750">
        <v>0.12098669763137174</v>
      </c>
      <c r="P1750">
        <v>1.5862807662922116E-2</v>
      </c>
      <c r="Q1750">
        <v>9.5804312026831365E-4</v>
      </c>
      <c r="R1750">
        <v>1.4635617177823532E-3</v>
      </c>
      <c r="S1750">
        <v>0.1213724773126779</v>
      </c>
      <c r="T1750">
        <v>0.80737043682821352</v>
      </c>
      <c r="U1750">
        <v>0</v>
      </c>
      <c r="V1750">
        <v>0.20677968640575486</v>
      </c>
      <c r="W1750">
        <v>9.6059254475676287E-2</v>
      </c>
      <c r="X1750">
        <v>2.8967322755294213E-2</v>
      </c>
      <c r="Y1750">
        <v>3.983332532812963E-3</v>
      </c>
    </row>
    <row r="1751" spans="1:25" x14ac:dyDescent="0.25">
      <c r="A1751" s="1098"/>
      <c r="B1751" s="1457">
        <v>1501</v>
      </c>
      <c r="C1751" s="1102">
        <v>1.0003357755728968</v>
      </c>
      <c r="D1751" s="1102">
        <v>1.0246089866308299</v>
      </c>
      <c r="E1751" s="1102">
        <v>1.0126986409850542</v>
      </c>
      <c r="F1751" s="1102">
        <v>1.0221238977600071</v>
      </c>
      <c r="G1751" s="1102">
        <v>1.0222008855177613</v>
      </c>
      <c r="H1751" s="1102">
        <v>1.0146321387689032</v>
      </c>
      <c r="I1751" s="1102">
        <v>1.0116373752186514</v>
      </c>
      <c r="K1751">
        <v>1.5820249036244289</v>
      </c>
      <c r="L1751">
        <v>0</v>
      </c>
      <c r="M1751">
        <v>1.5228632310051789E-3</v>
      </c>
      <c r="N1751">
        <v>0.1456102041966284</v>
      </c>
      <c r="O1751">
        <v>0.1217860993789688</v>
      </c>
      <c r="P1751">
        <v>1.610597487653034E-2</v>
      </c>
      <c r="Q1751">
        <v>9.0155168395704866E-4</v>
      </c>
      <c r="R1751">
        <v>1.5194430952748209E-3</v>
      </c>
      <c r="S1751">
        <v>0.12044685781254665</v>
      </c>
      <c r="T1751">
        <v>0.84265312148231575</v>
      </c>
      <c r="U1751">
        <v>0</v>
      </c>
      <c r="V1751">
        <v>0.20702543371444843</v>
      </c>
      <c r="W1751">
        <v>9.4940348157162194E-2</v>
      </c>
      <c r="X1751">
        <v>2.8423309236544677E-2</v>
      </c>
      <c r="Y1751">
        <v>4.1354232210563217E-3</v>
      </c>
    </row>
    <row r="1752" spans="1:25" x14ac:dyDescent="0.25">
      <c r="A1752" s="1098"/>
      <c r="B1752" s="1457">
        <v>1502</v>
      </c>
      <c r="C1752" s="1102">
        <v>0.99889302887147191</v>
      </c>
      <c r="D1752" s="1102">
        <v>1.0141487003346263</v>
      </c>
      <c r="E1752" s="1102">
        <v>1.0175042475659393</v>
      </c>
      <c r="F1752" s="1102">
        <v>1.0274580685251633</v>
      </c>
      <c r="G1752" s="1102">
        <v>1.0364507234574318</v>
      </c>
      <c r="H1752" s="1102">
        <v>1.0027927403915982</v>
      </c>
      <c r="I1752" s="1102">
        <v>0.96681845227582686</v>
      </c>
      <c r="K1752">
        <v>1.5831613240572633</v>
      </c>
      <c r="L1752">
        <v>0</v>
      </c>
      <c r="M1752">
        <v>1.5014349896154257E-3</v>
      </c>
      <c r="N1752">
        <v>0.14565531056389092</v>
      </c>
      <c r="O1752">
        <v>0.1226666821327831</v>
      </c>
      <c r="P1752">
        <v>1.6164310343129949E-2</v>
      </c>
      <c r="Q1752">
        <v>9.1105923608752538E-4</v>
      </c>
      <c r="R1752">
        <v>1.4980300176262147E-3</v>
      </c>
      <c r="S1752">
        <v>0.11511354074856611</v>
      </c>
      <c r="T1752">
        <v>0.84672714647755909</v>
      </c>
      <c r="U1752">
        <v>0</v>
      </c>
      <c r="V1752">
        <v>0.20837791126524843</v>
      </c>
      <c r="W1752">
        <v>9.4702094265881206E-2</v>
      </c>
      <c r="X1752">
        <v>2.8769530113587398E-2</v>
      </c>
      <c r="Y1752">
        <v>4.0771438825159649E-3</v>
      </c>
    </row>
    <row r="1753" spans="1:25" x14ac:dyDescent="0.25">
      <c r="A1753" s="1098"/>
      <c r="B1753" s="1457">
        <v>1503</v>
      </c>
      <c r="C1753" s="1102">
        <v>1.0026022389825524</v>
      </c>
      <c r="D1753" s="1102">
        <v>1.0350202730347045</v>
      </c>
      <c r="E1753" s="1102">
        <v>0.9633417281212262</v>
      </c>
      <c r="F1753" s="1102">
        <v>0.99324137677919389</v>
      </c>
      <c r="G1753" s="1102">
        <v>1.0118231726411766</v>
      </c>
      <c r="H1753" s="1102">
        <v>1.03992722313677</v>
      </c>
      <c r="I1753" s="1102">
        <v>0.96424123471365453</v>
      </c>
      <c r="K1753">
        <v>1.5436634361240911</v>
      </c>
      <c r="L1753">
        <v>0</v>
      </c>
      <c r="M1753">
        <v>1.7116384191954582E-3</v>
      </c>
      <c r="N1753">
        <v>0.14097595907310276</v>
      </c>
      <c r="O1753">
        <v>0.11936672676204774</v>
      </c>
      <c r="P1753">
        <v>1.5145312482482274E-2</v>
      </c>
      <c r="Q1753">
        <v>8.5090997256266144E-4</v>
      </c>
      <c r="R1753">
        <v>1.7078741241890838E-3</v>
      </c>
      <c r="S1753">
        <v>0.11550616264498445</v>
      </c>
      <c r="T1753">
        <v>0.82209714655304833</v>
      </c>
      <c r="U1753">
        <v>0</v>
      </c>
      <c r="V1753">
        <v>0.20449557558637793</v>
      </c>
      <c r="W1753">
        <v>9.4681766130087178E-2</v>
      </c>
      <c r="X1753">
        <v>2.589937084891545E-2</v>
      </c>
      <c r="Y1753">
        <v>4.6482703654889554E-3</v>
      </c>
    </row>
    <row r="1754" spans="1:25" x14ac:dyDescent="0.25">
      <c r="A1754" s="1098"/>
      <c r="B1754" s="1457">
        <v>1504</v>
      </c>
      <c r="C1754" s="1102">
        <v>0.97716498488589787</v>
      </c>
      <c r="D1754" s="1102">
        <v>1.0146736992783001</v>
      </c>
      <c r="E1754" s="1102">
        <v>0.96455077239017195</v>
      </c>
      <c r="F1754" s="1102">
        <v>1.0326389548611992</v>
      </c>
      <c r="G1754" s="1102">
        <v>0.97973913088031828</v>
      </c>
      <c r="H1754" s="1102">
        <v>0.98814416080450318</v>
      </c>
      <c r="I1754" s="1102">
        <v>1.003241452846745</v>
      </c>
      <c r="K1754">
        <v>1.5884010075342929</v>
      </c>
      <c r="L1754">
        <v>0</v>
      </c>
      <c r="M1754">
        <v>1.685238705372844E-3</v>
      </c>
      <c r="N1754">
        <v>0.13929620908497978</v>
      </c>
      <c r="O1754">
        <v>0.12430825708298336</v>
      </c>
      <c r="P1754">
        <v>1.5704542481839188E-2</v>
      </c>
      <c r="Q1754">
        <v>8.8114703749756363E-4</v>
      </c>
      <c r="R1754">
        <v>1.6813553202465307E-3</v>
      </c>
      <c r="S1754">
        <v>0.12068605640170865</v>
      </c>
      <c r="T1754">
        <v>0.85462230464984001</v>
      </c>
      <c r="U1754">
        <v>0</v>
      </c>
      <c r="V1754">
        <v>0.2078601539661486</v>
      </c>
      <c r="W1754">
        <v>9.3484469287810013E-2</v>
      </c>
      <c r="X1754">
        <v>2.698565600353213E-2</v>
      </c>
      <c r="Y1754">
        <v>4.5760949230786961E-3</v>
      </c>
    </row>
    <row r="1755" spans="1:25" x14ac:dyDescent="0.25">
      <c r="A1755" s="1098"/>
      <c r="B1755" s="1457">
        <v>1505</v>
      </c>
      <c r="C1755" s="1102">
        <v>1.0027903010155355</v>
      </c>
      <c r="D1755" s="1102">
        <v>0.98053879619916051</v>
      </c>
      <c r="E1755" s="1102">
        <v>1.0363931366914223</v>
      </c>
      <c r="F1755" s="1102">
        <v>1.0017962363628328</v>
      </c>
      <c r="G1755" s="1102">
        <v>1.0232886050929912</v>
      </c>
      <c r="H1755" s="1102">
        <v>0.97580187720711842</v>
      </c>
      <c r="I1755" s="1102">
        <v>1.0034429110884602</v>
      </c>
      <c r="K1755">
        <v>1.5633217483732891</v>
      </c>
      <c r="L1755">
        <v>0</v>
      </c>
      <c r="M1755">
        <v>1.4238966758465615E-3</v>
      </c>
      <c r="N1755">
        <v>0.14622112810510965</v>
      </c>
      <c r="O1755">
        <v>0.12212199713442315</v>
      </c>
      <c r="P1755">
        <v>1.6115189714827588E-2</v>
      </c>
      <c r="Q1755">
        <v>9.3776655128963735E-4</v>
      </c>
      <c r="R1755">
        <v>1.4205915271451053E-3</v>
      </c>
      <c r="S1755">
        <v>0.11916904967321529</v>
      </c>
      <c r="T1755">
        <v>0.82434656346266266</v>
      </c>
      <c r="U1755">
        <v>0</v>
      </c>
      <c r="V1755">
        <v>0.20718385385616356</v>
      </c>
      <c r="W1755">
        <v>9.4030788309171678E-2</v>
      </c>
      <c r="X1755">
        <v>2.9332334876106838E-2</v>
      </c>
      <c r="Y1755">
        <v>3.8663818390179093E-3</v>
      </c>
    </row>
    <row r="1756" spans="1:25" x14ac:dyDescent="0.25">
      <c r="A1756" s="1098"/>
      <c r="B1756" s="1457">
        <v>1506</v>
      </c>
      <c r="C1756" s="1102">
        <v>0.98670917676745584</v>
      </c>
      <c r="D1756" s="1102">
        <v>0.9854476637403311</v>
      </c>
      <c r="E1756" s="1102">
        <v>1.0258113764059869</v>
      </c>
      <c r="F1756" s="1102">
        <v>1.0258413946848597</v>
      </c>
      <c r="G1756" s="1102">
        <v>0.9976849389146083</v>
      </c>
      <c r="H1756" s="1102">
        <v>0.98364086568208264</v>
      </c>
      <c r="I1756" s="1102">
        <v>0.98056347577836667</v>
      </c>
      <c r="K1756">
        <v>1.5909281971270184</v>
      </c>
      <c r="L1756">
        <v>0</v>
      </c>
      <c r="M1756">
        <v>1.4879840365423316E-3</v>
      </c>
      <c r="N1756">
        <v>0.1480079781749</v>
      </c>
      <c r="O1756">
        <v>0.12445962998817924</v>
      </c>
      <c r="P1756">
        <v>1.6287419517344141E-2</v>
      </c>
      <c r="Q1756">
        <v>9.4093885280050144E-4</v>
      </c>
      <c r="R1756">
        <v>1.4845569724497663E-3</v>
      </c>
      <c r="S1756">
        <v>0.11864965671805761</v>
      </c>
      <c r="T1756">
        <v>0.84483825236554788</v>
      </c>
      <c r="U1756">
        <v>0</v>
      </c>
      <c r="V1756">
        <v>0.20848726378131224</v>
      </c>
      <c r="W1756">
        <v>9.576579330690331E-2</v>
      </c>
      <c r="X1756">
        <v>2.945421679113016E-2</v>
      </c>
      <c r="Y1756">
        <v>4.0404746949338211E-3</v>
      </c>
    </row>
    <row r="1757" spans="1:25" x14ac:dyDescent="0.25">
      <c r="A1757" s="1098"/>
      <c r="B1757" s="1457">
        <v>1507</v>
      </c>
      <c r="C1757" s="1102">
        <v>1.0134198881121934</v>
      </c>
      <c r="D1757" s="1102">
        <v>0.96173036452461647</v>
      </c>
      <c r="E1757" s="1102">
        <v>0.9925079125995373</v>
      </c>
      <c r="F1757" s="1102">
        <v>0.98164495810436769</v>
      </c>
      <c r="G1757" s="1102">
        <v>0.99216129007431264</v>
      </c>
      <c r="H1757" s="1102">
        <v>0.98899847631185589</v>
      </c>
      <c r="I1757" s="1102">
        <v>1.0293371470276265</v>
      </c>
      <c r="K1757">
        <v>1.543285635200176</v>
      </c>
      <c r="L1757">
        <v>0</v>
      </c>
      <c r="M1757">
        <v>1.5803843753314068E-3</v>
      </c>
      <c r="N1757">
        <v>0.14216398174993866</v>
      </c>
      <c r="O1757">
        <v>0.1211235542521347</v>
      </c>
      <c r="P1757">
        <v>1.5433269270834354E-2</v>
      </c>
      <c r="Q1757">
        <v>8.9386105944662842E-4</v>
      </c>
      <c r="R1757">
        <v>1.5767736209715705E-3</v>
      </c>
      <c r="S1757">
        <v>0.12330308319040675</v>
      </c>
      <c r="T1757">
        <v>0.81058846243798155</v>
      </c>
      <c r="U1757">
        <v>0</v>
      </c>
      <c r="V1757">
        <v>0.2043407576745386</v>
      </c>
      <c r="W1757">
        <v>9.3810101847470517E-2</v>
      </c>
      <c r="X1757">
        <v>2.7340716458782752E-2</v>
      </c>
      <c r="Y1757">
        <v>4.2914580130001571E-3</v>
      </c>
    </row>
    <row r="1758" spans="1:25" x14ac:dyDescent="0.25">
      <c r="A1758" s="1098"/>
      <c r="B1758" s="1457">
        <v>1508</v>
      </c>
      <c r="C1758" s="1102">
        <v>1.0334032653142344</v>
      </c>
      <c r="D1758" s="1102">
        <v>0.98517630818785873</v>
      </c>
      <c r="E1758" s="1102">
        <v>1.0063623049421602</v>
      </c>
      <c r="F1758" s="1102">
        <v>1.0431724466133616</v>
      </c>
      <c r="G1758" s="1102">
        <v>0.98218549969593072</v>
      </c>
      <c r="H1758" s="1102">
        <v>1.0096357961135431</v>
      </c>
      <c r="I1758" s="1102">
        <v>0.98668147438527842</v>
      </c>
      <c r="K1758">
        <v>1.5912800537356142</v>
      </c>
      <c r="L1758">
        <v>0</v>
      </c>
      <c r="M1758">
        <v>1.5256967263732714E-3</v>
      </c>
      <c r="N1758">
        <v>0.14311871628885156</v>
      </c>
      <c r="O1758">
        <v>0.12331551162905718</v>
      </c>
      <c r="P1758">
        <v>1.6186388897651633E-2</v>
      </c>
      <c r="Q1758">
        <v>8.8073568669322074E-4</v>
      </c>
      <c r="R1758">
        <v>1.5222890877339492E-3</v>
      </c>
      <c r="S1758">
        <v>0.11631909353922455</v>
      </c>
      <c r="T1758">
        <v>0.86044014803728941</v>
      </c>
      <c r="U1758">
        <v>0</v>
      </c>
      <c r="V1758">
        <v>0.20474774415022454</v>
      </c>
      <c r="W1758">
        <v>9.3665301544706536E-2</v>
      </c>
      <c r="X1758">
        <v>2.8466652526206601E-2</v>
      </c>
      <c r="Y1758">
        <v>4.1431690743489067E-3</v>
      </c>
    </row>
    <row r="1759" spans="1:25" x14ac:dyDescent="0.25">
      <c r="A1759" s="1098"/>
      <c r="B1759" s="1457">
        <v>1509</v>
      </c>
      <c r="C1759" s="1102">
        <v>0.99605653527618698</v>
      </c>
      <c r="D1759" s="1102">
        <v>1.0301924663296718</v>
      </c>
      <c r="E1759" s="1102">
        <v>0.99522904142636748</v>
      </c>
      <c r="F1759" s="1102">
        <v>0.9827693805315747</v>
      </c>
      <c r="G1759" s="1102">
        <v>1.0205875166810205</v>
      </c>
      <c r="H1759" s="1102">
        <v>0.98315442022024269</v>
      </c>
      <c r="I1759" s="1102">
        <v>0.9844658056068476</v>
      </c>
      <c r="K1759">
        <v>1.5273147452386542</v>
      </c>
      <c r="L1759">
        <v>0</v>
      </c>
      <c r="M1759">
        <v>1.5270335906169849E-3</v>
      </c>
      <c r="N1759">
        <v>0.1384933399277859</v>
      </c>
      <c r="O1759">
        <v>0.11908546031176942</v>
      </c>
      <c r="P1759">
        <v>1.5367315228163848E-2</v>
      </c>
      <c r="Q1759">
        <v>8.8727595738011245E-4</v>
      </c>
      <c r="R1759">
        <v>1.5234796648866968E-3</v>
      </c>
      <c r="S1759">
        <v>0.114628857793796</v>
      </c>
      <c r="T1759">
        <v>0.81133988159438264</v>
      </c>
      <c r="U1759">
        <v>0</v>
      </c>
      <c r="V1759">
        <v>0.20509388270090928</v>
      </c>
      <c r="W1759">
        <v>9.1239548385777608E-2</v>
      </c>
      <c r="X1759">
        <v>2.7036327831532873E-2</v>
      </c>
      <c r="Y1759">
        <v>4.1464094328850318E-3</v>
      </c>
    </row>
    <row r="1760" spans="1:25" x14ac:dyDescent="0.25">
      <c r="A1760" s="1098"/>
      <c r="B1760" s="1457">
        <v>1510</v>
      </c>
      <c r="C1760" s="1102">
        <v>1.0188319880618946</v>
      </c>
      <c r="D1760" s="1102">
        <v>0.97163967471240364</v>
      </c>
      <c r="E1760" s="1102">
        <v>1.0110216444003219</v>
      </c>
      <c r="F1760" s="1102">
        <v>1.0164733729445079</v>
      </c>
      <c r="G1760" s="1102">
        <v>0.99185699835687879</v>
      </c>
      <c r="H1760" s="1102">
        <v>0.97982373140685619</v>
      </c>
      <c r="I1760" s="1102">
        <v>1.0105263183587831</v>
      </c>
      <c r="K1760">
        <v>1.5699592979183394</v>
      </c>
      <c r="L1760">
        <v>0</v>
      </c>
      <c r="M1760">
        <v>1.4947072931831959E-3</v>
      </c>
      <c r="N1760">
        <v>0.14218827652764113</v>
      </c>
      <c r="O1760">
        <v>0.12280767229786366</v>
      </c>
      <c r="P1760">
        <v>1.5984626999315844E-2</v>
      </c>
      <c r="Q1760">
        <v>9.026193908959004E-4</v>
      </c>
      <c r="R1760">
        <v>1.4912652109825156E-3</v>
      </c>
      <c r="S1760">
        <v>0.11921974750196979</v>
      </c>
      <c r="T1760">
        <v>0.83810662638175581</v>
      </c>
      <c r="U1760">
        <v>0</v>
      </c>
      <c r="V1760">
        <v>0.20542303615442531</v>
      </c>
      <c r="W1760">
        <v>9.2800782377496199E-2</v>
      </c>
      <c r="X1760">
        <v>2.8470620060326586E-2</v>
      </c>
      <c r="Y1760">
        <v>4.058732308849726E-3</v>
      </c>
    </row>
    <row r="1761" spans="1:25" x14ac:dyDescent="0.25">
      <c r="A1761" s="1098"/>
      <c r="B1761" s="1457">
        <v>1511</v>
      </c>
      <c r="C1761" s="1102">
        <v>0.97613211140197886</v>
      </c>
      <c r="D1761" s="1102">
        <v>1.0274444042016795</v>
      </c>
      <c r="E1761" s="1102">
        <v>0.9999591074949844</v>
      </c>
      <c r="F1761" s="1102">
        <v>1.004532755967886</v>
      </c>
      <c r="G1761" s="1102">
        <v>0.98868229787361794</v>
      </c>
      <c r="H1761" s="1102">
        <v>0.99880324934359599</v>
      </c>
      <c r="I1761" s="1102">
        <v>0.99413549843038573</v>
      </c>
      <c r="K1761">
        <v>1.5650151954911684</v>
      </c>
      <c r="L1761">
        <v>0</v>
      </c>
      <c r="M1761">
        <v>1.5702181917631943E-3</v>
      </c>
      <c r="N1761">
        <v>0.1444655204170735</v>
      </c>
      <c r="O1761">
        <v>0.12173704958994792</v>
      </c>
      <c r="P1761">
        <v>1.5750191758588016E-2</v>
      </c>
      <c r="Q1761">
        <v>9.1081610091960335E-4</v>
      </c>
      <c r="R1761">
        <v>1.5666232801227304E-3</v>
      </c>
      <c r="S1761">
        <v>0.11957187302484762</v>
      </c>
      <c r="T1761">
        <v>0.82899292443909933</v>
      </c>
      <c r="U1761">
        <v>0</v>
      </c>
      <c r="V1761">
        <v>0.2065823977752943</v>
      </c>
      <c r="W1761">
        <v>9.4906332913802918E-2</v>
      </c>
      <c r="X1761">
        <v>2.783785225196482E-2</v>
      </c>
      <c r="Y1761">
        <v>4.2638321312685754E-3</v>
      </c>
    </row>
    <row r="1762" spans="1:25" x14ac:dyDescent="0.25">
      <c r="A1762" s="1098"/>
      <c r="B1762" s="1457">
        <v>1512</v>
      </c>
      <c r="C1762" s="1102">
        <v>0.99595465878941769</v>
      </c>
      <c r="D1762" s="1102">
        <v>1.0112635156685437</v>
      </c>
      <c r="E1762" s="1102">
        <v>1.029100671319092</v>
      </c>
      <c r="F1762" s="1102">
        <v>0.98076998307178143</v>
      </c>
      <c r="G1762" s="1102">
        <v>0.98684474824523161</v>
      </c>
      <c r="H1762" s="1102">
        <v>0.99919466290080838</v>
      </c>
      <c r="I1762" s="1102">
        <v>1.0018575534412077</v>
      </c>
      <c r="K1762">
        <v>1.5413694013274433</v>
      </c>
      <c r="L1762">
        <v>0</v>
      </c>
      <c r="M1762">
        <v>1.4616071705572009E-3</v>
      </c>
      <c r="N1762">
        <v>0.14683626488956342</v>
      </c>
      <c r="O1762">
        <v>0.11965933394360408</v>
      </c>
      <c r="P1762">
        <v>1.5754103299402078E-2</v>
      </c>
      <c r="Q1762">
        <v>9.2571726685479418E-4</v>
      </c>
      <c r="R1762">
        <v>1.4582698039422319E-3</v>
      </c>
      <c r="S1762">
        <v>0.11928368044486443</v>
      </c>
      <c r="T1762">
        <v>0.80750930073839899</v>
      </c>
      <c r="U1762">
        <v>0</v>
      </c>
      <c r="V1762">
        <v>0.20408514961124655</v>
      </c>
      <c r="W1762">
        <v>9.4826065876362012E-2</v>
      </c>
      <c r="X1762">
        <v>2.8524192935943455E-2</v>
      </c>
      <c r="Y1762">
        <v>3.9689296878190807E-3</v>
      </c>
    </row>
    <row r="1763" spans="1:25" x14ac:dyDescent="0.25">
      <c r="A1763" s="1098"/>
      <c r="B1763" s="1457">
        <v>1513</v>
      </c>
      <c r="C1763" s="1102">
        <v>0.99465839359162456</v>
      </c>
      <c r="D1763" s="1102">
        <v>0.99007216976501122</v>
      </c>
      <c r="E1763" s="1102">
        <v>1.0053489368325355</v>
      </c>
      <c r="F1763" s="1102">
        <v>1.0116844255671746</v>
      </c>
      <c r="G1763" s="1102">
        <v>1.0111185351795657</v>
      </c>
      <c r="H1763" s="1102">
        <v>1.0133915815339847</v>
      </c>
      <c r="I1763" s="1102">
        <v>1.0155784005113535</v>
      </c>
      <c r="K1763">
        <v>1.5831289931497294</v>
      </c>
      <c r="L1763">
        <v>0</v>
      </c>
      <c r="M1763">
        <v>1.5818716937400536E-3</v>
      </c>
      <c r="N1763">
        <v>0.14793409803397042</v>
      </c>
      <c r="O1763">
        <v>0.12289403929965505</v>
      </c>
      <c r="P1763">
        <v>1.5961217399325801E-2</v>
      </c>
      <c r="Q1763">
        <v>9.1227429148872977E-4</v>
      </c>
      <c r="R1763">
        <v>1.5783308889560288E-3</v>
      </c>
      <c r="S1763">
        <v>0.12390839978432776</v>
      </c>
      <c r="T1763">
        <v>0.83453536133322359</v>
      </c>
      <c r="U1763">
        <v>0</v>
      </c>
      <c r="V1763">
        <v>0.20748800837123346</v>
      </c>
      <c r="W1763">
        <v>9.6874830876844911E-2</v>
      </c>
      <c r="X1763">
        <v>2.8328608181339549E-2</v>
      </c>
      <c r="Y1763">
        <v>4.2956963831005997E-3</v>
      </c>
    </row>
    <row r="1764" spans="1:25" x14ac:dyDescent="0.25">
      <c r="A1764" s="1098"/>
      <c r="B1764" s="1457">
        <v>1514</v>
      </c>
      <c r="C1764" s="1102">
        <v>1.0001117414626775</v>
      </c>
      <c r="D1764" s="1102">
        <v>0.97689190342140975</v>
      </c>
      <c r="E1764" s="1102">
        <v>1.0027404144514049</v>
      </c>
      <c r="F1764" s="1102">
        <v>1.020903245775671</v>
      </c>
      <c r="G1764" s="1102">
        <v>0.96437084784247507</v>
      </c>
      <c r="H1764" s="1102">
        <v>1.0165805286191683</v>
      </c>
      <c r="I1764" s="1102">
        <v>0.99065065072663738</v>
      </c>
      <c r="K1764">
        <v>1.5890733267351236</v>
      </c>
      <c r="L1764">
        <v>0</v>
      </c>
      <c r="M1764">
        <v>1.6006444515565099E-3</v>
      </c>
      <c r="N1764">
        <v>0.14851714477405872</v>
      </c>
      <c r="O1764">
        <v>0.12386978197443384</v>
      </c>
      <c r="P1764">
        <v>1.5980749517713208E-2</v>
      </c>
      <c r="Q1764">
        <v>9.097183697311848E-4</v>
      </c>
      <c r="R1764">
        <v>1.5970848045714161E-3</v>
      </c>
      <c r="S1764">
        <v>0.12151231484598896</v>
      </c>
      <c r="T1764">
        <v>0.84231538851093291</v>
      </c>
      <c r="U1764">
        <v>0</v>
      </c>
      <c r="V1764">
        <v>0.20580351866628618</v>
      </c>
      <c r="W1764">
        <v>9.7407058562491627E-2</v>
      </c>
      <c r="X1764">
        <v>2.8414472801291387E-2</v>
      </c>
      <c r="Y1764">
        <v>4.3467383591790617E-3</v>
      </c>
    </row>
    <row r="1765" spans="1:25" x14ac:dyDescent="0.25">
      <c r="A1765" s="1098"/>
      <c r="B1765" s="1457">
        <v>1515</v>
      </c>
      <c r="C1765" s="1102">
        <v>0.98486750270754675</v>
      </c>
      <c r="D1765" s="1102">
        <v>1.0172524942406989</v>
      </c>
      <c r="E1765" s="1102">
        <v>1.0279722209122437</v>
      </c>
      <c r="F1765" s="1102">
        <v>1.0308071416201277</v>
      </c>
      <c r="G1765" s="1102">
        <v>0.98996128524627924</v>
      </c>
      <c r="H1765" s="1102">
        <v>1.0011009035431901</v>
      </c>
      <c r="I1765" s="1102">
        <v>0.97141313659344586</v>
      </c>
      <c r="K1765">
        <v>1.5919923658251185</v>
      </c>
      <c r="L1765">
        <v>0</v>
      </c>
      <c r="M1765">
        <v>1.4837794442173532E-3</v>
      </c>
      <c r="N1765">
        <v>0.14855877701723208</v>
      </c>
      <c r="O1765">
        <v>0.12347060289897431</v>
      </c>
      <c r="P1765">
        <v>1.6331428276665318E-2</v>
      </c>
      <c r="Q1765">
        <v>9.3285442144188215E-4</v>
      </c>
      <c r="R1765">
        <v>1.4804045442591608E-3</v>
      </c>
      <c r="S1765">
        <v>0.11692351532430302</v>
      </c>
      <c r="T1765">
        <v>0.84878272003743405</v>
      </c>
      <c r="U1765">
        <v>0</v>
      </c>
      <c r="V1765">
        <v>0.20758921505445047</v>
      </c>
      <c r="W1765">
        <v>9.600139108413687E-2</v>
      </c>
      <c r="X1765">
        <v>2.9376063456189851E-2</v>
      </c>
      <c r="Y1765">
        <v>4.0291731542465769E-3</v>
      </c>
    </row>
    <row r="1766" spans="1:25" x14ac:dyDescent="0.25">
      <c r="A1766" s="1098"/>
      <c r="B1766" s="1457">
        <v>1516</v>
      </c>
      <c r="C1766" s="1102">
        <v>0.99614764534032463</v>
      </c>
      <c r="D1766" s="1102">
        <v>1.0324256596971217</v>
      </c>
      <c r="E1766" s="1102">
        <v>1.0194232061834088</v>
      </c>
      <c r="F1766" s="1102">
        <v>0.97962071181806154</v>
      </c>
      <c r="G1766" s="1102">
        <v>0.98884086624405643</v>
      </c>
      <c r="H1766" s="1102">
        <v>1.0179050817179716</v>
      </c>
      <c r="I1766" s="1102">
        <v>0.95290444081079617</v>
      </c>
      <c r="K1766">
        <v>1.5328477712704573</v>
      </c>
      <c r="L1766">
        <v>0</v>
      </c>
      <c r="M1766">
        <v>1.5012088014596892E-3</v>
      </c>
      <c r="N1766">
        <v>0.14648172221239797</v>
      </c>
      <c r="O1766">
        <v>0.11870059939351725</v>
      </c>
      <c r="P1766">
        <v>1.5548768444307014E-2</v>
      </c>
      <c r="Q1766">
        <v>9.0885511037509163E-4</v>
      </c>
      <c r="R1766">
        <v>1.4978322579958291E-3</v>
      </c>
      <c r="S1766">
        <v>0.11341099927964725</v>
      </c>
      <c r="T1766">
        <v>0.80718145439286393</v>
      </c>
      <c r="U1766">
        <v>0</v>
      </c>
      <c r="V1766">
        <v>0.20347147276792993</v>
      </c>
      <c r="W1766">
        <v>9.5132416454127858E-2</v>
      </c>
      <c r="X1766">
        <v>2.7938254112760987E-2</v>
      </c>
      <c r="Y1766">
        <v>4.0766056459934979E-3</v>
      </c>
    </row>
    <row r="1767" spans="1:25" x14ac:dyDescent="0.25">
      <c r="A1767" s="1098"/>
      <c r="B1767" s="1457">
        <v>1517</v>
      </c>
      <c r="C1767" s="1102">
        <v>1.0125994194094132</v>
      </c>
      <c r="D1767" s="1102">
        <v>0.96906560276091591</v>
      </c>
      <c r="E1767" s="1102">
        <v>1.0140791217292651</v>
      </c>
      <c r="F1767" s="1102">
        <v>1.035479668539766</v>
      </c>
      <c r="G1767" s="1102">
        <v>1.014053701139729</v>
      </c>
      <c r="H1767" s="1102">
        <v>1.0294389057723772</v>
      </c>
      <c r="I1767" s="1102">
        <v>0.98524944629492095</v>
      </c>
      <c r="K1767">
        <v>1.6074298954316784</v>
      </c>
      <c r="L1767">
        <v>0</v>
      </c>
      <c r="M1767">
        <v>1.5739523311223086E-3</v>
      </c>
      <c r="N1767">
        <v>0.15113215973588071</v>
      </c>
      <c r="O1767">
        <v>0.12456748787982141</v>
      </c>
      <c r="P1767">
        <v>1.6295804226042543E-2</v>
      </c>
      <c r="Q1767">
        <v>9.1200651245289537E-4</v>
      </c>
      <c r="R1767">
        <v>1.5705073465622063E-3</v>
      </c>
      <c r="S1767">
        <v>0.12113063643714253</v>
      </c>
      <c r="T1767">
        <v>0.85357005805057484</v>
      </c>
      <c r="U1767">
        <v>0</v>
      </c>
      <c r="V1767">
        <v>0.20801284881018378</v>
      </c>
      <c r="W1767">
        <v>9.8460788295555629E-2</v>
      </c>
      <c r="X1767">
        <v>2.907714718884848E-2</v>
      </c>
      <c r="Y1767">
        <v>4.2744032797346716E-3</v>
      </c>
    </row>
    <row r="1768" spans="1:25" x14ac:dyDescent="0.25">
      <c r="A1768" s="1098"/>
      <c r="B1768" s="1457">
        <v>1518</v>
      </c>
      <c r="C1768" s="1102">
        <v>1.0208901716171501</v>
      </c>
      <c r="D1768" s="1102">
        <v>1.0123617207267157</v>
      </c>
      <c r="E1768" s="1102">
        <v>1.0354512836994001</v>
      </c>
      <c r="F1768" s="1102">
        <v>0.98552152820966155</v>
      </c>
      <c r="G1768" s="1102">
        <v>0.99021533840125375</v>
      </c>
      <c r="H1768" s="1102">
        <v>1.0367878290383896</v>
      </c>
      <c r="I1768" s="1102">
        <v>1.014929590536827</v>
      </c>
      <c r="K1768">
        <v>1.5485526880763505</v>
      </c>
      <c r="L1768">
        <v>0</v>
      </c>
      <c r="M1768">
        <v>1.4623623878405145E-3</v>
      </c>
      <c r="N1768">
        <v>0.14976437609297011</v>
      </c>
      <c r="O1768">
        <v>0.11867775222265003</v>
      </c>
      <c r="P1768">
        <v>1.5875445021738172E-2</v>
      </c>
      <c r="Q1768">
        <v>9.0857622864165121E-4</v>
      </c>
      <c r="R1768">
        <v>1.4591507480344549E-3</v>
      </c>
      <c r="S1768">
        <v>0.12093862492177787</v>
      </c>
      <c r="T1768">
        <v>0.81101481655174001</v>
      </c>
      <c r="U1768">
        <v>0</v>
      </c>
      <c r="V1768">
        <v>0.20239750196642164</v>
      </c>
      <c r="W1768">
        <v>9.6361778511823495E-2</v>
      </c>
      <c r="X1768">
        <v>2.8645700871157503E-2</v>
      </c>
      <c r="Y1768">
        <v>3.9713273272349702E-3</v>
      </c>
    </row>
    <row r="1769" spans="1:25" x14ac:dyDescent="0.25">
      <c r="A1769" s="1098"/>
      <c r="B1769" s="1457">
        <v>1519</v>
      </c>
      <c r="C1769" s="1102">
        <v>0.96525378303982312</v>
      </c>
      <c r="D1769" s="1102">
        <v>0.98418410000571377</v>
      </c>
      <c r="E1769" s="1102">
        <v>0.99810166694634761</v>
      </c>
      <c r="F1769" s="1102">
        <v>1.0019995231983594</v>
      </c>
      <c r="G1769" s="1102">
        <v>0.9625154328288712</v>
      </c>
      <c r="H1769" s="1102">
        <v>0.9900836041899177</v>
      </c>
      <c r="I1769" s="1102">
        <v>0.99547775142575956</v>
      </c>
      <c r="K1769">
        <v>1.576622306917894</v>
      </c>
      <c r="L1769">
        <v>0</v>
      </c>
      <c r="M1769">
        <v>1.6172885365655716E-3</v>
      </c>
      <c r="N1769">
        <v>0.14796250323609175</v>
      </c>
      <c r="O1769">
        <v>0.1240598399012012</v>
      </c>
      <c r="P1769">
        <v>1.5767084461895425E-2</v>
      </c>
      <c r="Q1769">
        <v>9.3526306435111675E-4</v>
      </c>
      <c r="R1769">
        <v>1.6135757400829293E-3</v>
      </c>
      <c r="S1769">
        <v>0.12341777541438113</v>
      </c>
      <c r="T1769">
        <v>0.82702528906763784</v>
      </c>
      <c r="U1769">
        <v>0</v>
      </c>
      <c r="V1769">
        <v>0.20754408260456669</v>
      </c>
      <c r="W1769">
        <v>9.7311119332798179E-2</v>
      </c>
      <c r="X1769">
        <v>2.821144138204711E-2</v>
      </c>
      <c r="Y1769">
        <v>4.3916212494059699E-3</v>
      </c>
    </row>
    <row r="1770" spans="1:25" x14ac:dyDescent="0.25">
      <c r="A1770" s="1098"/>
      <c r="B1770" s="1457">
        <v>1520</v>
      </c>
      <c r="C1770" s="1102">
        <v>0.98160807850756471</v>
      </c>
      <c r="D1770" s="1102">
        <v>1.0018812238680572</v>
      </c>
      <c r="E1770" s="1102">
        <v>1.0384234181096768</v>
      </c>
      <c r="F1770" s="1102">
        <v>1.0129899729468721</v>
      </c>
      <c r="G1770" s="1102">
        <v>0.98672216392346956</v>
      </c>
      <c r="H1770" s="1102">
        <v>0.98777128485872789</v>
      </c>
      <c r="I1770" s="1102">
        <v>0.98835435562368634</v>
      </c>
      <c r="K1770">
        <v>1.5794767488279009</v>
      </c>
      <c r="L1770">
        <v>0</v>
      </c>
      <c r="M1770">
        <v>1.4474323642898234E-3</v>
      </c>
      <c r="N1770">
        <v>0.14955278463965363</v>
      </c>
      <c r="O1770">
        <v>0.12305221440403044</v>
      </c>
      <c r="P1770">
        <v>1.6269160448892823E-2</v>
      </c>
      <c r="Q1770">
        <v>9.5174894070743359E-4</v>
      </c>
      <c r="R1770">
        <v>1.4440989978644237E-3</v>
      </c>
      <c r="S1770">
        <v>0.11928043858366298</v>
      </c>
      <c r="T1770">
        <v>0.83342425500036155</v>
      </c>
      <c r="U1770">
        <v>0</v>
      </c>
      <c r="V1770">
        <v>0.20728873615950166</v>
      </c>
      <c r="W1770">
        <v>9.6060664468779644E-2</v>
      </c>
      <c r="X1770">
        <v>2.9669718123654515E-2</v>
      </c>
      <c r="Y1770">
        <v>3.9303614250802551E-3</v>
      </c>
    </row>
    <row r="1771" spans="1:25" x14ac:dyDescent="0.25">
      <c r="A1771" s="1098"/>
      <c r="B1771" s="1457">
        <v>1521</v>
      </c>
      <c r="C1771" s="1102">
        <v>0.98083624485795573</v>
      </c>
      <c r="D1771" s="1102">
        <v>1.0245028073829523</v>
      </c>
      <c r="E1771" s="1102">
        <v>0.95470227549459341</v>
      </c>
      <c r="F1771" s="1102">
        <v>1.0217678067123543</v>
      </c>
      <c r="G1771" s="1102">
        <v>1.039079877305175</v>
      </c>
      <c r="H1771" s="1102">
        <v>1.0067307268521832</v>
      </c>
      <c r="I1771" s="1102">
        <v>1.0004806378030708</v>
      </c>
      <c r="K1771">
        <v>1.579833716215945</v>
      </c>
      <c r="L1771">
        <v>0</v>
      </c>
      <c r="M1771">
        <v>1.735157479478584E-3</v>
      </c>
      <c r="N1771">
        <v>0.13921068278313153</v>
      </c>
      <c r="O1771">
        <v>0.12295040811531212</v>
      </c>
      <c r="P1771">
        <v>1.549452644251679E-2</v>
      </c>
      <c r="Q1771">
        <v>8.653933443741594E-4</v>
      </c>
      <c r="R1771">
        <v>1.7312244950607781E-3</v>
      </c>
      <c r="S1771">
        <v>0.1206366967739641</v>
      </c>
      <c r="T1771">
        <v>0.84630262364656528</v>
      </c>
      <c r="U1771">
        <v>0</v>
      </c>
      <c r="V1771">
        <v>0.20934286915777017</v>
      </c>
      <c r="W1771">
        <v>9.3993433161507031E-2</v>
      </c>
      <c r="X1771">
        <v>2.6329193397666949E-2</v>
      </c>
      <c r="Y1771">
        <v>4.7118223775540202E-3</v>
      </c>
    </row>
    <row r="1772" spans="1:25" x14ac:dyDescent="0.25">
      <c r="A1772" s="1098"/>
      <c r="B1772" s="1457">
        <v>1522</v>
      </c>
      <c r="C1772" s="1102">
        <v>0.96721649464421489</v>
      </c>
      <c r="D1772" s="1102">
        <v>0.99179023000227762</v>
      </c>
      <c r="E1772" s="1102">
        <v>1.0044272150710496</v>
      </c>
      <c r="F1772" s="1102">
        <v>0.9883830423606097</v>
      </c>
      <c r="G1772" s="1102">
        <v>1.0204876186090921</v>
      </c>
      <c r="H1772" s="1102">
        <v>0.99564022285397213</v>
      </c>
      <c r="I1772" s="1102">
        <v>1.0014142909596344</v>
      </c>
      <c r="K1772">
        <v>1.5658668724635931</v>
      </c>
      <c r="L1772">
        <v>0</v>
      </c>
      <c r="M1772">
        <v>1.5934937315083841E-3</v>
      </c>
      <c r="N1772">
        <v>0.14859934277006487</v>
      </c>
      <c r="O1772">
        <v>0.12261953023112744</v>
      </c>
      <c r="P1772">
        <v>1.5707037468907455E-2</v>
      </c>
      <c r="Q1772">
        <v>9.3661379910995734E-4</v>
      </c>
      <c r="R1772">
        <v>1.5898480223278575E-3</v>
      </c>
      <c r="S1772">
        <v>0.12372931786680119</v>
      </c>
      <c r="T1772">
        <v>0.8153741181446148</v>
      </c>
      <c r="U1772">
        <v>0</v>
      </c>
      <c r="V1772">
        <v>0.20904032541360709</v>
      </c>
      <c r="W1772">
        <v>9.7363585211338255E-2</v>
      </c>
      <c r="X1772">
        <v>2.8173605043684092E-2</v>
      </c>
      <c r="Y1772">
        <v>4.3270422235167205E-3</v>
      </c>
    </row>
    <row r="1773" spans="1:25" x14ac:dyDescent="0.25">
      <c r="A1773" s="1098"/>
      <c r="B1773" s="1457">
        <v>1523</v>
      </c>
      <c r="C1773" s="1102">
        <v>0.96020144726231726</v>
      </c>
      <c r="D1773" s="1102">
        <v>1.0220336254933668</v>
      </c>
      <c r="E1773" s="1102">
        <v>0.97840618214342967</v>
      </c>
      <c r="F1773" s="1102">
        <v>0.99924276678297941</v>
      </c>
      <c r="G1773" s="1102">
        <v>1.000323140981723</v>
      </c>
      <c r="H1773" s="1102">
        <v>1.0150157299643026</v>
      </c>
      <c r="I1773" s="1102">
        <v>0.97074779479605278</v>
      </c>
      <c r="K1773">
        <v>1.5691151996112758</v>
      </c>
      <c r="L1773">
        <v>0</v>
      </c>
      <c r="M1773">
        <v>1.698564132179978E-3</v>
      </c>
      <c r="N1773">
        <v>0.14641963694537899</v>
      </c>
      <c r="O1773">
        <v>0.12251421629666265</v>
      </c>
      <c r="P1773">
        <v>1.5489205317715042E-2</v>
      </c>
      <c r="Q1773">
        <v>9.0726284471613692E-4</v>
      </c>
      <c r="R1773">
        <v>1.694734694638495E-3</v>
      </c>
      <c r="S1773">
        <v>0.12018128112039206</v>
      </c>
      <c r="T1773">
        <v>0.82605658824890116</v>
      </c>
      <c r="U1773">
        <v>0</v>
      </c>
      <c r="V1773">
        <v>0.20837567426594072</v>
      </c>
      <c r="W1773">
        <v>9.7440930713641044E-2</v>
      </c>
      <c r="X1773">
        <v>2.712172412580666E-2</v>
      </c>
      <c r="Y1773">
        <v>4.6125091696640422E-3</v>
      </c>
    </row>
    <row r="1774" spans="1:25" x14ac:dyDescent="0.25">
      <c r="A1774" s="1098"/>
      <c r="B1774" s="1457">
        <v>1524</v>
      </c>
      <c r="C1774" s="1102">
        <v>1.0041183935622575</v>
      </c>
      <c r="D1774" s="1102">
        <v>0.99773219757746889</v>
      </c>
      <c r="E1774" s="1102">
        <v>0.97659021403870783</v>
      </c>
      <c r="F1774" s="1102">
        <v>0.99162971051444659</v>
      </c>
      <c r="G1774" s="1102">
        <v>1.0014963061017499</v>
      </c>
      <c r="H1774" s="1102">
        <v>1.0033474321272686</v>
      </c>
      <c r="I1774" s="1102">
        <v>1.0375968379388518</v>
      </c>
      <c r="K1774">
        <v>1.5508242718635594</v>
      </c>
      <c r="L1774">
        <v>0</v>
      </c>
      <c r="M1774">
        <v>1.6381223399077913E-3</v>
      </c>
      <c r="N1774">
        <v>0.14043398769167642</v>
      </c>
      <c r="O1774">
        <v>0.12074219456380821</v>
      </c>
      <c r="P1774">
        <v>1.5388470541837477E-2</v>
      </c>
      <c r="Q1774">
        <v>8.7430599121848058E-4</v>
      </c>
      <c r="R1774">
        <v>1.6344110657275518E-3</v>
      </c>
      <c r="S1774">
        <v>0.12387642560621889</v>
      </c>
      <c r="T1774">
        <v>0.81988319084318173</v>
      </c>
      <c r="U1774">
        <v>0</v>
      </c>
      <c r="V1774">
        <v>0.20493092988583067</v>
      </c>
      <c r="W1774">
        <v>9.356027415630519E-2</v>
      </c>
      <c r="X1774">
        <v>2.668987572021312E-2</v>
      </c>
      <c r="Y1774">
        <v>4.4483281374473787E-3</v>
      </c>
    </row>
    <row r="1775" spans="1:25" x14ac:dyDescent="0.25">
      <c r="A1775" s="1098"/>
      <c r="B1775" s="1457">
        <v>1525</v>
      </c>
      <c r="C1775" s="1102">
        <v>1.0147659000125802</v>
      </c>
      <c r="D1775" s="1102">
        <v>0.99638042755941214</v>
      </c>
      <c r="E1775" s="1102">
        <v>0.98685519676506317</v>
      </c>
      <c r="F1775" s="1102">
        <v>1.0006789138044552</v>
      </c>
      <c r="G1775" s="1102">
        <v>0.98288675562776928</v>
      </c>
      <c r="H1775" s="1102">
        <v>1.041685629837372</v>
      </c>
      <c r="I1775" s="1102">
        <v>1.0046740186342082</v>
      </c>
      <c r="K1775">
        <v>1.5640098353599952</v>
      </c>
      <c r="L1775">
        <v>0</v>
      </c>
      <c r="M1775">
        <v>1.6511993056006014E-3</v>
      </c>
      <c r="N1775">
        <v>0.14603267822882068</v>
      </c>
      <c r="O1775">
        <v>0.12086753098797419</v>
      </c>
      <c r="P1775">
        <v>1.5558218545616696E-2</v>
      </c>
      <c r="Q1775">
        <v>8.7495452847932481E-4</v>
      </c>
      <c r="R1775">
        <v>1.6476021696388353E-3</v>
      </c>
      <c r="S1775">
        <v>0.1219364874309626</v>
      </c>
      <c r="T1775">
        <v>0.82668095362002669</v>
      </c>
      <c r="U1775">
        <v>0</v>
      </c>
      <c r="V1775">
        <v>0.20373523312588243</v>
      </c>
      <c r="W1775">
        <v>9.6689900066601678E-2</v>
      </c>
      <c r="X1775">
        <v>2.7153245987744209E-2</v>
      </c>
      <c r="Y1775">
        <v>4.4842299738476589E-3</v>
      </c>
    </row>
    <row r="1776" spans="1:25" x14ac:dyDescent="0.25">
      <c r="A1776" s="1098"/>
      <c r="B1776" s="1457">
        <v>1526</v>
      </c>
      <c r="C1776" s="1102">
        <v>0.97439567241078284</v>
      </c>
      <c r="D1776" s="1102">
        <v>0.98422023939206871</v>
      </c>
      <c r="E1776" s="1102">
        <v>0.98776177592130265</v>
      </c>
      <c r="F1776" s="1102">
        <v>0.98606729444082242</v>
      </c>
      <c r="G1776" s="1102">
        <v>1.0359757304096124</v>
      </c>
      <c r="H1776" s="1102">
        <v>0.97824418238337818</v>
      </c>
      <c r="I1776" s="1102">
        <v>0.95907320288493447</v>
      </c>
      <c r="K1776">
        <v>1.549255265753918</v>
      </c>
      <c r="L1776">
        <v>0</v>
      </c>
      <c r="M1776">
        <v>1.6163050237208304E-3</v>
      </c>
      <c r="N1776">
        <v>0.14331803086404532</v>
      </c>
      <c r="O1776">
        <v>0.12245381223662347</v>
      </c>
      <c r="P1776">
        <v>1.5409095855757955E-2</v>
      </c>
      <c r="Q1776">
        <v>9.1655841206993995E-4</v>
      </c>
      <c r="R1776">
        <v>1.6125474678125294E-3</v>
      </c>
      <c r="S1776">
        <v>0.11679433432798716</v>
      </c>
      <c r="T1776">
        <v>0.8145506219105636</v>
      </c>
      <c r="U1776">
        <v>0</v>
      </c>
      <c r="V1776">
        <v>0.20917811568656769</v>
      </c>
      <c r="W1776">
        <v>9.4840869548591999E-2</v>
      </c>
      <c r="X1776">
        <v>2.7408761836360925E-2</v>
      </c>
      <c r="Y1776">
        <v>4.3888226312558043E-3</v>
      </c>
    </row>
    <row r="1777" spans="1:25" x14ac:dyDescent="0.25">
      <c r="A1777" s="1098"/>
      <c r="B1777" s="1457">
        <v>1527</v>
      </c>
      <c r="C1777" s="1102">
        <v>0.99788652150901391</v>
      </c>
      <c r="D1777" s="1102">
        <v>1.0011380371481888</v>
      </c>
      <c r="E1777" s="1102">
        <v>1.0321472714517406</v>
      </c>
      <c r="F1777" s="1102">
        <v>0.98575575612079169</v>
      </c>
      <c r="G1777" s="1102">
        <v>1.0075533084300743</v>
      </c>
      <c r="H1777" s="1102">
        <v>0.96194132897232221</v>
      </c>
      <c r="I1777" s="1102">
        <v>1.0235324586324501</v>
      </c>
      <c r="K1777">
        <v>1.5400302092850306</v>
      </c>
      <c r="L1777">
        <v>0</v>
      </c>
      <c r="M1777">
        <v>1.4042027035798424E-3</v>
      </c>
      <c r="N1777">
        <v>0.14235892470098638</v>
      </c>
      <c r="O1777">
        <v>0.12033993394405337</v>
      </c>
      <c r="P1777">
        <v>1.5863612654311587E-2</v>
      </c>
      <c r="Q1777">
        <v>9.3053912501811411E-4</v>
      </c>
      <c r="R1777">
        <v>1.4008795292153662E-3</v>
      </c>
      <c r="S1777">
        <v>0.11938396694066329</v>
      </c>
      <c r="T1777">
        <v>0.81141901647251335</v>
      </c>
      <c r="U1777">
        <v>0</v>
      </c>
      <c r="V1777">
        <v>0.20541849111881172</v>
      </c>
      <c r="W1777">
        <v>9.1772262573629484E-2</v>
      </c>
      <c r="X1777">
        <v>2.873405265069455E-2</v>
      </c>
      <c r="Y1777">
        <v>3.8127322787115336E-3</v>
      </c>
    </row>
    <row r="1778" spans="1:25" x14ac:dyDescent="0.25">
      <c r="A1778" s="1098"/>
      <c r="B1778" s="1457">
        <v>1528</v>
      </c>
      <c r="C1778" s="1102">
        <v>1.0471039278309353</v>
      </c>
      <c r="D1778" s="1102">
        <v>0.9896464212265732</v>
      </c>
      <c r="E1778" s="1102">
        <v>0.99037098994480499</v>
      </c>
      <c r="F1778" s="1102">
        <v>1.013587347938339</v>
      </c>
      <c r="G1778" s="1102">
        <v>1.0204658528658668</v>
      </c>
      <c r="H1778" s="1102">
        <v>1.0286567103245046</v>
      </c>
      <c r="I1778" s="1102">
        <v>1.0159462265399848</v>
      </c>
      <c r="K1778">
        <v>1.5630961680648618</v>
      </c>
      <c r="L1778">
        <v>0</v>
      </c>
      <c r="M1778">
        <v>1.5798531112764008E-3</v>
      </c>
      <c r="N1778">
        <v>0.14121354263170924</v>
      </c>
      <c r="O1778">
        <v>0.12045385612076263</v>
      </c>
      <c r="P1778">
        <v>1.5703748168302799E-2</v>
      </c>
      <c r="Q1778">
        <v>8.5336012539069485E-4</v>
      </c>
      <c r="R1778">
        <v>1.5763829522101212E-3</v>
      </c>
      <c r="S1778">
        <v>0.11923559182009853</v>
      </c>
      <c r="T1778">
        <v>0.83710831501347316</v>
      </c>
      <c r="U1778">
        <v>0</v>
      </c>
      <c r="V1778">
        <v>0.20371352027912712</v>
      </c>
      <c r="W1778">
        <v>9.3302161525057145E-2</v>
      </c>
      <c r="X1778">
        <v>2.7225147798589078E-2</v>
      </c>
      <c r="Y1778">
        <v>4.2903947414154138E-3</v>
      </c>
    </row>
    <row r="1779" spans="1:25" x14ac:dyDescent="0.25">
      <c r="A1779" s="1098"/>
      <c r="B1779" s="1457">
        <v>1529</v>
      </c>
      <c r="C1779" s="1102">
        <v>1.0080201136905984</v>
      </c>
      <c r="D1779" s="1102">
        <v>1.0268179394848274</v>
      </c>
      <c r="E1779" s="1102">
        <v>1.0066816989785297</v>
      </c>
      <c r="F1779" s="1102">
        <v>1.0211192178095714</v>
      </c>
      <c r="G1779" s="1102">
        <v>1.0040186971157257</v>
      </c>
      <c r="H1779" s="1102">
        <v>0.98378759749972011</v>
      </c>
      <c r="I1779" s="1102">
        <v>1.0463671764362963</v>
      </c>
      <c r="K1779">
        <v>1.569138698652504</v>
      </c>
      <c r="L1779">
        <v>0</v>
      </c>
      <c r="M1779">
        <v>1.4826051906491678E-3</v>
      </c>
      <c r="N1779">
        <v>0.13919917877924015</v>
      </c>
      <c r="O1779">
        <v>0.12124494691887495</v>
      </c>
      <c r="P1779">
        <v>1.6014272224371764E-2</v>
      </c>
      <c r="Q1779">
        <v>8.8837790380638692E-4</v>
      </c>
      <c r="R1779">
        <v>1.4791713957514382E-3</v>
      </c>
      <c r="S1779">
        <v>0.12099287160059267</v>
      </c>
      <c r="T1779">
        <v>0.84222851761127726</v>
      </c>
      <c r="U1779">
        <v>0</v>
      </c>
      <c r="V1779">
        <v>0.20543525624146808</v>
      </c>
      <c r="W1779">
        <v>9.1082922594800747E-2</v>
      </c>
      <c r="X1779">
        <v>2.8029971642455152E-2</v>
      </c>
      <c r="Y1779">
        <v>4.0258169305158534E-3</v>
      </c>
    </row>
    <row r="1780" spans="1:25" x14ac:dyDescent="0.25">
      <c r="A1780" s="1098"/>
      <c r="B1780" s="1457">
        <v>1530</v>
      </c>
      <c r="C1780" s="1102">
        <v>1.0036999980734052</v>
      </c>
      <c r="D1780" s="1102">
        <v>1.0084497411605591</v>
      </c>
      <c r="E1780" s="1102">
        <v>1.0253303450775644</v>
      </c>
      <c r="F1780" s="1102">
        <v>0.98413480921363683</v>
      </c>
      <c r="G1780" s="1102">
        <v>0.99071536259065407</v>
      </c>
      <c r="H1780" s="1102">
        <v>0.98162956062290263</v>
      </c>
      <c r="I1780" s="1102">
        <v>0.97610247497053382</v>
      </c>
      <c r="K1780">
        <v>1.5325706147987592</v>
      </c>
      <c r="L1780">
        <v>0</v>
      </c>
      <c r="M1780">
        <v>1.4395266821223085E-3</v>
      </c>
      <c r="N1780">
        <v>0.14297784230825375</v>
      </c>
      <c r="O1780">
        <v>0.11963580530372811</v>
      </c>
      <c r="P1780">
        <v>1.5679194392165124E-2</v>
      </c>
      <c r="Q1780">
        <v>9.1606162454251354E-4</v>
      </c>
      <c r="R1780">
        <v>1.4361852378202364E-3</v>
      </c>
      <c r="S1780">
        <v>0.11422168706896095</v>
      </c>
      <c r="T1780">
        <v>0.81052138658742856</v>
      </c>
      <c r="U1780">
        <v>0</v>
      </c>
      <c r="V1780">
        <v>0.20385989465820858</v>
      </c>
      <c r="W1780">
        <v>9.253706320823088E-2</v>
      </c>
      <c r="X1780">
        <v>2.8316198312531425E-2</v>
      </c>
      <c r="Y1780">
        <v>3.9088227790102757E-3</v>
      </c>
    </row>
    <row r="1781" spans="1:25" x14ac:dyDescent="0.25">
      <c r="A1781" s="1098"/>
      <c r="B1781" s="1457">
        <v>1531</v>
      </c>
      <c r="C1781" s="1102">
        <v>1.0178836278140215</v>
      </c>
      <c r="D1781" s="1102">
        <v>1.0312656892745389</v>
      </c>
      <c r="E1781" s="1102">
        <v>1.0027654233550822</v>
      </c>
      <c r="F1781" s="1102">
        <v>1.0020715720244435</v>
      </c>
      <c r="G1781" s="1102">
        <v>0.99828334987042777</v>
      </c>
      <c r="H1781" s="1102">
        <v>0.9545973181359052</v>
      </c>
      <c r="I1781" s="1102">
        <v>1.0001424610691076</v>
      </c>
      <c r="K1781">
        <v>1.5289121143741897</v>
      </c>
      <c r="L1781">
        <v>0</v>
      </c>
      <c r="M1781">
        <v>1.4317853947758254E-3</v>
      </c>
      <c r="N1781">
        <v>0.13283729545847422</v>
      </c>
      <c r="O1781">
        <v>0.11926405900806349</v>
      </c>
      <c r="P1781">
        <v>1.5602994323712895E-2</v>
      </c>
      <c r="Q1781">
        <v>8.7469970974962674E-4</v>
      </c>
      <c r="R1781">
        <v>1.4283630389234955E-3</v>
      </c>
      <c r="S1781">
        <v>0.11193441047853701</v>
      </c>
      <c r="T1781">
        <v>0.82677631042077004</v>
      </c>
      <c r="U1781">
        <v>0</v>
      </c>
      <c r="V1781">
        <v>0.20325729542842355</v>
      </c>
      <c r="W1781">
        <v>8.7121916651064016E-2</v>
      </c>
      <c r="X1781">
        <v>2.7359021919045004E-2</v>
      </c>
      <c r="Y1781">
        <v>3.8875333322005196E-3</v>
      </c>
    </row>
    <row r="1782" spans="1:25" x14ac:dyDescent="0.25">
      <c r="A1782" s="1098"/>
      <c r="B1782" s="1457">
        <v>1532</v>
      </c>
      <c r="C1782" s="1102">
        <v>1.0372109126641798</v>
      </c>
      <c r="D1782" s="1102">
        <v>0.96647001002587929</v>
      </c>
      <c r="E1782" s="1102">
        <v>1.0027818275932396</v>
      </c>
      <c r="F1782" s="1102">
        <v>0.97639514599247823</v>
      </c>
      <c r="G1782" s="1102">
        <v>1.0129675496262123</v>
      </c>
      <c r="H1782" s="1102">
        <v>0.98697691988940472</v>
      </c>
      <c r="I1782" s="1102">
        <v>1.0384076398006878</v>
      </c>
      <c r="K1782">
        <v>1.5282316957437814</v>
      </c>
      <c r="L1782">
        <v>0</v>
      </c>
      <c r="M1782">
        <v>1.5063240218751717E-3</v>
      </c>
      <c r="N1782">
        <v>0.13977401713491835</v>
      </c>
      <c r="O1782">
        <v>0.11933181631178433</v>
      </c>
      <c r="P1782">
        <v>1.5435555399368434E-2</v>
      </c>
      <c r="Q1782">
        <v>8.8098859093403107E-4</v>
      </c>
      <c r="R1782">
        <v>1.5028772359813262E-3</v>
      </c>
      <c r="S1782">
        <v>0.12114390589816024</v>
      </c>
      <c r="T1782">
        <v>0.80559047951455798</v>
      </c>
      <c r="U1782">
        <v>0</v>
      </c>
      <c r="V1782">
        <v>0.20295116826939549</v>
      </c>
      <c r="W1782">
        <v>9.1670503846066106E-2</v>
      </c>
      <c r="X1782">
        <v>2.7366371151496829E-2</v>
      </c>
      <c r="Y1782">
        <v>4.0903364129934753E-3</v>
      </c>
    </row>
    <row r="1783" spans="1:25" x14ac:dyDescent="0.25">
      <c r="A1783" s="1098"/>
      <c r="B1783" s="1457">
        <v>1533</v>
      </c>
      <c r="C1783" s="1102">
        <v>1.0184631315629982</v>
      </c>
      <c r="D1783" s="1102">
        <v>1.0104672528704723</v>
      </c>
      <c r="E1783" s="1102">
        <v>1.0351808151044724</v>
      </c>
      <c r="F1783" s="1102">
        <v>0.97806209345255724</v>
      </c>
      <c r="G1783" s="1102">
        <v>0.99968101045221347</v>
      </c>
      <c r="H1783" s="1102">
        <v>0.99543462313887432</v>
      </c>
      <c r="I1783" s="1102">
        <v>0.99850337125093036</v>
      </c>
      <c r="K1783">
        <v>1.5278808451168273</v>
      </c>
      <c r="L1783">
        <v>0</v>
      </c>
      <c r="M1783">
        <v>1.4086241281217689E-3</v>
      </c>
      <c r="N1783">
        <v>0.14413004840276211</v>
      </c>
      <c r="O1783">
        <v>0.11836052341808063</v>
      </c>
      <c r="P1783">
        <v>1.5723648633123467E-2</v>
      </c>
      <c r="Q1783">
        <v>9.1117320983964082E-4</v>
      </c>
      <c r="R1783">
        <v>1.405400604246319E-3</v>
      </c>
      <c r="S1783">
        <v>0.11614224866302639</v>
      </c>
      <c r="T1783">
        <v>0.80489338815476108</v>
      </c>
      <c r="U1783">
        <v>0</v>
      </c>
      <c r="V1783">
        <v>0.20269077209580003</v>
      </c>
      <c r="W1783">
        <v>9.2751025191878084E-2</v>
      </c>
      <c r="X1783">
        <v>2.8456203716857763E-2</v>
      </c>
      <c r="Y1783">
        <v>3.825037154573802E-3</v>
      </c>
    </row>
    <row r="1784" spans="1:25" x14ac:dyDescent="0.25">
      <c r="A1784" s="1098"/>
      <c r="B1784" s="1457">
        <v>1534</v>
      </c>
      <c r="C1784" s="1102">
        <v>0.97771445459432971</v>
      </c>
      <c r="D1784" s="1102">
        <v>0.99999344427486825</v>
      </c>
      <c r="E1784" s="1102">
        <v>1.0104307600199296</v>
      </c>
      <c r="F1784" s="1102">
        <v>0.99995022563899294</v>
      </c>
      <c r="G1784" s="1102">
        <v>1.0246017386502371</v>
      </c>
      <c r="H1784" s="1102">
        <v>1.0178791620996812</v>
      </c>
      <c r="I1784" s="1102">
        <v>1.0356463364973021</v>
      </c>
      <c r="K1784">
        <v>1.5824441954795951</v>
      </c>
      <c r="L1784">
        <v>0</v>
      </c>
      <c r="M1784">
        <v>1.5869999445919034E-3</v>
      </c>
      <c r="N1784">
        <v>0.15070876497604435</v>
      </c>
      <c r="O1784">
        <v>0.12250453849232464</v>
      </c>
      <c r="P1784">
        <v>1.5956169536601981E-2</v>
      </c>
      <c r="Q1784">
        <v>9.2925280650954089E-4</v>
      </c>
      <c r="R1784">
        <v>1.5834497824170103E-3</v>
      </c>
      <c r="S1784">
        <v>0.12798719614384235</v>
      </c>
      <c r="T1784">
        <v>0.8245216959394468</v>
      </c>
      <c r="U1784">
        <v>0</v>
      </c>
      <c r="V1784">
        <v>0.20866390334834953</v>
      </c>
      <c r="W1784">
        <v>9.8396033859333959E-2</v>
      </c>
      <c r="X1784">
        <v>2.8470562215656324E-2</v>
      </c>
      <c r="Y1784">
        <v>4.309628323658614E-3</v>
      </c>
    </row>
    <row r="1785" spans="1:25" x14ac:dyDescent="0.25">
      <c r="A1785" s="1098"/>
      <c r="B1785" s="1457">
        <v>1535</v>
      </c>
      <c r="C1785" s="1102">
        <v>1.0318974874770765</v>
      </c>
      <c r="D1785" s="1102">
        <v>1.0082068320871052</v>
      </c>
      <c r="E1785" s="1102">
        <v>1.0321181071679526</v>
      </c>
      <c r="F1785" s="1102">
        <v>1.0326908056390935</v>
      </c>
      <c r="G1785" s="1102">
        <v>0.99494000385200265</v>
      </c>
      <c r="H1785" s="1102">
        <v>1.0285120854688286</v>
      </c>
      <c r="I1785" s="1102">
        <v>1.0010234338183306</v>
      </c>
      <c r="K1785">
        <v>1.5868221289706368</v>
      </c>
      <c r="L1785">
        <v>0</v>
      </c>
      <c r="M1785">
        <v>1.4546819833726862E-3</v>
      </c>
      <c r="N1785">
        <v>0.14748774814147717</v>
      </c>
      <c r="O1785">
        <v>0.12156670655913436</v>
      </c>
      <c r="P1785">
        <v>1.6366815331213223E-2</v>
      </c>
      <c r="Q1785">
        <v>8.9731320705320179E-4</v>
      </c>
      <c r="R1785">
        <v>1.451477176507035E-3</v>
      </c>
      <c r="S1785">
        <v>0.11798946531664055</v>
      </c>
      <c r="T1785">
        <v>0.85005528161506294</v>
      </c>
      <c r="U1785">
        <v>0</v>
      </c>
      <c r="V1785">
        <v>0.20425677575209161</v>
      </c>
      <c r="W1785">
        <v>9.5080186487074572E-2</v>
      </c>
      <c r="X1785">
        <v>2.9174598972625858E-2</v>
      </c>
      <c r="Y1785">
        <v>3.9504423951295066E-3</v>
      </c>
    </row>
    <row r="1786" spans="1:25" x14ac:dyDescent="0.25">
      <c r="A1786" s="1098"/>
      <c r="B1786" s="1457">
        <v>1536</v>
      </c>
      <c r="C1786" s="1102">
        <v>0.99285243177276561</v>
      </c>
      <c r="D1786" s="1102">
        <v>1.0245620699046529</v>
      </c>
      <c r="E1786" s="1102">
        <v>0.97581884991528456</v>
      </c>
      <c r="F1786" s="1102">
        <v>1.0062513706434788</v>
      </c>
      <c r="G1786" s="1102">
        <v>0.99555933934825935</v>
      </c>
      <c r="H1786" s="1102">
        <v>1.0202589874673282</v>
      </c>
      <c r="I1786" s="1102">
        <v>1.0210037500883737</v>
      </c>
      <c r="K1786">
        <v>1.5662043537358625</v>
      </c>
      <c r="L1786">
        <v>0</v>
      </c>
      <c r="M1786">
        <v>1.6626285467996546E-3</v>
      </c>
      <c r="N1786">
        <v>0.1422065450281973</v>
      </c>
      <c r="O1786">
        <v>0.121176135039321</v>
      </c>
      <c r="P1786">
        <v>1.5535102534253642E-2</v>
      </c>
      <c r="Q1786">
        <v>8.7418265288054958E-4</v>
      </c>
      <c r="R1786">
        <v>1.6589088646557812E-3</v>
      </c>
      <c r="S1786">
        <v>0.12272329526336395</v>
      </c>
      <c r="T1786">
        <v>0.83202426985699662</v>
      </c>
      <c r="U1786">
        <v>0</v>
      </c>
      <c r="V1786">
        <v>0.20557551383774755</v>
      </c>
      <c r="W1786">
        <v>9.478546236258846E-2</v>
      </c>
      <c r="X1786">
        <v>2.6792563772225088E-2</v>
      </c>
      <c r="Y1786">
        <v>4.5150030704327725E-3</v>
      </c>
    </row>
    <row r="1787" spans="1:25" x14ac:dyDescent="0.25">
      <c r="A1787" s="1098"/>
      <c r="B1787" s="1457">
        <v>1537</v>
      </c>
      <c r="C1787" s="1102">
        <v>1.0346196174980336</v>
      </c>
      <c r="D1787" s="1102">
        <v>0.99941313509915231</v>
      </c>
      <c r="E1787" s="1102">
        <v>1.0314500857561935</v>
      </c>
      <c r="F1787" s="1102">
        <v>0.95691283999981824</v>
      </c>
      <c r="G1787" s="1102">
        <v>1.0454358643002</v>
      </c>
      <c r="H1787" s="1102">
        <v>1.0153415856013193</v>
      </c>
      <c r="I1787" s="1102">
        <v>1.0199951745030844</v>
      </c>
      <c r="K1787">
        <v>1.5128365710743519</v>
      </c>
      <c r="L1787">
        <v>0</v>
      </c>
      <c r="M1787">
        <v>1.4335623745001618E-3</v>
      </c>
      <c r="N1787">
        <v>0.1450486464638667</v>
      </c>
      <c r="O1787">
        <v>0.11657452059357601</v>
      </c>
      <c r="P1787">
        <v>1.5482228211430213E-2</v>
      </c>
      <c r="Q1787">
        <v>8.9748246530375983E-4</v>
      </c>
      <c r="R1787">
        <v>1.4303503101006857E-3</v>
      </c>
      <c r="S1787">
        <v>0.11906669423679138</v>
      </c>
      <c r="T1787">
        <v>0.78772049620822593</v>
      </c>
      <c r="U1787">
        <v>0</v>
      </c>
      <c r="V1787">
        <v>0.20267492714967561</v>
      </c>
      <c r="W1787">
        <v>9.3543998873614198E-2</v>
      </c>
      <c r="X1787">
        <v>2.7937846907027785E-2</v>
      </c>
      <c r="Y1787">
        <v>3.8929420292410639E-3</v>
      </c>
    </row>
    <row r="1788" spans="1:25" x14ac:dyDescent="0.25">
      <c r="A1788" s="1098"/>
      <c r="B1788" s="1457">
        <v>1538</v>
      </c>
      <c r="C1788" s="1102">
        <v>0.98283755016218199</v>
      </c>
      <c r="D1788" s="1102">
        <v>0.9918797752255929</v>
      </c>
      <c r="E1788" s="1102">
        <v>1.0177921850232772</v>
      </c>
      <c r="F1788" s="1102">
        <v>0.98698269296951435</v>
      </c>
      <c r="G1788" s="1102">
        <v>1.0057724196981346</v>
      </c>
      <c r="H1788" s="1102">
        <v>0.96553351777897489</v>
      </c>
      <c r="I1788" s="1102">
        <v>0.99365391357866406</v>
      </c>
      <c r="K1788">
        <v>1.54678581639824</v>
      </c>
      <c r="L1788">
        <v>0</v>
      </c>
      <c r="M1788">
        <v>1.4806567177876205E-3</v>
      </c>
      <c r="N1788">
        <v>0.143751643287929</v>
      </c>
      <c r="O1788">
        <v>0.12165116812709308</v>
      </c>
      <c r="P1788">
        <v>1.5733909764782367E-2</v>
      </c>
      <c r="Q1788">
        <v>9.3447855604937634E-4</v>
      </c>
      <c r="R1788">
        <v>1.4771673420842012E-3</v>
      </c>
      <c r="S1788">
        <v>0.11850792369830036</v>
      </c>
      <c r="T1788">
        <v>0.81335283231287003</v>
      </c>
      <c r="U1788">
        <v>0</v>
      </c>
      <c r="V1788">
        <v>0.2069457198866792</v>
      </c>
      <c r="W1788">
        <v>9.344859616069838E-2</v>
      </c>
      <c r="X1788">
        <v>2.8442671422469732E-2</v>
      </c>
      <c r="Y1788">
        <v>4.0203625570697475E-3</v>
      </c>
    </row>
    <row r="1789" spans="1:25" x14ac:dyDescent="0.25">
      <c r="A1789" s="1098"/>
      <c r="B1789" s="1457">
        <v>1539</v>
      </c>
      <c r="C1789" s="1102">
        <v>1.0313380154261176</v>
      </c>
      <c r="D1789" s="1102">
        <v>1.0051133427423937</v>
      </c>
      <c r="E1789" s="1102">
        <v>1.0372530452349327</v>
      </c>
      <c r="F1789" s="1102">
        <v>1.007336633272782</v>
      </c>
      <c r="G1789" s="1102">
        <v>0.99982258259132273</v>
      </c>
      <c r="H1789" s="1102">
        <v>0.99662587772995792</v>
      </c>
      <c r="I1789" s="1102">
        <v>1.0161244328048844</v>
      </c>
      <c r="K1789">
        <v>1.5553048258173778</v>
      </c>
      <c r="L1789">
        <v>0</v>
      </c>
      <c r="M1789">
        <v>1.3952066118116937E-3</v>
      </c>
      <c r="N1789">
        <v>0.14365304751495894</v>
      </c>
      <c r="O1789">
        <v>0.1199799148037006</v>
      </c>
      <c r="P1789">
        <v>1.6109759565217607E-2</v>
      </c>
      <c r="Q1789">
        <v>9.0361503483873083E-4</v>
      </c>
      <c r="R1789">
        <v>1.3920303154372306E-3</v>
      </c>
      <c r="S1789">
        <v>0.11742543123100037</v>
      </c>
      <c r="T1789">
        <v>0.82884942987183008</v>
      </c>
      <c r="U1789">
        <v>0</v>
      </c>
      <c r="V1789">
        <v>0.20332778055615419</v>
      </c>
      <c r="W1789">
        <v>9.2333471998951561E-2</v>
      </c>
      <c r="X1789">
        <v>2.8936903901150651E-2</v>
      </c>
      <c r="Y1789">
        <v>3.7886476359499867E-3</v>
      </c>
    </row>
    <row r="1790" spans="1:25" x14ac:dyDescent="0.25">
      <c r="A1790" s="1098"/>
      <c r="B1790" s="1457">
        <v>1540</v>
      </c>
      <c r="C1790" s="1102">
        <v>0.98962363361394012</v>
      </c>
      <c r="D1790" s="1102">
        <v>0.99316821533256683</v>
      </c>
      <c r="E1790" s="1102">
        <v>1.0084759245026427</v>
      </c>
      <c r="F1790" s="1102">
        <v>1.039904681980371</v>
      </c>
      <c r="G1790" s="1102">
        <v>1.0376759509605404</v>
      </c>
      <c r="H1790" s="1102">
        <v>1.0161287343065499</v>
      </c>
      <c r="I1790" s="1102">
        <v>1.0194792397767281</v>
      </c>
      <c r="K1790">
        <v>1.6160485246987331</v>
      </c>
      <c r="L1790">
        <v>0</v>
      </c>
      <c r="M1790">
        <v>1.5838288018902545E-3</v>
      </c>
      <c r="N1790">
        <v>0.14952365188268618</v>
      </c>
      <c r="O1790">
        <v>0.12498573165753525</v>
      </c>
      <c r="P1790">
        <v>1.6373121394093224E-2</v>
      </c>
      <c r="Q1790">
        <v>9.1873400458691238E-4</v>
      </c>
      <c r="R1790">
        <v>1.5802974295817847E-3</v>
      </c>
      <c r="S1790">
        <v>0.12515936699057634</v>
      </c>
      <c r="T1790">
        <v>0.85760022730158258</v>
      </c>
      <c r="U1790">
        <v>0</v>
      </c>
      <c r="V1790">
        <v>0.21049315257661363</v>
      </c>
      <c r="W1790">
        <v>9.7734931615321263E-2</v>
      </c>
      <c r="X1790">
        <v>2.8962089989630398E-2</v>
      </c>
      <c r="Y1790">
        <v>4.3010486584139631E-3</v>
      </c>
    </row>
    <row r="1791" spans="1:25" x14ac:dyDescent="0.25">
      <c r="A1791" s="1098"/>
      <c r="B1791" s="1457">
        <v>1541</v>
      </c>
      <c r="C1791" s="1102">
        <v>0.96120752573826196</v>
      </c>
      <c r="D1791" s="1102">
        <v>0.98823417246677137</v>
      </c>
      <c r="E1791" s="1102">
        <v>1.0197718859751892</v>
      </c>
      <c r="F1791" s="1102">
        <v>0.97145990654032199</v>
      </c>
      <c r="G1791" s="1102">
        <v>0.97116995413702834</v>
      </c>
      <c r="H1791" s="1102">
        <v>0.99957086621131597</v>
      </c>
      <c r="I1791" s="1102">
        <v>0.98240458114627605</v>
      </c>
      <c r="K1791">
        <v>1.5521356404121531</v>
      </c>
      <c r="L1791">
        <v>0</v>
      </c>
      <c r="M1791">
        <v>1.5595134065262404E-3</v>
      </c>
      <c r="N1791">
        <v>0.15232602762824532</v>
      </c>
      <c r="O1791">
        <v>0.12184102233147207</v>
      </c>
      <c r="P1791">
        <v>1.5630013120300504E-2</v>
      </c>
      <c r="Q1791">
        <v>9.5886209217661464E-4</v>
      </c>
      <c r="R1791">
        <v>1.5559549357081032E-3</v>
      </c>
      <c r="S1791">
        <v>0.12259945690613447</v>
      </c>
      <c r="T1791">
        <v>0.80043502118380516</v>
      </c>
      <c r="U1791">
        <v>0</v>
      </c>
      <c r="V1791">
        <v>0.20660130785074896</v>
      </c>
      <c r="W1791">
        <v>9.890780983801277E-2</v>
      </c>
      <c r="X1791">
        <v>2.8604881517486011E-2</v>
      </c>
      <c r="Y1791">
        <v>4.2347964145907514E-3</v>
      </c>
    </row>
    <row r="1792" spans="1:25" x14ac:dyDescent="0.25">
      <c r="A1792" s="1098"/>
      <c r="B1792" s="1457">
        <v>1542</v>
      </c>
      <c r="C1792" s="1102">
        <v>0.98323976968930626</v>
      </c>
      <c r="D1792" s="1102">
        <v>1.036818409775768</v>
      </c>
      <c r="E1792" s="1102">
        <v>0.99350957037515819</v>
      </c>
      <c r="F1792" s="1102">
        <v>0.9994167087019511</v>
      </c>
      <c r="G1792" s="1102">
        <v>0.98790050590659162</v>
      </c>
      <c r="H1792" s="1102">
        <v>1.0018867154808337</v>
      </c>
      <c r="I1792" s="1102">
        <v>0.97039815297197829</v>
      </c>
      <c r="K1792">
        <v>1.5508525169942451</v>
      </c>
      <c r="L1792">
        <v>0</v>
      </c>
      <c r="M1792">
        <v>1.5768358155733705E-3</v>
      </c>
      <c r="N1792">
        <v>0.14227478643957744</v>
      </c>
      <c r="O1792">
        <v>0.12063096116038789</v>
      </c>
      <c r="P1792">
        <v>1.5551003591093734E-2</v>
      </c>
      <c r="Q1792">
        <v>8.9493803373930656E-4</v>
      </c>
      <c r="R1792">
        <v>1.5732319646942891E-3</v>
      </c>
      <c r="S1792">
        <v>0.1154826623748795</v>
      </c>
      <c r="T1792">
        <v>0.82519708654719004</v>
      </c>
      <c r="U1792">
        <v>0</v>
      </c>
      <c r="V1792">
        <v>0.20538342958802178</v>
      </c>
      <c r="W1792">
        <v>9.3827034521037564E-2</v>
      </c>
      <c r="X1792">
        <v>2.733239979707508E-2</v>
      </c>
      <c r="Y1792">
        <v>4.281818792120075E-3</v>
      </c>
    </row>
    <row r="1793" spans="1:25" x14ac:dyDescent="0.25">
      <c r="A1793" s="1098"/>
      <c r="B1793" s="1457">
        <v>1543</v>
      </c>
      <c r="C1793" s="1102">
        <v>1.008037940300567</v>
      </c>
      <c r="D1793" s="1102">
        <v>1.0382245522269011</v>
      </c>
      <c r="E1793" s="1102">
        <v>0.99034791097420427</v>
      </c>
      <c r="F1793" s="1102">
        <v>0.99468942558025386</v>
      </c>
      <c r="G1793" s="1102">
        <v>0.98588396640126907</v>
      </c>
      <c r="H1793" s="1102">
        <v>0.98651359048244824</v>
      </c>
      <c r="I1793" s="1102">
        <v>0.99593211479463761</v>
      </c>
      <c r="K1793">
        <v>1.5314905109202268</v>
      </c>
      <c r="L1793">
        <v>0</v>
      </c>
      <c r="M1793">
        <v>1.525365888312826E-3</v>
      </c>
      <c r="N1793">
        <v>0.13631709334247449</v>
      </c>
      <c r="O1793">
        <v>0.11898553475323126</v>
      </c>
      <c r="P1793">
        <v>1.5416310258712431E-2</v>
      </c>
      <c r="Q1793">
        <v>8.6958154889579234E-4</v>
      </c>
      <c r="R1793">
        <v>1.5218295113073302E-3</v>
      </c>
      <c r="S1793">
        <v>0.11443534594388056</v>
      </c>
      <c r="T1793">
        <v>0.82150229477730341</v>
      </c>
      <c r="U1793">
        <v>0</v>
      </c>
      <c r="V1793">
        <v>0.20290554820747952</v>
      </c>
      <c r="W1793">
        <v>9.0068240061076471E-2</v>
      </c>
      <c r="X1793">
        <v>2.6852180145361275E-2</v>
      </c>
      <c r="Y1793">
        <v>4.1419182588149778E-3</v>
      </c>
    </row>
    <row r="1794" spans="1:25" x14ac:dyDescent="0.25">
      <c r="A1794" s="1098"/>
      <c r="B1794" s="1457">
        <v>1544</v>
      </c>
      <c r="C1794" s="1102">
        <v>1.0145073638056497</v>
      </c>
      <c r="D1794" s="1102">
        <v>1.0166437178117764</v>
      </c>
      <c r="E1794" s="1102">
        <v>0.97512754864838147</v>
      </c>
      <c r="F1794" s="1102">
        <v>0.98242363169751079</v>
      </c>
      <c r="G1794" s="1102">
        <v>0.9774447689267548</v>
      </c>
      <c r="H1794" s="1102">
        <v>1.0137124279548775</v>
      </c>
      <c r="I1794" s="1102">
        <v>1.0311454134200424</v>
      </c>
      <c r="K1794">
        <v>1.5323700864136365</v>
      </c>
      <c r="L1794">
        <v>0</v>
      </c>
      <c r="M1794">
        <v>1.6257423952209637E-3</v>
      </c>
      <c r="N1794">
        <v>0.13875930895570737</v>
      </c>
      <c r="O1794">
        <v>0.11876177046042484</v>
      </c>
      <c r="P1794">
        <v>1.5196556235359142E-2</v>
      </c>
      <c r="Q1794">
        <v>8.5755917006717587E-4</v>
      </c>
      <c r="R1794">
        <v>1.6220855760525866E-3</v>
      </c>
      <c r="S1794">
        <v>0.12131557361490908</v>
      </c>
      <c r="T1794">
        <v>0.81236754881342277</v>
      </c>
      <c r="U1794">
        <v>0</v>
      </c>
      <c r="V1794">
        <v>0.2019506011399633</v>
      </c>
      <c r="W1794">
        <v>9.2526516712447673E-2</v>
      </c>
      <c r="X1794">
        <v>2.622352591285497E-2</v>
      </c>
      <c r="Y1794">
        <v>4.4147822176487045E-3</v>
      </c>
    </row>
    <row r="1795" spans="1:25" x14ac:dyDescent="0.25">
      <c r="A1795" s="1098"/>
      <c r="B1795" s="1457">
        <v>1545</v>
      </c>
      <c r="C1795" s="1102">
        <v>0.96448930942072331</v>
      </c>
      <c r="D1795" s="1102">
        <v>0.98747717120619705</v>
      </c>
      <c r="E1795" s="1102">
        <v>0.98357749004575568</v>
      </c>
      <c r="F1795" s="1102">
        <v>1.0023668064508531</v>
      </c>
      <c r="G1795" s="1102">
        <v>0.99717834487408674</v>
      </c>
      <c r="H1795" s="1102">
        <v>1.0237932955924078</v>
      </c>
      <c r="I1795" s="1102">
        <v>0.98680592353014707</v>
      </c>
      <c r="K1795">
        <v>1.5859264057568279</v>
      </c>
      <c r="L1795">
        <v>0</v>
      </c>
      <c r="M1795">
        <v>1.7214976903916666E-3</v>
      </c>
      <c r="N1795">
        <v>0.15074155322871705</v>
      </c>
      <c r="O1795">
        <v>0.12401911463936113</v>
      </c>
      <c r="P1795">
        <v>1.5653343677594959E-2</v>
      </c>
      <c r="Q1795">
        <v>9.2071581727218462E-4</v>
      </c>
      <c r="R1795">
        <v>1.7176735796138039E-3</v>
      </c>
      <c r="S1795">
        <v>0.12491132966438916</v>
      </c>
      <c r="T1795">
        <v>0.82829381039875738</v>
      </c>
      <c r="U1795">
        <v>0</v>
      </c>
      <c r="V1795">
        <v>0.2090655404611565</v>
      </c>
      <c r="W1795">
        <v>0.10000461427661815</v>
      </c>
      <c r="X1795">
        <v>2.7645266450971814E-2</v>
      </c>
      <c r="Y1795">
        <v>4.674941252765432E-3</v>
      </c>
    </row>
    <row r="1796" spans="1:25" x14ac:dyDescent="0.25">
      <c r="A1796" s="1098"/>
      <c r="B1796" s="1457">
        <v>1546</v>
      </c>
      <c r="C1796" s="1102">
        <v>0.98687588774855828</v>
      </c>
      <c r="D1796" s="1102">
        <v>1.0009436766052475</v>
      </c>
      <c r="E1796" s="1102">
        <v>1.0266614809991017</v>
      </c>
      <c r="F1796" s="1102">
        <v>1.0007630515190857</v>
      </c>
      <c r="G1796" s="1102">
        <v>0.98875927990630663</v>
      </c>
      <c r="H1796" s="1102">
        <v>1.0228566121005582</v>
      </c>
      <c r="I1796" s="1102">
        <v>1.0065404758254615</v>
      </c>
      <c r="K1796">
        <v>1.5771290536424862</v>
      </c>
      <c r="L1796">
        <v>0</v>
      </c>
      <c r="M1796">
        <v>1.5278285587374896E-3</v>
      </c>
      <c r="N1796">
        <v>0.15237329243686179</v>
      </c>
      <c r="O1796">
        <v>0.12198718134024861</v>
      </c>
      <c r="P1796">
        <v>1.6048801290293586E-2</v>
      </c>
      <c r="Q1796">
        <v>9.3573977491818343E-4</v>
      </c>
      <c r="R1796">
        <v>1.524429414965054E-3</v>
      </c>
      <c r="S1796">
        <v>0.12366183958105303</v>
      </c>
      <c r="T1796">
        <v>0.82412938179150297</v>
      </c>
      <c r="U1796">
        <v>0</v>
      </c>
      <c r="V1796">
        <v>0.20628947753966831</v>
      </c>
      <c r="W1796">
        <v>9.8541505506129001E-2</v>
      </c>
      <c r="X1796">
        <v>2.9016239186069288E-2</v>
      </c>
      <c r="Y1796">
        <v>4.1489943395132912E-3</v>
      </c>
    </row>
    <row r="1797" spans="1:25" x14ac:dyDescent="0.25">
      <c r="A1797" s="1098"/>
      <c r="B1797" s="1457">
        <v>1547</v>
      </c>
      <c r="C1797" s="1102">
        <v>1.0191008439249425</v>
      </c>
      <c r="D1797" s="1102">
        <v>0.9761953957399605</v>
      </c>
      <c r="E1797" s="1102">
        <v>1.006865723605761</v>
      </c>
      <c r="F1797" s="1102">
        <v>1.0006120675039167</v>
      </c>
      <c r="G1797" s="1102">
        <v>0.98467249638040011</v>
      </c>
      <c r="H1797" s="1102">
        <v>1.0414538939814808</v>
      </c>
      <c r="I1797" s="1102">
        <v>1.0085429562754566</v>
      </c>
      <c r="K1797">
        <v>1.5714957480503959</v>
      </c>
      <c r="L1797">
        <v>0</v>
      </c>
      <c r="M1797">
        <v>1.5959240977083432E-3</v>
      </c>
      <c r="N1797">
        <v>0.14994359823946896</v>
      </c>
      <c r="O1797">
        <v>0.12148955421757462</v>
      </c>
      <c r="P1797">
        <v>1.5799766368469321E-2</v>
      </c>
      <c r="Q1797">
        <v>8.9684011547018158E-4</v>
      </c>
      <c r="R1797">
        <v>1.5924595774046753E-3</v>
      </c>
      <c r="S1797">
        <v>0.12343016414023833</v>
      </c>
      <c r="T1797">
        <v>0.82530191616219284</v>
      </c>
      <c r="U1797">
        <v>0</v>
      </c>
      <c r="V1797">
        <v>0.20410685552137681</v>
      </c>
      <c r="W1797">
        <v>9.8102701167424061E-2</v>
      </c>
      <c r="X1797">
        <v>2.8093666622945102E-2</v>
      </c>
      <c r="Y1797">
        <v>4.33415001553692E-3</v>
      </c>
    </row>
    <row r="1798" spans="1:25" x14ac:dyDescent="0.25">
      <c r="A1798" s="1098"/>
      <c r="B1798" s="1457">
        <v>1548</v>
      </c>
      <c r="C1798" s="1102">
        <v>0.99519419083593119</v>
      </c>
      <c r="D1798" s="1102">
        <v>0.9611780968550776</v>
      </c>
      <c r="E1798" s="1102">
        <v>1.0056251124128079</v>
      </c>
      <c r="F1798" s="1102">
        <v>1.0131338244009995</v>
      </c>
      <c r="G1798" s="1102">
        <v>0.96293060821349263</v>
      </c>
      <c r="H1798" s="1102">
        <v>0.96245438479901968</v>
      </c>
      <c r="I1798" s="1102">
        <v>1.0262847277986946</v>
      </c>
      <c r="K1798">
        <v>1.5753199940879865</v>
      </c>
      <c r="L1798">
        <v>0</v>
      </c>
      <c r="M1798">
        <v>1.5263119837994762E-3</v>
      </c>
      <c r="N1798">
        <v>0.14284209273817242</v>
      </c>
      <c r="O1798">
        <v>0.12429521874863461</v>
      </c>
      <c r="P1798">
        <v>1.595305808365366E-2</v>
      </c>
      <c r="Q1798">
        <v>9.2291295879136674E-4</v>
      </c>
      <c r="R1798">
        <v>1.5227329624317176E-3</v>
      </c>
      <c r="S1798">
        <v>0.12313044446779278</v>
      </c>
      <c r="T1798">
        <v>0.83571254462377498</v>
      </c>
      <c r="U1798">
        <v>0</v>
      </c>
      <c r="V1798">
        <v>0.20625502827750355</v>
      </c>
      <c r="W1798">
        <v>9.3525038312143746E-2</v>
      </c>
      <c r="X1798">
        <v>2.8542857743933604E-2</v>
      </c>
      <c r="Y1798">
        <v>4.1443771549529778E-3</v>
      </c>
    </row>
    <row r="1799" spans="1:25" x14ac:dyDescent="0.25">
      <c r="A1799" s="1098"/>
      <c r="B1799" s="1457">
        <v>1549</v>
      </c>
      <c r="C1799" s="1102">
        <v>1.0042852637178781</v>
      </c>
      <c r="D1799" s="1102">
        <v>1.0217322832783484</v>
      </c>
      <c r="E1799" s="1102">
        <v>1.0245758845818451</v>
      </c>
      <c r="F1799" s="1102">
        <v>0.98145504536911321</v>
      </c>
      <c r="G1799" s="1102">
        <v>1.0018877489694706</v>
      </c>
      <c r="H1799" s="1102">
        <v>0.98371752651221711</v>
      </c>
      <c r="I1799" s="1102">
        <v>0.99989527622529528</v>
      </c>
      <c r="K1799">
        <v>1.5297554235522732</v>
      </c>
      <c r="L1799">
        <v>0</v>
      </c>
      <c r="M1799">
        <v>1.4331280640320382E-3</v>
      </c>
      <c r="N1799">
        <v>0.14201875295996794</v>
      </c>
      <c r="O1799">
        <v>0.11885244304420879</v>
      </c>
      <c r="P1799">
        <v>1.5666747396544677E-2</v>
      </c>
      <c r="Q1799">
        <v>9.1004555793999342E-4</v>
      </c>
      <c r="R1799">
        <v>1.429800777744777E-3</v>
      </c>
      <c r="S1799">
        <v>0.11617711017437009</v>
      </c>
      <c r="T1799">
        <v>0.80836265018887599</v>
      </c>
      <c r="U1799">
        <v>0</v>
      </c>
      <c r="V1799">
        <v>0.20378666933352035</v>
      </c>
      <c r="W1799">
        <v>9.1956751563587846E-2</v>
      </c>
      <c r="X1799">
        <v>2.8136134236224582E-2</v>
      </c>
      <c r="Y1799">
        <v>3.8914463833215731E-3</v>
      </c>
    </row>
    <row r="1800" spans="1:25" x14ac:dyDescent="0.25">
      <c r="A1800" s="1098"/>
      <c r="B1800" s="1457">
        <v>1550</v>
      </c>
      <c r="C1800" s="1102">
        <v>1.0388461882992326</v>
      </c>
      <c r="D1800" s="1102">
        <v>1.018484946885019</v>
      </c>
      <c r="E1800" s="1102">
        <v>0.97450936273577649</v>
      </c>
      <c r="F1800" s="1102">
        <v>1.0092949026148037</v>
      </c>
      <c r="G1800" s="1102">
        <v>1.0198209890253649</v>
      </c>
      <c r="H1800" s="1102">
        <v>0.99239774701044492</v>
      </c>
      <c r="I1800" s="1102">
        <v>1.0028210374306248</v>
      </c>
      <c r="K1800">
        <v>1.5393840187400505</v>
      </c>
      <c r="L1800">
        <v>0</v>
      </c>
      <c r="M1800">
        <v>1.5603432173788305E-3</v>
      </c>
      <c r="N1800">
        <v>0.13292302721575353</v>
      </c>
      <c r="O1800">
        <v>0.11934826952789505</v>
      </c>
      <c r="P1800">
        <v>1.54030125583778E-2</v>
      </c>
      <c r="Q1800">
        <v>8.3631827456057985E-4</v>
      </c>
      <c r="R1800">
        <v>1.5567700958154592E-3</v>
      </c>
      <c r="S1800">
        <v>0.11375487378857031</v>
      </c>
      <c r="T1800">
        <v>0.83462913755763091</v>
      </c>
      <c r="U1800">
        <v>0</v>
      </c>
      <c r="V1800">
        <v>0.20323547681848922</v>
      </c>
      <c r="W1800">
        <v>8.8668035565952721E-2</v>
      </c>
      <c r="X1800">
        <v>2.6352425542699169E-2</v>
      </c>
      <c r="Y1800">
        <v>4.2370150116855174E-3</v>
      </c>
    </row>
    <row r="1801" spans="1:25" x14ac:dyDescent="0.25">
      <c r="A1801" s="1098"/>
      <c r="B1801" s="1457">
        <v>1551</v>
      </c>
      <c r="C1801" s="1102">
        <v>0.9648973710451072</v>
      </c>
      <c r="D1801" s="1102">
        <v>0.97781257823442302</v>
      </c>
      <c r="E1801" s="1102">
        <v>0.97211053310441531</v>
      </c>
      <c r="F1801" s="1102">
        <v>0.97520959556596298</v>
      </c>
      <c r="G1801" s="1102">
        <v>0.96141995459905394</v>
      </c>
      <c r="H1801" s="1102">
        <v>1.0017367218195496</v>
      </c>
      <c r="I1801" s="1102">
        <v>1.0290115679001972</v>
      </c>
      <c r="K1801">
        <v>1.5559337485071718</v>
      </c>
      <c r="L1801">
        <v>0</v>
      </c>
      <c r="M1801">
        <v>1.7298910289801621E-3</v>
      </c>
      <c r="N1801">
        <v>0.14630297130733927</v>
      </c>
      <c r="O1801">
        <v>0.12250938025699029</v>
      </c>
      <c r="P1801">
        <v>1.5243050802841473E-2</v>
      </c>
      <c r="Q1801">
        <v>9.129051251510346E-4</v>
      </c>
      <c r="R1801">
        <v>1.7259614192384786E-3</v>
      </c>
      <c r="S1801">
        <v>0.12886914817480991</v>
      </c>
      <c r="T1801">
        <v>0.80659898403976493</v>
      </c>
      <c r="U1801">
        <v>0</v>
      </c>
      <c r="V1801">
        <v>0.20625831295869523</v>
      </c>
      <c r="W1801">
        <v>9.7735517988502135E-2</v>
      </c>
      <c r="X1801">
        <v>2.680990944268007E-2</v>
      </c>
      <c r="Y1801">
        <v>4.6974980201381997E-3</v>
      </c>
    </row>
    <row r="1802" spans="1:25" x14ac:dyDescent="0.25">
      <c r="A1802" s="1098"/>
      <c r="B1802" s="1457">
        <v>1552</v>
      </c>
      <c r="C1802" s="1102">
        <v>0.96742596156082561</v>
      </c>
      <c r="D1802" s="1102">
        <v>0.98877774201511137</v>
      </c>
      <c r="E1802" s="1102">
        <v>1.0032146578199774</v>
      </c>
      <c r="F1802" s="1102">
        <v>1.0002732486952188</v>
      </c>
      <c r="G1802" s="1102">
        <v>1.0208994156990157</v>
      </c>
      <c r="H1802" s="1102">
        <v>1.0044120629382138</v>
      </c>
      <c r="I1802" s="1102">
        <v>1.0066672504882732</v>
      </c>
      <c r="K1802">
        <v>1.5820698978128089</v>
      </c>
      <c r="L1802">
        <v>0</v>
      </c>
      <c r="M1802">
        <v>1.6155490338414533E-3</v>
      </c>
      <c r="N1802">
        <v>0.15010883743611478</v>
      </c>
      <c r="O1802">
        <v>0.12359554625955055</v>
      </c>
      <c r="P1802">
        <v>1.5860356061585756E-2</v>
      </c>
      <c r="Q1802">
        <v>9.3637559764431916E-4</v>
      </c>
      <c r="R1802">
        <v>1.6118904802061025E-3</v>
      </c>
      <c r="S1802">
        <v>0.12537986414016772</v>
      </c>
      <c r="T1802">
        <v>0.82526295245425807</v>
      </c>
      <c r="U1802">
        <v>0</v>
      </c>
      <c r="V1802">
        <v>0.20975578833884231</v>
      </c>
      <c r="W1802">
        <v>9.8423311794726534E-2</v>
      </c>
      <c r="X1802">
        <v>2.8363489755988364E-2</v>
      </c>
      <c r="Y1802">
        <v>4.3870345275670167E-3</v>
      </c>
    </row>
    <row r="1803" spans="1:25" x14ac:dyDescent="0.25">
      <c r="A1803" s="1098"/>
      <c r="B1803" s="1457">
        <v>1553</v>
      </c>
      <c r="C1803" s="1102">
        <v>1.0384665555065984</v>
      </c>
      <c r="D1803" s="1102">
        <v>0.98010112867047128</v>
      </c>
      <c r="E1803" s="1102">
        <v>1.0329442034827967</v>
      </c>
      <c r="F1803" s="1102">
        <v>0.99213909776409992</v>
      </c>
      <c r="G1803" s="1102">
        <v>0.99053403253746697</v>
      </c>
      <c r="H1803" s="1102">
        <v>1.0287402857993226</v>
      </c>
      <c r="I1803" s="1102">
        <v>0.97125030148475144</v>
      </c>
      <c r="K1803">
        <v>1.5480940584784284</v>
      </c>
      <c r="L1803">
        <v>0</v>
      </c>
      <c r="M1803">
        <v>1.4630891882172336E-3</v>
      </c>
      <c r="N1803">
        <v>0.14871077453662027</v>
      </c>
      <c r="O1803">
        <v>0.11968717177798351</v>
      </c>
      <c r="P1803">
        <v>1.5847836830609009E-2</v>
      </c>
      <c r="Q1803">
        <v>9.0253740501818102E-4</v>
      </c>
      <c r="R1803">
        <v>1.4598739768758679E-3</v>
      </c>
      <c r="S1803">
        <v>0.1155219933425571</v>
      </c>
      <c r="T1803">
        <v>0.8166220628080314</v>
      </c>
      <c r="U1803">
        <v>0</v>
      </c>
      <c r="V1803">
        <v>0.20229848790781396</v>
      </c>
      <c r="W1803">
        <v>9.5822759173140662E-2</v>
      </c>
      <c r="X1803">
        <v>2.8710354190264561E-2</v>
      </c>
      <c r="Y1803">
        <v>3.9732957177289734E-3</v>
      </c>
    </row>
    <row r="1804" spans="1:25" x14ac:dyDescent="0.25">
      <c r="A1804" s="1098"/>
      <c r="B1804" s="1457">
        <v>1554</v>
      </c>
      <c r="C1804" s="1102">
        <v>0.98666657228825105</v>
      </c>
      <c r="D1804" s="1102">
        <v>0.9981589483854193</v>
      </c>
      <c r="E1804" s="1102">
        <v>0.99209950234421107</v>
      </c>
      <c r="F1804" s="1102">
        <v>1.0142679386721702</v>
      </c>
      <c r="G1804" s="1102">
        <v>1.0159756263108595</v>
      </c>
      <c r="H1804" s="1102">
        <v>0.9959272843354039</v>
      </c>
      <c r="I1804" s="1102">
        <v>1.0251037084743528</v>
      </c>
      <c r="K1804">
        <v>1.5809692976450351</v>
      </c>
      <c r="L1804">
        <v>0</v>
      </c>
      <c r="M1804">
        <v>1.602829182489576E-3</v>
      </c>
      <c r="N1804">
        <v>0.14400556669775755</v>
      </c>
      <c r="O1804">
        <v>0.12317523152618616</v>
      </c>
      <c r="P1804">
        <v>1.5856223722826274E-2</v>
      </c>
      <c r="Q1804">
        <v>9.0416110505196453E-4</v>
      </c>
      <c r="R1804">
        <v>1.5991721747395892E-3</v>
      </c>
      <c r="S1804">
        <v>0.12397383028594891</v>
      </c>
      <c r="T1804">
        <v>0.83755417551276057</v>
      </c>
      <c r="U1804">
        <v>0</v>
      </c>
      <c r="V1804">
        <v>0.20826236830088218</v>
      </c>
      <c r="W1804">
        <v>9.5048522760582288E-2</v>
      </c>
      <c r="X1804">
        <v>2.7840455248112236E-2</v>
      </c>
      <c r="Y1804">
        <v>4.3524194926754375E-3</v>
      </c>
    </row>
    <row r="1805" spans="1:25" x14ac:dyDescent="0.25">
      <c r="A1805" s="1098"/>
      <c r="B1805" s="1457">
        <v>1555</v>
      </c>
      <c r="C1805" s="1102">
        <v>0.97789301626118297</v>
      </c>
      <c r="D1805" s="1102">
        <v>0.99111279285781251</v>
      </c>
      <c r="E1805" s="1102">
        <v>1.0090969940414043</v>
      </c>
      <c r="F1805" s="1102">
        <v>1.0043008938639766</v>
      </c>
      <c r="G1805" s="1102">
        <v>1.0007284847498854</v>
      </c>
      <c r="H1805" s="1102">
        <v>0.98231699815789542</v>
      </c>
      <c r="I1805" s="1102">
        <v>0.98965481665864863</v>
      </c>
      <c r="K1805">
        <v>1.5704363708689235</v>
      </c>
      <c r="L1805">
        <v>0</v>
      </c>
      <c r="M1805">
        <v>1.5438133842368119E-3</v>
      </c>
      <c r="N1805">
        <v>0.14600717688684395</v>
      </c>
      <c r="O1805">
        <v>0.12320048018061405</v>
      </c>
      <c r="P1805">
        <v>1.5874212857368068E-2</v>
      </c>
      <c r="Q1805">
        <v>9.3112234017011315E-4</v>
      </c>
      <c r="R1805">
        <v>1.5402412986354535E-3</v>
      </c>
      <c r="S1805">
        <v>0.12009392137113817</v>
      </c>
      <c r="T1805">
        <v>0.82819709836191113</v>
      </c>
      <c r="U1805">
        <v>0</v>
      </c>
      <c r="V1805">
        <v>0.20806636431510714</v>
      </c>
      <c r="W1805">
        <v>9.5401437342560749E-2</v>
      </c>
      <c r="X1805">
        <v>2.8476100224331533E-2</v>
      </c>
      <c r="Y1805">
        <v>4.1920290744780677E-3</v>
      </c>
    </row>
    <row r="1806" spans="1:25" x14ac:dyDescent="0.25">
      <c r="A1806" s="1098"/>
      <c r="B1806" s="1457">
        <v>1556</v>
      </c>
      <c r="C1806" s="1102">
        <v>1.0182798032614935</v>
      </c>
      <c r="D1806" s="1102">
        <v>0.98503273402525116</v>
      </c>
      <c r="E1806" s="1102">
        <v>0.99301945373095779</v>
      </c>
      <c r="F1806" s="1102">
        <v>1.0222502112844225</v>
      </c>
      <c r="G1806" s="1102">
        <v>0.98848043919658324</v>
      </c>
      <c r="H1806" s="1102">
        <v>0.97263490467381308</v>
      </c>
      <c r="I1806" s="1102">
        <v>0.98976554955068163</v>
      </c>
      <c r="K1806">
        <v>1.5645275008199027</v>
      </c>
      <c r="L1806">
        <v>0</v>
      </c>
      <c r="M1806">
        <v>1.5296956405665542E-3</v>
      </c>
      <c r="N1806">
        <v>0.13781173369622801</v>
      </c>
      <c r="O1806">
        <v>0.1226839949787666</v>
      </c>
      <c r="P1806">
        <v>1.5796206102163285E-2</v>
      </c>
      <c r="Q1806">
        <v>8.8158583516508796E-4</v>
      </c>
      <c r="R1806">
        <v>1.5261401380002864E-3</v>
      </c>
      <c r="S1806">
        <v>0.11531587270130357</v>
      </c>
      <c r="T1806">
        <v>0.84408340668471193</v>
      </c>
      <c r="U1806">
        <v>0</v>
      </c>
      <c r="V1806">
        <v>0.20516962202154237</v>
      </c>
      <c r="W1806">
        <v>9.0910370662161247E-2</v>
      </c>
      <c r="X1806">
        <v>2.7724613276749802E-2</v>
      </c>
      <c r="Y1806">
        <v>4.153650363675496E-3</v>
      </c>
    </row>
    <row r="1807" spans="1:25" x14ac:dyDescent="0.25">
      <c r="A1807" s="1098"/>
      <c r="B1807" s="1457">
        <v>1557</v>
      </c>
      <c r="C1807" s="1102">
        <v>1.0015974551587825</v>
      </c>
      <c r="D1807" s="1102">
        <v>1.0080969433419202</v>
      </c>
      <c r="E1807" s="1102">
        <v>0.99281690265754752</v>
      </c>
      <c r="F1807" s="1102">
        <v>1.0146238492586055</v>
      </c>
      <c r="G1807" s="1102">
        <v>0.99518324304813288</v>
      </c>
      <c r="H1807" s="1102">
        <v>0.99558833059340024</v>
      </c>
      <c r="I1807" s="1102">
        <v>1.0138103021169469</v>
      </c>
      <c r="K1807">
        <v>1.5686920065519938</v>
      </c>
      <c r="L1807">
        <v>0</v>
      </c>
      <c r="M1807">
        <v>1.5689750462541123E-3</v>
      </c>
      <c r="N1807">
        <v>0.14126970004323375</v>
      </c>
      <c r="O1807">
        <v>0.12198021568014415</v>
      </c>
      <c r="P1807">
        <v>1.5782101650086238E-2</v>
      </c>
      <c r="Q1807">
        <v>8.8782284860042834E-4</v>
      </c>
      <c r="R1807">
        <v>1.5653921310604931E-3</v>
      </c>
      <c r="S1807">
        <v>0.12013092295361714</v>
      </c>
      <c r="T1807">
        <v>0.83779984821283981</v>
      </c>
      <c r="U1807">
        <v>0</v>
      </c>
      <c r="V1807">
        <v>0.20576878543412089</v>
      </c>
      <c r="W1807">
        <v>9.3202772449770599E-2</v>
      </c>
      <c r="X1807">
        <v>2.7612938845405065E-2</v>
      </c>
      <c r="Y1807">
        <v>4.2604813493693433E-3</v>
      </c>
    </row>
    <row r="1808" spans="1:25" x14ac:dyDescent="0.25">
      <c r="A1808" s="1098"/>
      <c r="B1808" s="1457">
        <v>1558</v>
      </c>
      <c r="C1808" s="1102">
        <v>1.0208957291852985</v>
      </c>
      <c r="D1808" s="1102">
        <v>0.99796479888484391</v>
      </c>
      <c r="E1808" s="1102">
        <v>0.97007738836882129</v>
      </c>
      <c r="F1808" s="1102">
        <v>1.0315611606386483</v>
      </c>
      <c r="G1808" s="1102">
        <v>0.97034056474777963</v>
      </c>
      <c r="H1808" s="1102">
        <v>1.0345146750181093</v>
      </c>
      <c r="I1808" s="1102">
        <v>0.98358157536802104</v>
      </c>
      <c r="K1808">
        <v>1.5835427106729856</v>
      </c>
      <c r="L1808">
        <v>0</v>
      </c>
      <c r="M1808">
        <v>1.6905446623223319E-3</v>
      </c>
      <c r="N1808">
        <v>0.14210977608725001</v>
      </c>
      <c r="O1808">
        <v>0.1226763019186025</v>
      </c>
      <c r="P1808">
        <v>1.567189805927105E-2</v>
      </c>
      <c r="Q1808">
        <v>8.5398805234290309E-4</v>
      </c>
      <c r="R1808">
        <v>1.686845285887451E-3</v>
      </c>
      <c r="S1808">
        <v>0.11818038097957824</v>
      </c>
      <c r="T1808">
        <v>0.85334795215256887</v>
      </c>
      <c r="U1808">
        <v>0</v>
      </c>
      <c r="V1808">
        <v>0.20417768688390373</v>
      </c>
      <c r="W1808">
        <v>9.505176252620727E-2</v>
      </c>
      <c r="X1808">
        <v>2.6885626589908222E-2</v>
      </c>
      <c r="Y1808">
        <v>4.5910367997865961E-3</v>
      </c>
    </row>
    <row r="1809" spans="1:25" x14ac:dyDescent="0.25">
      <c r="A1809" s="1098"/>
      <c r="B1809" s="1457">
        <v>1559</v>
      </c>
      <c r="C1809" s="1102">
        <v>1.0175268555084394</v>
      </c>
      <c r="D1809" s="1102">
        <v>0.97906524000501183</v>
      </c>
      <c r="E1809" s="1102">
        <v>0.9974067657401009</v>
      </c>
      <c r="F1809" s="1102">
        <v>0.96274563345220687</v>
      </c>
      <c r="G1809" s="1102">
        <v>1.0063554141690785</v>
      </c>
      <c r="H1809" s="1102">
        <v>0.98827152420057196</v>
      </c>
      <c r="I1809" s="1102">
        <v>0.9886818174071762</v>
      </c>
      <c r="K1809">
        <v>1.5133965697978895</v>
      </c>
      <c r="L1809">
        <v>0</v>
      </c>
      <c r="M1809">
        <v>1.5394358935759648E-3</v>
      </c>
      <c r="N1809">
        <v>0.14054445620342035</v>
      </c>
      <c r="O1809">
        <v>0.11878567747815366</v>
      </c>
      <c r="P1809">
        <v>1.5165221170232996E-2</v>
      </c>
      <c r="Q1809">
        <v>8.8842756872778352E-4</v>
      </c>
      <c r="R1809">
        <v>1.5359013897905658E-3</v>
      </c>
      <c r="S1809">
        <v>0.11656336639512895</v>
      </c>
      <c r="T1809">
        <v>0.79467032526494652</v>
      </c>
      <c r="U1809">
        <v>0</v>
      </c>
      <c r="V1809">
        <v>0.2031295798617315</v>
      </c>
      <c r="W1809">
        <v>9.24707125837258E-2</v>
      </c>
      <c r="X1809">
        <v>2.7002120502352824E-2</v>
      </c>
      <c r="Y1809">
        <v>4.18021727325285E-3</v>
      </c>
    </row>
    <row r="1810" spans="1:25" x14ac:dyDescent="0.25">
      <c r="A1810" s="1098"/>
      <c r="B1810" s="1457">
        <v>1560</v>
      </c>
      <c r="C1810" s="1102">
        <v>0.98237335100311152</v>
      </c>
      <c r="D1810" s="1102">
        <v>1.0293967928941801</v>
      </c>
      <c r="E1810" s="1102">
        <v>1.0074100260634684</v>
      </c>
      <c r="F1810" s="1102">
        <v>1.0351559709730038</v>
      </c>
      <c r="G1810" s="1102">
        <v>1.0419642523007981</v>
      </c>
      <c r="H1810" s="1102">
        <v>0.97784399029229951</v>
      </c>
      <c r="I1810" s="1102">
        <v>0.97410266216046548</v>
      </c>
      <c r="K1810">
        <v>1.5861739901920049</v>
      </c>
      <c r="L1810">
        <v>0</v>
      </c>
      <c r="M1810">
        <v>1.5064795832758521E-3</v>
      </c>
      <c r="N1810">
        <v>0.14174971054836469</v>
      </c>
      <c r="O1810">
        <v>0.12342742099318861</v>
      </c>
      <c r="P1810">
        <v>1.6159375911275409E-2</v>
      </c>
      <c r="Q1810">
        <v>9.1134192614842301E-4</v>
      </c>
      <c r="R1810">
        <v>1.5029649954852351E-3</v>
      </c>
      <c r="S1810">
        <v>0.11488437823848895</v>
      </c>
      <c r="T1810">
        <v>0.85375656210944983</v>
      </c>
      <c r="U1810">
        <v>0</v>
      </c>
      <c r="V1810">
        <v>0.2099732217394526</v>
      </c>
      <c r="W1810">
        <v>9.2711906267556515E-2</v>
      </c>
      <c r="X1810">
        <v>2.8513011780436862E-2</v>
      </c>
      <c r="Y1810">
        <v>4.0905752654332049E-3</v>
      </c>
    </row>
    <row r="1811" spans="1:25" x14ac:dyDescent="0.25">
      <c r="A1811" s="1098"/>
      <c r="B1811" s="1457">
        <v>1561</v>
      </c>
      <c r="C1811" s="1102">
        <v>0.98291970844203858</v>
      </c>
      <c r="D1811" s="1102">
        <v>1.0222036280684734</v>
      </c>
      <c r="E1811" s="1102">
        <v>0.99383828668061469</v>
      </c>
      <c r="F1811" s="1102">
        <v>1.0079432942305382</v>
      </c>
      <c r="G1811" s="1102">
        <v>1.0160548122831954</v>
      </c>
      <c r="H1811" s="1102">
        <v>0.99394904954910834</v>
      </c>
      <c r="I1811" s="1102">
        <v>1.0286640814275232</v>
      </c>
      <c r="K1811">
        <v>1.5695151051719156</v>
      </c>
      <c r="L1811">
        <v>0</v>
      </c>
      <c r="M1811">
        <v>1.5773609661450753E-3</v>
      </c>
      <c r="N1811">
        <v>0.14246201662524438</v>
      </c>
      <c r="O1811">
        <v>0.1218639075098884</v>
      </c>
      <c r="P1811">
        <v>1.5780145403275849E-2</v>
      </c>
      <c r="Q1811">
        <v>9.006353425894387E-4</v>
      </c>
      <c r="R1811">
        <v>1.5737378814792034E-3</v>
      </c>
      <c r="S1811">
        <v>0.12289785313016327</v>
      </c>
      <c r="T1811">
        <v>0.83221536663010376</v>
      </c>
      <c r="U1811">
        <v>0</v>
      </c>
      <c r="V1811">
        <v>0.20754439678785822</v>
      </c>
      <c r="W1811">
        <v>9.3932063283076891E-2</v>
      </c>
      <c r="X1811">
        <v>2.7639147813546226E-2</v>
      </c>
      <c r="Y1811">
        <v>4.2831957308331874E-3</v>
      </c>
    </row>
    <row r="1812" spans="1:25" x14ac:dyDescent="0.25">
      <c r="A1812" s="1098"/>
      <c r="B1812" s="1457">
        <v>1562</v>
      </c>
      <c r="C1812" s="1102">
        <v>0.97333645811321046</v>
      </c>
      <c r="D1812" s="1102">
        <v>0.99815011870189985</v>
      </c>
      <c r="E1812" s="1102">
        <v>1.01524826822321</v>
      </c>
      <c r="F1812" s="1102">
        <v>1.0457805303119276</v>
      </c>
      <c r="G1812" s="1102">
        <v>0.99535294234254645</v>
      </c>
      <c r="H1812" s="1102">
        <v>0.98921983761137078</v>
      </c>
      <c r="I1812" s="1102">
        <v>1.0041229471947979</v>
      </c>
      <c r="K1812">
        <v>1.6169203672191617</v>
      </c>
      <c r="L1812">
        <v>0</v>
      </c>
      <c r="M1812">
        <v>1.5401987880383618E-3</v>
      </c>
      <c r="N1812">
        <v>0.14839821022271021</v>
      </c>
      <c r="O1812">
        <v>0.12602606735167771</v>
      </c>
      <c r="P1812">
        <v>1.647746656505461E-2</v>
      </c>
      <c r="Q1812">
        <v>9.3876718879165274E-4</v>
      </c>
      <c r="R1812">
        <v>1.5366655794491562E-3</v>
      </c>
      <c r="S1812">
        <v>0.12270521479730874</v>
      </c>
      <c r="T1812">
        <v>0.86198116459057161</v>
      </c>
      <c r="U1812">
        <v>0</v>
      </c>
      <c r="V1812">
        <v>0.21018109660087675</v>
      </c>
      <c r="W1812">
        <v>9.6613267476897982E-2</v>
      </c>
      <c r="X1812">
        <v>2.942034848827188E-2</v>
      </c>
      <c r="Y1812">
        <v>4.1822971455884794E-3</v>
      </c>
    </row>
    <row r="1813" spans="1:25" x14ac:dyDescent="0.25">
      <c r="A1813" s="1098"/>
      <c r="B1813" s="1457">
        <v>1563</v>
      </c>
      <c r="C1813" s="1102">
        <v>0.98485263166471027</v>
      </c>
      <c r="D1813" s="1102">
        <v>0.97580040849820371</v>
      </c>
      <c r="E1813" s="1102">
        <v>1.0128952507494657</v>
      </c>
      <c r="F1813" s="1102">
        <v>0.99414493622454869</v>
      </c>
      <c r="G1813" s="1102">
        <v>0.98818297714907588</v>
      </c>
      <c r="H1813" s="1102">
        <v>0.97540080793435258</v>
      </c>
      <c r="I1813" s="1102">
        <v>0.98459027919278053</v>
      </c>
      <c r="K1813">
        <v>1.558417971377291</v>
      </c>
      <c r="L1813">
        <v>0</v>
      </c>
      <c r="M1813">
        <v>1.5230770144521969E-3</v>
      </c>
      <c r="N1813">
        <v>0.14570555618595094</v>
      </c>
      <c r="O1813">
        <v>0.12279351209634694</v>
      </c>
      <c r="P1813">
        <v>1.5770621892305235E-2</v>
      </c>
      <c r="Q1813">
        <v>9.3396795351986285E-4</v>
      </c>
      <c r="R1813">
        <v>1.5195360685461849E-3</v>
      </c>
      <c r="S1813">
        <v>0.11917274851594066</v>
      </c>
      <c r="T1813">
        <v>0.8195740552214158</v>
      </c>
      <c r="U1813">
        <v>0</v>
      </c>
      <c r="V1813">
        <v>0.20684200886008158</v>
      </c>
      <c r="W1813">
        <v>9.4991529942125841E-2</v>
      </c>
      <c r="X1813">
        <v>2.8501835391857213E-2</v>
      </c>
      <c r="Y1813">
        <v>4.1356762636523435E-3</v>
      </c>
    </row>
    <row r="1814" spans="1:25" x14ac:dyDescent="0.25">
      <c r="A1814" s="1098"/>
      <c r="B1814" s="1457">
        <v>1564</v>
      </c>
      <c r="C1814" s="1102">
        <v>1.0043589319462325</v>
      </c>
      <c r="D1814" s="1102">
        <v>0.96574385353012859</v>
      </c>
      <c r="E1814" s="1102">
        <v>0.97302728300959618</v>
      </c>
      <c r="F1814" s="1102">
        <v>1.009378515829924</v>
      </c>
      <c r="G1814" s="1102">
        <v>1.0136358837686543</v>
      </c>
      <c r="H1814" s="1102">
        <v>0.98411581776975798</v>
      </c>
      <c r="I1814" s="1102">
        <v>1.0296250137283782</v>
      </c>
      <c r="K1814">
        <v>1.5708990559463971</v>
      </c>
      <c r="L1814">
        <v>0</v>
      </c>
      <c r="M1814">
        <v>1.6506506583324678E-3</v>
      </c>
      <c r="N1814">
        <v>0.1399861420658591</v>
      </c>
      <c r="O1814">
        <v>0.12343511197211207</v>
      </c>
      <c r="P1814">
        <v>1.5577637703569663E-2</v>
      </c>
      <c r="Q1814">
        <v>8.822551081574747E-4</v>
      </c>
      <c r="R1814">
        <v>1.6468638198653743E-3</v>
      </c>
      <c r="S1814">
        <v>0.1238225262662541</v>
      </c>
      <c r="T1814">
        <v>0.83479830269129651</v>
      </c>
      <c r="U1814">
        <v>0</v>
      </c>
      <c r="V1814">
        <v>0.20736232359250892</v>
      </c>
      <c r="W1814">
        <v>9.346359682448506E-2</v>
      </c>
      <c r="X1814">
        <v>2.7092726131459008E-2</v>
      </c>
      <c r="Y1814">
        <v>4.4822204291612346E-3</v>
      </c>
    </row>
    <row r="1815" spans="1:25" x14ac:dyDescent="0.25">
      <c r="A1815" s="1098"/>
      <c r="B1815" s="1457">
        <v>1565</v>
      </c>
      <c r="C1815" s="1102">
        <v>0.96118333601345229</v>
      </c>
      <c r="D1815" s="1102">
        <v>0.9757113018355883</v>
      </c>
      <c r="E1815" s="1102">
        <v>0.96475754429969596</v>
      </c>
      <c r="F1815" s="1102">
        <v>0.99505211257795567</v>
      </c>
      <c r="G1815" s="1102">
        <v>0.99138399907919761</v>
      </c>
      <c r="H1815" s="1102">
        <v>1.0099344107008346</v>
      </c>
      <c r="I1815" s="1102">
        <v>0.99969852008396975</v>
      </c>
      <c r="K1815">
        <v>1.5777881755883785</v>
      </c>
      <c r="L1815">
        <v>0</v>
      </c>
      <c r="M1815">
        <v>1.782083068729361E-3</v>
      </c>
      <c r="N1815">
        <v>0.14740145161450185</v>
      </c>
      <c r="O1815">
        <v>0.12426918365112422</v>
      </c>
      <c r="P1815">
        <v>1.5388795387876885E-2</v>
      </c>
      <c r="Q1815">
        <v>9.1013739663046197E-4</v>
      </c>
      <c r="R1815">
        <v>1.7780745037673678E-3</v>
      </c>
      <c r="S1815">
        <v>0.12662150247979326</v>
      </c>
      <c r="T1815">
        <v>0.82350124201924124</v>
      </c>
      <c r="U1815">
        <v>0</v>
      </c>
      <c r="V1815">
        <v>0.20905615304118197</v>
      </c>
      <c r="W1815">
        <v>9.8911557879678924E-2</v>
      </c>
      <c r="X1815">
        <v>2.68928280261597E-2</v>
      </c>
      <c r="Y1815">
        <v>4.8393326571521365E-3</v>
      </c>
    </row>
    <row r="1816" spans="1:25" x14ac:dyDescent="0.25">
      <c r="A1816" s="1098"/>
      <c r="B1816" s="1457">
        <v>1566</v>
      </c>
      <c r="C1816" s="1102">
        <v>1.0165012186197737</v>
      </c>
      <c r="D1816" s="1102">
        <v>1.0257487177711906</v>
      </c>
      <c r="E1816" s="1102">
        <v>1.0010501098286568</v>
      </c>
      <c r="F1816" s="1102">
        <v>1.0188202244582458</v>
      </c>
      <c r="G1816" s="1102">
        <v>0.99998115114067021</v>
      </c>
      <c r="H1816" s="1102">
        <v>0.99968156871831337</v>
      </c>
      <c r="I1816" s="1102">
        <v>0.98662576569960148</v>
      </c>
      <c r="K1816">
        <v>1.5601699453117297</v>
      </c>
      <c r="L1816">
        <v>0</v>
      </c>
      <c r="M1816">
        <v>1.5130765241957141E-3</v>
      </c>
      <c r="N1816">
        <v>0.1396694972110254</v>
      </c>
      <c r="O1816">
        <v>0.12071980783716603</v>
      </c>
      <c r="P1816">
        <v>1.5823642208326907E-2</v>
      </c>
      <c r="Q1816">
        <v>8.7621252663224348E-4</v>
      </c>
      <c r="R1816">
        <v>1.5096299078865489E-3</v>
      </c>
      <c r="S1816">
        <v>0.11443280669386789</v>
      </c>
      <c r="T1816">
        <v>0.84071033119714633</v>
      </c>
      <c r="U1816">
        <v>0</v>
      </c>
      <c r="V1816">
        <v>0.2044566371071701</v>
      </c>
      <c r="W1816">
        <v>9.1696140818365551E-2</v>
      </c>
      <c r="X1816">
        <v>2.7679601368433646E-2</v>
      </c>
      <c r="Y1816">
        <v>4.1087149599017972E-3</v>
      </c>
    </row>
    <row r="1817" spans="1:25" x14ac:dyDescent="0.25">
      <c r="A1817" s="1098"/>
      <c r="B1817" s="1457">
        <v>1567</v>
      </c>
      <c r="C1817" s="1102">
        <v>1.0337281478799623</v>
      </c>
      <c r="D1817" s="1102">
        <v>1.0224247608239185</v>
      </c>
      <c r="E1817" s="1102">
        <v>1.0159786796272574</v>
      </c>
      <c r="F1817" s="1102">
        <v>1.0133285683106621</v>
      </c>
      <c r="G1817" s="1102">
        <v>0.98632871180331427</v>
      </c>
      <c r="H1817" s="1102">
        <v>1.0279043387049962</v>
      </c>
      <c r="I1817" s="1102">
        <v>0.97738467700746268</v>
      </c>
      <c r="K1817">
        <v>1.5568378801972766</v>
      </c>
      <c r="L1817">
        <v>0</v>
      </c>
      <c r="M1817">
        <v>1.4870374667403047E-3</v>
      </c>
      <c r="N1817">
        <v>0.1436040113586381</v>
      </c>
      <c r="O1817">
        <v>0.11958823297219685</v>
      </c>
      <c r="P1817">
        <v>1.5885763915907663E-2</v>
      </c>
      <c r="Q1817">
        <v>8.7612590694183755E-4</v>
      </c>
      <c r="R1817">
        <v>1.483747495123131E-3</v>
      </c>
      <c r="S1817">
        <v>0.11386862396721426</v>
      </c>
      <c r="T1817">
        <v>0.83518425484224412</v>
      </c>
      <c r="U1817">
        <v>0</v>
      </c>
      <c r="V1817">
        <v>0.20229344606505079</v>
      </c>
      <c r="W1817">
        <v>9.3451967717972956E-2</v>
      </c>
      <c r="X1817">
        <v>2.8050471858231275E-2</v>
      </c>
      <c r="Y1817">
        <v>4.0382715644948471E-3</v>
      </c>
    </row>
    <row r="1818" spans="1:25" x14ac:dyDescent="0.25">
      <c r="A1818" s="1098"/>
      <c r="B1818" s="1457">
        <v>1568</v>
      </c>
      <c r="C1818" s="1102">
        <v>0.98935153183142355</v>
      </c>
      <c r="D1818" s="1102">
        <v>1.0337764500150683</v>
      </c>
      <c r="E1818" s="1102">
        <v>1.0027973894967572</v>
      </c>
      <c r="F1818" s="1102">
        <v>1.0031809447191096</v>
      </c>
      <c r="G1818" s="1102">
        <v>1.0036379354603835</v>
      </c>
      <c r="H1818" s="1102">
        <v>1.0431095236227848</v>
      </c>
      <c r="I1818" s="1102">
        <v>1.0313140667041449</v>
      </c>
      <c r="K1818">
        <v>1.5752605451351969</v>
      </c>
      <c r="L1818">
        <v>0</v>
      </c>
      <c r="M1818">
        <v>1.6042601803241483E-3</v>
      </c>
      <c r="N1818">
        <v>0.1488829302560282</v>
      </c>
      <c r="O1818">
        <v>0.12067432853241432</v>
      </c>
      <c r="P1818">
        <v>1.5838410876933558E-2</v>
      </c>
      <c r="Q1818">
        <v>8.9908018643228597E-4</v>
      </c>
      <c r="R1818">
        <v>1.6007427830092434E-3</v>
      </c>
      <c r="S1818">
        <v>0.12560535704857687</v>
      </c>
      <c r="T1818">
        <v>0.82768950331269664</v>
      </c>
      <c r="U1818">
        <v>0</v>
      </c>
      <c r="V1818">
        <v>0.20586186135837264</v>
      </c>
      <c r="W1818">
        <v>9.7643664786270082E-2</v>
      </c>
      <c r="X1818">
        <v>2.781223200415181E-2</v>
      </c>
      <c r="Y1818">
        <v>4.3566941706345598E-3</v>
      </c>
    </row>
    <row r="1819" spans="1:25" x14ac:dyDescent="0.25">
      <c r="A1819" s="1098"/>
      <c r="B1819" s="1457">
        <v>1569</v>
      </c>
      <c r="C1819" s="1102">
        <v>1.0050256036236258</v>
      </c>
      <c r="D1819" s="1102">
        <v>1.0165057118457783</v>
      </c>
      <c r="E1819" s="1102">
        <v>0.96307445714289774</v>
      </c>
      <c r="F1819" s="1102">
        <v>0.99709931664259699</v>
      </c>
      <c r="G1819" s="1102">
        <v>1.0073202158717289</v>
      </c>
      <c r="H1819" s="1102">
        <v>0.95039437763467793</v>
      </c>
      <c r="I1819" s="1102">
        <v>1.0244677256579833</v>
      </c>
      <c r="K1819">
        <v>1.5305292151909169</v>
      </c>
      <c r="L1819">
        <v>0</v>
      </c>
      <c r="M1819">
        <v>1.5781461434635354E-3</v>
      </c>
      <c r="N1819">
        <v>0.12985003165215606</v>
      </c>
      <c r="O1819">
        <v>0.12029898275144359</v>
      </c>
      <c r="P1819">
        <v>1.5203872032254291E-2</v>
      </c>
      <c r="Q1819">
        <v>8.5476755804694512E-4</v>
      </c>
      <c r="R1819">
        <v>1.5743616289464486E-3</v>
      </c>
      <c r="S1819">
        <v>0.11662178850243259</v>
      </c>
      <c r="T1819">
        <v>0.82530823806773967</v>
      </c>
      <c r="U1819">
        <v>0</v>
      </c>
      <c r="V1819">
        <v>0.20482108555624381</v>
      </c>
      <c r="W1819">
        <v>8.7223675109309465E-2</v>
      </c>
      <c r="X1819">
        <v>2.6065665109986605E-2</v>
      </c>
      <c r="Y1819">
        <v>4.2848933658207302E-3</v>
      </c>
    </row>
    <row r="1820" spans="1:25" x14ac:dyDescent="0.25">
      <c r="A1820" s="1098"/>
      <c r="B1820" s="1457">
        <v>1570</v>
      </c>
      <c r="C1820" s="1102">
        <v>0.95553881077662139</v>
      </c>
      <c r="D1820" s="1102">
        <v>1.0046546201252891</v>
      </c>
      <c r="E1820" s="1102">
        <v>0.98783173949756287</v>
      </c>
      <c r="F1820" s="1102">
        <v>1.0266437096974568</v>
      </c>
      <c r="G1820" s="1102">
        <v>0.98916769830656415</v>
      </c>
      <c r="H1820" s="1102">
        <v>1.0343981821161856</v>
      </c>
      <c r="I1820" s="1102">
        <v>1.0152095373814254</v>
      </c>
      <c r="K1820">
        <v>1.617341308752724</v>
      </c>
      <c r="L1820">
        <v>0</v>
      </c>
      <c r="M1820">
        <v>1.7254147792849536E-3</v>
      </c>
      <c r="N1820">
        <v>0.15304397641138553</v>
      </c>
      <c r="O1820">
        <v>0.12544923314185452</v>
      </c>
      <c r="P1820">
        <v>1.6047637435615863E-2</v>
      </c>
      <c r="Q1820">
        <v>9.270626280188383E-4</v>
      </c>
      <c r="R1820">
        <v>1.7216149878323131E-3</v>
      </c>
      <c r="S1820">
        <v>0.12938598810753879</v>
      </c>
      <c r="T1820">
        <v>0.84806440032365782</v>
      </c>
      <c r="U1820">
        <v>0</v>
      </c>
      <c r="V1820">
        <v>0.21027077168788175</v>
      </c>
      <c r="W1820">
        <v>0.10127277296650841</v>
      </c>
      <c r="X1820">
        <v>2.8197597375062687E-2</v>
      </c>
      <c r="Y1820">
        <v>4.6856684666513448E-3</v>
      </c>
    </row>
    <row r="1821" spans="1:25" x14ac:dyDescent="0.25">
      <c r="A1821" s="1098"/>
      <c r="B1821" s="1457">
        <v>1571</v>
      </c>
      <c r="C1821" s="1102">
        <v>1.0038139400678707</v>
      </c>
      <c r="D1821" s="1102">
        <v>1.002081391273606</v>
      </c>
      <c r="E1821" s="1102">
        <v>1.0179924512196161</v>
      </c>
      <c r="F1821" s="1102">
        <v>0.96553035518351815</v>
      </c>
      <c r="G1821" s="1102">
        <v>1.0226216691954728</v>
      </c>
      <c r="H1821" s="1102">
        <v>0.97236483533958362</v>
      </c>
      <c r="I1821" s="1102">
        <v>1.0096877449467268</v>
      </c>
      <c r="K1821">
        <v>1.517095332393769</v>
      </c>
      <c r="L1821">
        <v>0</v>
      </c>
      <c r="M1821">
        <v>1.4507721042107333E-3</v>
      </c>
      <c r="N1821">
        <v>0.14093712765118988</v>
      </c>
      <c r="O1821">
        <v>0.11860496657574843</v>
      </c>
      <c r="P1821">
        <v>1.5446937937218153E-2</v>
      </c>
      <c r="Q1821">
        <v>9.114011984066565E-4</v>
      </c>
      <c r="R1821">
        <v>1.44737101707256E-3</v>
      </c>
      <c r="S1821">
        <v>0.11772000497619982</v>
      </c>
      <c r="T1821">
        <v>0.79566173395988438</v>
      </c>
      <c r="U1821">
        <v>0</v>
      </c>
      <c r="V1821">
        <v>0.2044868655032214</v>
      </c>
      <c r="W1821">
        <v>9.1608212820629392E-2</v>
      </c>
      <c r="X1821">
        <v>2.7782216075663065E-2</v>
      </c>
      <c r="Y1821">
        <v>3.9392667827439602E-3</v>
      </c>
    </row>
    <row r="1822" spans="1:25" x14ac:dyDescent="0.25">
      <c r="A1822" s="1098"/>
      <c r="B1822" s="1457">
        <v>1572</v>
      </c>
      <c r="C1822" s="1102">
        <v>0.97737620287173432</v>
      </c>
      <c r="D1822" s="1102">
        <v>1.0115222851287475</v>
      </c>
      <c r="E1822" s="1102">
        <v>1.0012039908155592</v>
      </c>
      <c r="F1822" s="1102">
        <v>0.9719820718726333</v>
      </c>
      <c r="G1822" s="1102">
        <v>1.0039526911271743</v>
      </c>
      <c r="H1822" s="1102">
        <v>1.0071619213299838</v>
      </c>
      <c r="I1822" s="1102">
        <v>1.021353302549364</v>
      </c>
      <c r="K1822">
        <v>1.5433756381671175</v>
      </c>
      <c r="L1822">
        <v>0</v>
      </c>
      <c r="M1822">
        <v>1.5873493228578284E-3</v>
      </c>
      <c r="N1822">
        <v>0.14659475980827277</v>
      </c>
      <c r="O1822">
        <v>0.12005721212240272</v>
      </c>
      <c r="P1822">
        <v>1.545329626700161E-2</v>
      </c>
      <c r="Q1822">
        <v>9.1653923191525963E-4</v>
      </c>
      <c r="R1822">
        <v>1.5837458052931615E-3</v>
      </c>
      <c r="S1822">
        <v>0.12432275415153267</v>
      </c>
      <c r="T1822">
        <v>0.80205054431506095</v>
      </c>
      <c r="U1822">
        <v>0</v>
      </c>
      <c r="V1822">
        <v>0.20593486762115171</v>
      </c>
      <c r="W1822">
        <v>9.623393623031988E-2</v>
      </c>
      <c r="X1822">
        <v>2.7504897936679092E-2</v>
      </c>
      <c r="Y1822">
        <v>4.3104340003435829E-3</v>
      </c>
    </row>
    <row r="1823" spans="1:25" x14ac:dyDescent="0.25">
      <c r="A1823" s="1098"/>
      <c r="B1823" s="1457">
        <v>1573</v>
      </c>
      <c r="C1823" s="1102">
        <v>0.98098334425803457</v>
      </c>
      <c r="D1823" s="1102">
        <v>0.98834020859359106</v>
      </c>
      <c r="E1823" s="1102">
        <v>0.9795619544862082</v>
      </c>
      <c r="F1823" s="1102">
        <v>1.0071964184955897</v>
      </c>
      <c r="G1823" s="1102">
        <v>1.0152103984345684</v>
      </c>
      <c r="H1823" s="1102">
        <v>1.0070627739885332</v>
      </c>
      <c r="I1823" s="1102">
        <v>0.98316711945327662</v>
      </c>
      <c r="K1823">
        <v>1.5762223583026678</v>
      </c>
      <c r="L1823">
        <v>0</v>
      </c>
      <c r="M1823">
        <v>1.6807348263057514E-3</v>
      </c>
      <c r="N1823">
        <v>0.14539023866608089</v>
      </c>
      <c r="O1823">
        <v>0.123448835475577</v>
      </c>
      <c r="P1823">
        <v>1.5605611468950736E-2</v>
      </c>
      <c r="Q1823">
        <v>9.0112208203214136E-4</v>
      </c>
      <c r="R1823">
        <v>1.6769449812547765E-3</v>
      </c>
      <c r="S1823">
        <v>0.12108570831451297</v>
      </c>
      <c r="T1823">
        <v>0.83255409775851741</v>
      </c>
      <c r="U1823">
        <v>0</v>
      </c>
      <c r="V1823">
        <v>0.20862976003172101</v>
      </c>
      <c r="W1823">
        <v>9.6688320535476352E-2</v>
      </c>
      <c r="X1823">
        <v>2.7358362380638785E-2</v>
      </c>
      <c r="Y1823">
        <v>4.5640914342110015E-3</v>
      </c>
    </row>
    <row r="1824" spans="1:25" x14ac:dyDescent="0.25">
      <c r="A1824" s="1098"/>
      <c r="B1824" s="1457">
        <v>1574</v>
      </c>
      <c r="C1824" s="1102">
        <v>0.99909816853025835</v>
      </c>
      <c r="D1824" s="1102">
        <v>1.0090688446734684</v>
      </c>
      <c r="E1824" s="1102">
        <v>1.0345597239941522</v>
      </c>
      <c r="F1824" s="1102">
        <v>0.99956894431040977</v>
      </c>
      <c r="G1824" s="1102">
        <v>0.97402208046454231</v>
      </c>
      <c r="H1824" s="1102">
        <v>1.0075647866785038</v>
      </c>
      <c r="I1824" s="1102">
        <v>1.0117704253473905</v>
      </c>
      <c r="K1824">
        <v>1.5634365618977693</v>
      </c>
      <c r="L1824">
        <v>0</v>
      </c>
      <c r="M1824">
        <v>1.4568144065082189E-3</v>
      </c>
      <c r="N1824">
        <v>0.1487864055255943</v>
      </c>
      <c r="O1824">
        <v>0.12089301926817156</v>
      </c>
      <c r="P1824">
        <v>1.6055752075963846E-2</v>
      </c>
      <c r="Q1824">
        <v>9.287613386544277E-4</v>
      </c>
      <c r="R1824">
        <v>1.4535223210843089E-3</v>
      </c>
      <c r="S1824">
        <v>0.12105359256976113</v>
      </c>
      <c r="T1824">
        <v>0.82263267268860252</v>
      </c>
      <c r="U1824">
        <v>0</v>
      </c>
      <c r="V1824">
        <v>0.20429041854447086</v>
      </c>
      <c r="W1824">
        <v>9.5781893131748952E-2</v>
      </c>
      <c r="X1824">
        <v>2.9061330235736708E-2</v>
      </c>
      <c r="Y1824">
        <v>3.9560086044871179E-3</v>
      </c>
    </row>
    <row r="1825" spans="1:25" x14ac:dyDescent="0.25">
      <c r="A1825" s="1098"/>
      <c r="B1825" s="1457">
        <v>1575</v>
      </c>
      <c r="C1825" s="1102">
        <v>0.98998831370861839</v>
      </c>
      <c r="D1825" s="1102">
        <v>1.0111601639134964</v>
      </c>
      <c r="E1825" s="1102">
        <v>0.99152001765513476</v>
      </c>
      <c r="F1825" s="1102">
        <v>0.98594655033605605</v>
      </c>
      <c r="G1825" s="1102">
        <v>0.96367959878918041</v>
      </c>
      <c r="H1825" s="1102">
        <v>0.97401173841476196</v>
      </c>
      <c r="I1825" s="1102">
        <v>0.98465764713355197</v>
      </c>
      <c r="K1825">
        <v>1.5326642354716531</v>
      </c>
      <c r="L1825">
        <v>0</v>
      </c>
      <c r="M1825">
        <v>1.5497795073751606E-3</v>
      </c>
      <c r="N1825">
        <v>0.13898715568393927</v>
      </c>
      <c r="O1825">
        <v>0.12043666807891434</v>
      </c>
      <c r="P1825">
        <v>1.5362500171284035E-2</v>
      </c>
      <c r="Q1825">
        <v>8.9593395623543644E-4</v>
      </c>
      <c r="R1825">
        <v>1.5461492326158141E-3</v>
      </c>
      <c r="S1825">
        <v>0.11590547876571947</v>
      </c>
      <c r="T1825">
        <v>0.81420503054974647</v>
      </c>
      <c r="U1825">
        <v>0</v>
      </c>
      <c r="V1825">
        <v>0.20375207094761189</v>
      </c>
      <c r="W1825">
        <v>9.176800838944478E-2</v>
      </c>
      <c r="X1825">
        <v>2.7146910680293849E-2</v>
      </c>
      <c r="Y1825">
        <v>4.2081085232226955E-3</v>
      </c>
    </row>
    <row r="1826" spans="1:25" x14ac:dyDescent="0.25">
      <c r="A1826" s="1098"/>
      <c r="B1826" s="1457">
        <v>1576</v>
      </c>
      <c r="C1826" s="1102">
        <v>1.0313160066240938</v>
      </c>
      <c r="D1826" s="1102">
        <v>1.0260281302069427</v>
      </c>
      <c r="E1826" s="1102">
        <v>0.98271646317951855</v>
      </c>
      <c r="F1826" s="1102">
        <v>0.99820212911286932</v>
      </c>
      <c r="G1826" s="1102">
        <v>1.0163948482581004</v>
      </c>
      <c r="H1826" s="1102">
        <v>1.0089673532729815</v>
      </c>
      <c r="I1826" s="1102">
        <v>1.0137370890131721</v>
      </c>
      <c r="K1826">
        <v>1.5369792990903786</v>
      </c>
      <c r="L1826">
        <v>0</v>
      </c>
      <c r="M1826">
        <v>1.5624710330902495E-3</v>
      </c>
      <c r="N1826">
        <v>0.13645560542748783</v>
      </c>
      <c r="O1826">
        <v>0.11861262325099163</v>
      </c>
      <c r="P1826">
        <v>1.540152381033379E-2</v>
      </c>
      <c r="Q1826">
        <v>8.4720239694610936E-4</v>
      </c>
      <c r="R1826">
        <v>1.5589428033464039E-3</v>
      </c>
      <c r="S1826">
        <v>0.11651268013239828</v>
      </c>
      <c r="T1826">
        <v>0.82490958436667294</v>
      </c>
      <c r="U1826">
        <v>0</v>
      </c>
      <c r="V1826">
        <v>0.20290917209460735</v>
      </c>
      <c r="W1826">
        <v>9.0574024384128621E-2</v>
      </c>
      <c r="X1826">
        <v>2.6517483051203824E-2</v>
      </c>
      <c r="Y1826">
        <v>4.2429284053519031E-3</v>
      </c>
    </row>
    <row r="1827" spans="1:25" x14ac:dyDescent="0.25">
      <c r="A1827" s="1098"/>
      <c r="B1827" s="1457">
        <v>1577</v>
      </c>
      <c r="C1827" s="1102">
        <v>0.9761468772028119</v>
      </c>
      <c r="D1827" s="1102">
        <v>1.0345095478921764</v>
      </c>
      <c r="E1827" s="1102">
        <v>0.99336544766729296</v>
      </c>
      <c r="F1827" s="1102">
        <v>0.99748270520381177</v>
      </c>
      <c r="G1827" s="1102">
        <v>1.0180993521376209</v>
      </c>
      <c r="H1827" s="1102">
        <v>0.97645955226878067</v>
      </c>
      <c r="I1827" s="1102">
        <v>0.99445409458979506</v>
      </c>
      <c r="K1827">
        <v>1.5491424891141055</v>
      </c>
      <c r="L1827">
        <v>0</v>
      </c>
      <c r="M1827">
        <v>1.5493629407095999E-3</v>
      </c>
      <c r="N1827">
        <v>0.13972664244562555</v>
      </c>
      <c r="O1827">
        <v>0.12096005889505163</v>
      </c>
      <c r="P1827">
        <v>1.5578833679993274E-2</v>
      </c>
      <c r="Q1827">
        <v>9.0210977426652395E-4</v>
      </c>
      <c r="R1827">
        <v>1.5457285797408976E-3</v>
      </c>
      <c r="S1827">
        <v>0.11730018426307311</v>
      </c>
      <c r="T1827">
        <v>0.82360974169814249</v>
      </c>
      <c r="U1827">
        <v>0</v>
      </c>
      <c r="V1827">
        <v>0.20732522394093386</v>
      </c>
      <c r="W1827">
        <v>9.2154525159965403E-2</v>
      </c>
      <c r="X1827">
        <v>2.7381839973255884E-2</v>
      </c>
      <c r="Y1827">
        <v>4.2069636447653568E-3</v>
      </c>
    </row>
    <row r="1828" spans="1:25" x14ac:dyDescent="0.25">
      <c r="A1828" s="1098"/>
      <c r="B1828" s="1457">
        <v>1578</v>
      </c>
      <c r="C1828" s="1102">
        <v>0.98356378015582968</v>
      </c>
      <c r="D1828" s="1102">
        <v>1.0167622370217155</v>
      </c>
      <c r="E1828" s="1102">
        <v>1.0310974383785383</v>
      </c>
      <c r="F1828" s="1102">
        <v>1.0284749892220746</v>
      </c>
      <c r="G1828" s="1102">
        <v>0.99370105143174758</v>
      </c>
      <c r="H1828" s="1102">
        <v>1.0330959741347048</v>
      </c>
      <c r="I1828" s="1102">
        <v>0.98708845897312769</v>
      </c>
      <c r="K1828">
        <v>1.6036495130398956</v>
      </c>
      <c r="L1828">
        <v>0</v>
      </c>
      <c r="M1828">
        <v>1.523290518108794E-3</v>
      </c>
      <c r="N1828">
        <v>0.15396921681528192</v>
      </c>
      <c r="O1828">
        <v>0.12338723627583871</v>
      </c>
      <c r="P1828">
        <v>1.6405470979528141E-2</v>
      </c>
      <c r="Q1828">
        <v>9.3725601148669042E-4</v>
      </c>
      <c r="R1828">
        <v>1.5199324315955012E-3</v>
      </c>
      <c r="S1828">
        <v>0.12151219324139684</v>
      </c>
      <c r="T1828">
        <v>0.84665327413061275</v>
      </c>
      <c r="U1828">
        <v>0</v>
      </c>
      <c r="V1828">
        <v>0.20776907249773685</v>
      </c>
      <c r="W1828">
        <v>9.9317313680855682E-2</v>
      </c>
      <c r="X1828">
        <v>2.9565082460459469E-2</v>
      </c>
      <c r="Y1828">
        <v>4.1367550332115357E-3</v>
      </c>
    </row>
    <row r="1829" spans="1:25" x14ac:dyDescent="0.25">
      <c r="A1829" s="1098"/>
      <c r="B1829" s="1457">
        <v>1579</v>
      </c>
      <c r="C1829" s="1102">
        <v>0.98260001192418123</v>
      </c>
      <c r="D1829" s="1102">
        <v>0.97363274447141845</v>
      </c>
      <c r="E1829" s="1102">
        <v>0.99120199207023529</v>
      </c>
      <c r="F1829" s="1102">
        <v>0.98921641473457933</v>
      </c>
      <c r="G1829" s="1102">
        <v>1.0317875206303353</v>
      </c>
      <c r="H1829" s="1102">
        <v>1.014730504203905</v>
      </c>
      <c r="I1829" s="1102">
        <v>1.0166614158012361</v>
      </c>
      <c r="K1829">
        <v>1.5711369672879614</v>
      </c>
      <c r="L1829">
        <v>0</v>
      </c>
      <c r="M1829">
        <v>1.66237610741412E-3</v>
      </c>
      <c r="N1829">
        <v>0.14895777358844231</v>
      </c>
      <c r="O1829">
        <v>0.12271983677487792</v>
      </c>
      <c r="P1829">
        <v>1.5609779450345005E-2</v>
      </c>
      <c r="Q1829">
        <v>9.1612629878873623E-4</v>
      </c>
      <c r="R1829">
        <v>1.6586603374367974E-3</v>
      </c>
      <c r="S1829">
        <v>0.12667814848260339</v>
      </c>
      <c r="T1829">
        <v>0.81692617448293281</v>
      </c>
      <c r="U1829">
        <v>0</v>
      </c>
      <c r="V1829">
        <v>0.20877318546357776</v>
      </c>
      <c r="W1829">
        <v>9.8369952772594776E-2</v>
      </c>
      <c r="X1829">
        <v>2.767537908250458E-2</v>
      </c>
      <c r="Y1829">
        <v>4.5143266612696752E-3</v>
      </c>
    </row>
    <row r="1830" spans="1:25" x14ac:dyDescent="0.25">
      <c r="A1830" s="1098"/>
      <c r="B1830" s="1457">
        <v>1580</v>
      </c>
      <c r="C1830" s="1102">
        <v>0.97054057305802122</v>
      </c>
      <c r="D1830" s="1102">
        <v>0.98412905875548373</v>
      </c>
      <c r="E1830" s="1102">
        <v>0.9812146253901437</v>
      </c>
      <c r="F1830" s="1102">
        <v>1.0064024446419599</v>
      </c>
      <c r="G1830" s="1102">
        <v>1.0157911740611516</v>
      </c>
      <c r="H1830" s="1102">
        <v>1.0219700722534422</v>
      </c>
      <c r="I1830" s="1102">
        <v>1.0038703041963484</v>
      </c>
      <c r="K1830">
        <v>1.5899097619665521</v>
      </c>
      <c r="L1830">
        <v>0</v>
      </c>
      <c r="M1830">
        <v>1.7207376826149903E-3</v>
      </c>
      <c r="N1830">
        <v>0.14960167974604924</v>
      </c>
      <c r="O1830">
        <v>0.1241389189670235</v>
      </c>
      <c r="P1830">
        <v>1.5701083665135774E-2</v>
      </c>
      <c r="Q1830">
        <v>9.1395609442078245E-4</v>
      </c>
      <c r="R1830">
        <v>1.7169136030544911E-3</v>
      </c>
      <c r="S1830">
        <v>0.12644603246029046</v>
      </c>
      <c r="T1830">
        <v>0.83178694383386942</v>
      </c>
      <c r="U1830">
        <v>0</v>
      </c>
      <c r="V1830">
        <v>0.20967347599832548</v>
      </c>
      <c r="W1830">
        <v>9.9389837069912529E-2</v>
      </c>
      <c r="X1830">
        <v>2.7588785363988524E-2</v>
      </c>
      <c r="Y1830">
        <v>4.6728728470971891E-3</v>
      </c>
    </row>
    <row r="1831" spans="1:25" x14ac:dyDescent="0.25">
      <c r="A1831" s="1098"/>
      <c r="B1831" s="1457">
        <v>1581</v>
      </c>
      <c r="C1831" s="1102">
        <v>0.99285495382586653</v>
      </c>
      <c r="D1831" s="1102">
        <v>0.9922435212342946</v>
      </c>
      <c r="E1831" s="1102">
        <v>1.0188822784569744</v>
      </c>
      <c r="F1831" s="1102">
        <v>1.032282794351784</v>
      </c>
      <c r="G1831" s="1102">
        <v>0.98583341616145437</v>
      </c>
      <c r="H1831" s="1102">
        <v>0.99958689757876118</v>
      </c>
      <c r="I1831" s="1102">
        <v>0.99236834049047751</v>
      </c>
      <c r="K1831">
        <v>1.5974106298873874</v>
      </c>
      <c r="L1831">
        <v>0</v>
      </c>
      <c r="M1831">
        <v>1.520061355955313E-3</v>
      </c>
      <c r="N1831">
        <v>0.14807679291736828</v>
      </c>
      <c r="O1831">
        <v>0.12429624660271008</v>
      </c>
      <c r="P1831">
        <v>1.6292731183796483E-2</v>
      </c>
      <c r="Q1831">
        <v>9.2595027387755023E-4</v>
      </c>
      <c r="R1831">
        <v>1.5166155153196813E-3</v>
      </c>
      <c r="S1831">
        <v>0.12017728022995097</v>
      </c>
      <c r="T1831">
        <v>0.85061012812097481</v>
      </c>
      <c r="U1831">
        <v>0</v>
      </c>
      <c r="V1831">
        <v>0.20753172309879755</v>
      </c>
      <c r="W1831">
        <v>9.619879325642601E-2</v>
      </c>
      <c r="X1831">
        <v>2.9176702563592418E-2</v>
      </c>
      <c r="Y1831">
        <v>4.1277274805299122E-3</v>
      </c>
    </row>
    <row r="1832" spans="1:25" x14ac:dyDescent="0.25">
      <c r="A1832" s="1098"/>
      <c r="B1832" s="1457">
        <v>1582</v>
      </c>
      <c r="C1832" s="1102">
        <v>1.0410354572778788</v>
      </c>
      <c r="D1832" s="1102">
        <v>0.97368892519904104</v>
      </c>
      <c r="E1832" s="1102">
        <v>0.96638767698033601</v>
      </c>
      <c r="F1832" s="1102">
        <v>1.0055260866904514</v>
      </c>
      <c r="G1832" s="1102">
        <v>0.99024065026351504</v>
      </c>
      <c r="H1832" s="1102">
        <v>1.0198212825260238</v>
      </c>
      <c r="I1832" s="1102">
        <v>1.0012036538523457</v>
      </c>
      <c r="K1832">
        <v>1.5532317457565155</v>
      </c>
      <c r="L1832">
        <v>0</v>
      </c>
      <c r="M1832">
        <v>1.6692171835672493E-3</v>
      </c>
      <c r="N1832">
        <v>0.13875460191449709</v>
      </c>
      <c r="O1832">
        <v>0.12097091271937384</v>
      </c>
      <c r="P1832">
        <v>1.5331735261389399E-2</v>
      </c>
      <c r="Q1832">
        <v>8.424725858185042E-4</v>
      </c>
      <c r="R1832">
        <v>1.6655254565631097E-3</v>
      </c>
      <c r="S1832">
        <v>0.11853377241109146</v>
      </c>
      <c r="T1832">
        <v>0.83205943577224106</v>
      </c>
      <c r="U1832">
        <v>0</v>
      </c>
      <c r="V1832">
        <v>0.20285397875158359</v>
      </c>
      <c r="W1832">
        <v>9.3016559646671187E-2</v>
      </c>
      <c r="X1832">
        <v>2.6338957168406323E-2</v>
      </c>
      <c r="Y1832">
        <v>4.533011252445587E-3</v>
      </c>
    </row>
    <row r="1833" spans="1:25" x14ac:dyDescent="0.25">
      <c r="A1833" s="1098"/>
      <c r="B1833" s="1457">
        <v>1583</v>
      </c>
      <c r="C1833" s="1102">
        <v>0.9929071079023204</v>
      </c>
      <c r="D1833" s="1102">
        <v>0.98329446921401908</v>
      </c>
      <c r="E1833" s="1102">
        <v>0.98568424935427257</v>
      </c>
      <c r="F1833" s="1102">
        <v>0.98720050344556753</v>
      </c>
      <c r="G1833" s="1102">
        <v>0.98962505433295034</v>
      </c>
      <c r="H1833" s="1102">
        <v>1.0299887468326745</v>
      </c>
      <c r="I1833" s="1102">
        <v>1.0394402647174303</v>
      </c>
      <c r="K1833">
        <v>1.5660056127044297</v>
      </c>
      <c r="L1833">
        <v>0</v>
      </c>
      <c r="M1833">
        <v>1.6807248141765807E-3</v>
      </c>
      <c r="N1833">
        <v>0.14811464298624658</v>
      </c>
      <c r="O1833">
        <v>0.12161525079823879</v>
      </c>
      <c r="P1833">
        <v>1.5511880160440084E-2</v>
      </c>
      <c r="Q1833">
        <v>8.9785919414408989E-4</v>
      </c>
      <c r="R1833">
        <v>1.6770200264694885E-3</v>
      </c>
      <c r="S1833">
        <v>0.12873941707134445</v>
      </c>
      <c r="T1833">
        <v>0.81562299002689842</v>
      </c>
      <c r="U1833">
        <v>0</v>
      </c>
      <c r="V1833">
        <v>0.2055644545537294</v>
      </c>
      <c r="W1833">
        <v>9.8137412217663644E-2</v>
      </c>
      <c r="X1833">
        <v>2.7241114800883853E-2</v>
      </c>
      <c r="Y1833">
        <v>4.5642956825467981E-3</v>
      </c>
    </row>
    <row r="1834" spans="1:25" x14ac:dyDescent="0.25">
      <c r="A1834" s="1098"/>
      <c r="B1834" s="1457">
        <v>1584</v>
      </c>
      <c r="C1834" s="1102">
        <v>1.0419884483880242</v>
      </c>
      <c r="D1834" s="1102">
        <v>1.012944283614003</v>
      </c>
      <c r="E1834" s="1102">
        <v>0.98072431058977505</v>
      </c>
      <c r="F1834" s="1102">
        <v>0.99930676456884793</v>
      </c>
      <c r="G1834" s="1102">
        <v>0.97276942981917114</v>
      </c>
      <c r="H1834" s="1102">
        <v>1.0155512581806365</v>
      </c>
      <c r="I1834" s="1102">
        <v>0.98208262534010593</v>
      </c>
      <c r="K1834">
        <v>1.5329101501959512</v>
      </c>
      <c r="L1834">
        <v>0</v>
      </c>
      <c r="M1834">
        <v>1.5757160986293944E-3</v>
      </c>
      <c r="N1834">
        <v>0.13678839135724299</v>
      </c>
      <c r="O1834">
        <v>0.11873480156734074</v>
      </c>
      <c r="P1834">
        <v>1.5314762779440976E-2</v>
      </c>
      <c r="Q1834">
        <v>8.4108461607283183E-4</v>
      </c>
      <c r="R1834">
        <v>1.5721915403671496E-3</v>
      </c>
      <c r="S1834">
        <v>0.11312588110637287</v>
      </c>
      <c r="T1834">
        <v>0.82595504340463066</v>
      </c>
      <c r="U1834">
        <v>0</v>
      </c>
      <c r="V1834">
        <v>0.20053089200673482</v>
      </c>
      <c r="W1834">
        <v>9.0904049684506855E-2</v>
      </c>
      <c r="X1834">
        <v>2.6439781131791577E-2</v>
      </c>
      <c r="Y1834">
        <v>4.2789871000773862E-3</v>
      </c>
    </row>
    <row r="1835" spans="1:25" x14ac:dyDescent="0.25">
      <c r="A1835" s="1098"/>
      <c r="B1835" s="1457">
        <v>1585</v>
      </c>
      <c r="C1835" s="1102">
        <v>1.007986930496795</v>
      </c>
      <c r="D1835" s="1102">
        <v>1.0457123397954142</v>
      </c>
      <c r="E1835" s="1102">
        <v>0.99287978527253273</v>
      </c>
      <c r="F1835" s="1102">
        <v>1.0120567540399938</v>
      </c>
      <c r="G1835" s="1102">
        <v>1.0167379840572439</v>
      </c>
      <c r="H1835" s="1102">
        <v>1.021271368680156</v>
      </c>
      <c r="I1835" s="1102">
        <v>1.0116823195252926</v>
      </c>
      <c r="K1835">
        <v>1.5612940318609732</v>
      </c>
      <c r="L1835">
        <v>0</v>
      </c>
      <c r="M1835">
        <v>1.5664788505831309E-3</v>
      </c>
      <c r="N1835">
        <v>0.14107800788984129</v>
      </c>
      <c r="O1835">
        <v>0.11986554552787174</v>
      </c>
      <c r="P1835">
        <v>1.5721987775092303E-2</v>
      </c>
      <c r="Q1835">
        <v>8.6941890182708301E-4</v>
      </c>
      <c r="R1835">
        <v>1.5629708934253078E-3</v>
      </c>
      <c r="S1835">
        <v>0.11855267014474992</v>
      </c>
      <c r="T1835">
        <v>0.83567591871763791</v>
      </c>
      <c r="U1835">
        <v>0</v>
      </c>
      <c r="V1835">
        <v>0.20498537212447152</v>
      </c>
      <c r="W1835">
        <v>9.3072805155398786E-2</v>
      </c>
      <c r="X1835">
        <v>2.722192204255184E-2</v>
      </c>
      <c r="Y1835">
        <v>4.2538915386871419E-3</v>
      </c>
    </row>
    <row r="1836" spans="1:25" x14ac:dyDescent="0.25">
      <c r="A1836" s="1098"/>
      <c r="B1836" s="1457">
        <v>1586</v>
      </c>
      <c r="C1836" s="1102">
        <v>0.97662358485883749</v>
      </c>
      <c r="D1836" s="1102">
        <v>0.99306869213749416</v>
      </c>
      <c r="E1836" s="1102">
        <v>0.99345297964403378</v>
      </c>
      <c r="F1836" s="1102">
        <v>0.99305598145736351</v>
      </c>
      <c r="G1836" s="1102">
        <v>0.9991895257189104</v>
      </c>
      <c r="H1836" s="1102">
        <v>0.99518848841606511</v>
      </c>
      <c r="I1836" s="1102">
        <v>1.0264881364818579</v>
      </c>
      <c r="K1836">
        <v>1.5656705383229585</v>
      </c>
      <c r="L1836">
        <v>0</v>
      </c>
      <c r="M1836">
        <v>1.6143596803502543E-3</v>
      </c>
      <c r="N1836">
        <v>0.14563537820963393</v>
      </c>
      <c r="O1836">
        <v>0.12242694773211384</v>
      </c>
      <c r="P1836">
        <v>1.5643572123080839E-2</v>
      </c>
      <c r="Q1836">
        <v>9.1661927885288731E-4</v>
      </c>
      <c r="R1836">
        <v>1.6106678704247315E-3</v>
      </c>
      <c r="S1836">
        <v>0.12554153104721433</v>
      </c>
      <c r="T1836">
        <v>0.81994889123171966</v>
      </c>
      <c r="U1836">
        <v>0</v>
      </c>
      <c r="V1836">
        <v>0.20743178548330227</v>
      </c>
      <c r="W1836">
        <v>9.6046516606182311E-2</v>
      </c>
      <c r="X1836">
        <v>2.769928143400863E-2</v>
      </c>
      <c r="Y1836">
        <v>4.383706986775331E-3</v>
      </c>
    </row>
    <row r="1837" spans="1:25" x14ac:dyDescent="0.25">
      <c r="A1837" s="1098"/>
      <c r="B1837" s="1457">
        <v>1587</v>
      </c>
      <c r="C1837" s="1102">
        <v>1.0041273074168104</v>
      </c>
      <c r="D1837" s="1102">
        <v>1.0446207090147268</v>
      </c>
      <c r="E1837" s="1102">
        <v>1.0127875562563813</v>
      </c>
      <c r="F1837" s="1102">
        <v>0.98610976413451668</v>
      </c>
      <c r="G1837" s="1102">
        <v>1.0063075161732664</v>
      </c>
      <c r="H1837" s="1102">
        <v>1.0039994523662288</v>
      </c>
      <c r="I1837" s="1102">
        <v>1.022114039458019</v>
      </c>
      <c r="K1837">
        <v>1.5357523259410735</v>
      </c>
      <c r="L1837">
        <v>0</v>
      </c>
      <c r="M1837">
        <v>1.481046388709213E-3</v>
      </c>
      <c r="N1837">
        <v>0.14164466557557984</v>
      </c>
      <c r="O1837">
        <v>0.11826463613956864</v>
      </c>
      <c r="P1837">
        <v>1.5628369281515182E-2</v>
      </c>
      <c r="Q1837">
        <v>8.9130682068298134E-4</v>
      </c>
      <c r="R1837">
        <v>1.4776660523312241E-3</v>
      </c>
      <c r="S1837">
        <v>0.11881789108205547</v>
      </c>
      <c r="T1837">
        <v>0.81295681805654696</v>
      </c>
      <c r="U1837">
        <v>0</v>
      </c>
      <c r="V1837">
        <v>0.20357223256705553</v>
      </c>
      <c r="W1837">
        <v>9.2349917333208936E-2</v>
      </c>
      <c r="X1837">
        <v>2.7608149539274915E-2</v>
      </c>
      <c r="Y1837">
        <v>4.0217198819623556E-3</v>
      </c>
    </row>
    <row r="1838" spans="1:25" x14ac:dyDescent="0.25">
      <c r="A1838" s="1098"/>
      <c r="B1838" s="1457">
        <v>1588</v>
      </c>
      <c r="C1838" s="1102">
        <v>1.0108432312265103</v>
      </c>
      <c r="D1838" s="1102">
        <v>0.99264939042196298</v>
      </c>
      <c r="E1838" s="1102">
        <v>0.98748905333387005</v>
      </c>
      <c r="F1838" s="1102">
        <v>1.0309441559510866</v>
      </c>
      <c r="G1838" s="1102">
        <v>1.0316032572390914</v>
      </c>
      <c r="H1838" s="1102">
        <v>1.0039182779391789</v>
      </c>
      <c r="I1838" s="1102">
        <v>1.0152321158303048</v>
      </c>
      <c r="K1838">
        <v>1.5888002180932561</v>
      </c>
      <c r="L1838">
        <v>0</v>
      </c>
      <c r="M1838">
        <v>1.6019663929669292E-3</v>
      </c>
      <c r="N1838">
        <v>0.14193950971717745</v>
      </c>
      <c r="O1838">
        <v>0.12333867925822055</v>
      </c>
      <c r="P1838">
        <v>1.5948280779018397E-2</v>
      </c>
      <c r="Q1838">
        <v>8.8025122181962644E-4</v>
      </c>
      <c r="R1838">
        <v>1.5983546173308921E-3</v>
      </c>
      <c r="S1838">
        <v>0.12111058516780043</v>
      </c>
      <c r="T1838">
        <v>0.85164026928838144</v>
      </c>
      <c r="U1838">
        <v>0</v>
      </c>
      <c r="V1838">
        <v>0.20793316133599909</v>
      </c>
      <c r="W1838">
        <v>9.3944007551839723E-2</v>
      </c>
      <c r="X1838">
        <v>2.7718891177719366E-2</v>
      </c>
      <c r="Y1838">
        <v>4.3501943709166923E-3</v>
      </c>
    </row>
    <row r="1839" spans="1:25" x14ac:dyDescent="0.25">
      <c r="A1839" s="1098"/>
      <c r="B1839" s="1457">
        <v>1589</v>
      </c>
      <c r="C1839" s="1102">
        <v>0.99984143362987632</v>
      </c>
      <c r="D1839" s="1102">
        <v>1.0083280566167032</v>
      </c>
      <c r="E1839" s="1102">
        <v>0.98920622907260225</v>
      </c>
      <c r="F1839" s="1102">
        <v>0.99467176188040074</v>
      </c>
      <c r="G1839" s="1102">
        <v>0.99914540815465702</v>
      </c>
      <c r="H1839" s="1102">
        <v>0.99599140670214137</v>
      </c>
      <c r="I1839" s="1102">
        <v>0.96357144015732155</v>
      </c>
      <c r="K1839">
        <v>1.5432626039918069</v>
      </c>
      <c r="L1839">
        <v>0</v>
      </c>
      <c r="M1839">
        <v>1.5813921618477724E-3</v>
      </c>
      <c r="N1839">
        <v>0.14084149670605417</v>
      </c>
      <c r="O1839">
        <v>0.12067757265186806</v>
      </c>
      <c r="P1839">
        <v>1.54305802288375E-2</v>
      </c>
      <c r="Q1839">
        <v>8.8596171558856279E-4</v>
      </c>
      <c r="R1839">
        <v>1.5777763407328073E-3</v>
      </c>
      <c r="S1839">
        <v>0.11426365258282439</v>
      </c>
      <c r="T1839">
        <v>0.82156304684424986</v>
      </c>
      <c r="U1839">
        <v>0</v>
      </c>
      <c r="V1839">
        <v>0.20505020250278538</v>
      </c>
      <c r="W1839">
        <v>9.3121309294347129E-2</v>
      </c>
      <c r="X1839">
        <v>2.7138210200723344E-2</v>
      </c>
      <c r="Y1839">
        <v>4.2941870856437626E-3</v>
      </c>
    </row>
    <row r="1840" spans="1:25" x14ac:dyDescent="0.25">
      <c r="A1840" s="1098"/>
      <c r="B1840" s="1457">
        <v>1590</v>
      </c>
      <c r="C1840" s="1102">
        <v>0.996078493684872</v>
      </c>
      <c r="D1840" s="1102">
        <v>1.0035327728888452</v>
      </c>
      <c r="E1840" s="1102">
        <v>0.99512536339427904</v>
      </c>
      <c r="F1840" s="1102">
        <v>0.99528070039589533</v>
      </c>
      <c r="G1840" s="1102">
        <v>1.0199021446637637</v>
      </c>
      <c r="H1840" s="1102">
        <v>0.98925564742481698</v>
      </c>
      <c r="I1840" s="1102">
        <v>0.99316145827192792</v>
      </c>
      <c r="K1840">
        <v>1.5502750314600027</v>
      </c>
      <c r="L1840">
        <v>0</v>
      </c>
      <c r="M1840">
        <v>1.5612561515532932E-3</v>
      </c>
      <c r="N1840">
        <v>0.14155654174222487</v>
      </c>
      <c r="O1840">
        <v>0.1211009662632978</v>
      </c>
      <c r="P1840">
        <v>1.5571470181173689E-2</v>
      </c>
      <c r="Q1840">
        <v>8.9651396537288671E-4</v>
      </c>
      <c r="R1840">
        <v>1.5576640647184566E-3</v>
      </c>
      <c r="S1840">
        <v>0.11801600543918932</v>
      </c>
      <c r="T1840">
        <v>0.82167561580465953</v>
      </c>
      <c r="U1840">
        <v>0</v>
      </c>
      <c r="V1840">
        <v>0.20648546682156824</v>
      </c>
      <c r="W1840">
        <v>9.3263357444530903E-2</v>
      </c>
      <c r="X1840">
        <v>2.7473237784474885E-2</v>
      </c>
      <c r="Y1840">
        <v>4.2394481003427062E-3</v>
      </c>
    </row>
    <row r="1841" spans="1:25" x14ac:dyDescent="0.25">
      <c r="A1841" s="1098"/>
      <c r="B1841" s="1457">
        <v>1591</v>
      </c>
      <c r="C1841" s="1102">
        <v>0.9884197775094965</v>
      </c>
      <c r="D1841" s="1102">
        <v>1.025056762036995</v>
      </c>
      <c r="E1841" s="1102">
        <v>0.96598133731940927</v>
      </c>
      <c r="F1841" s="1102">
        <v>1.0153096856167614</v>
      </c>
      <c r="G1841" s="1102">
        <v>0.98251922081501697</v>
      </c>
      <c r="H1841" s="1102">
        <v>1.0067362227702688</v>
      </c>
      <c r="I1841" s="1102">
        <v>0.98064502599348935</v>
      </c>
      <c r="K1841">
        <v>1.5660615711465919</v>
      </c>
      <c r="L1841">
        <v>0</v>
      </c>
      <c r="M1841">
        <v>1.6818915913538882E-3</v>
      </c>
      <c r="N1841">
        <v>0.13962851363216738</v>
      </c>
      <c r="O1841">
        <v>0.12204336500224423</v>
      </c>
      <c r="P1841">
        <v>1.5458017848605694E-2</v>
      </c>
      <c r="Q1841">
        <v>8.6888538315226806E-4</v>
      </c>
      <c r="R1841">
        <v>1.678079294666724E-3</v>
      </c>
      <c r="S1841">
        <v>0.11732717226136853</v>
      </c>
      <c r="T1841">
        <v>0.84018291824050984</v>
      </c>
      <c r="U1841">
        <v>0</v>
      </c>
      <c r="V1841">
        <v>0.20580254423483332</v>
      </c>
      <c r="W1841">
        <v>9.3625623699954932E-2</v>
      </c>
      <c r="X1841">
        <v>2.6561164479051266E-2</v>
      </c>
      <c r="Y1841">
        <v>4.5671786613920061E-3</v>
      </c>
    </row>
    <row r="1842" spans="1:25" x14ac:dyDescent="0.25">
      <c r="A1842" s="1098"/>
      <c r="B1842" s="1457">
        <v>1592</v>
      </c>
      <c r="C1842" s="1102">
        <v>0.975422723820069</v>
      </c>
      <c r="D1842" s="1102">
        <v>1.0096486202418591</v>
      </c>
      <c r="E1842" s="1102">
        <v>0.98309932690379587</v>
      </c>
      <c r="F1842" s="1102">
        <v>1.0074495255766194</v>
      </c>
      <c r="G1842" s="1102">
        <v>0.99724502418818117</v>
      </c>
      <c r="H1842" s="1102">
        <v>1.024311799845705</v>
      </c>
      <c r="I1842" s="1102">
        <v>0.9941203821176815</v>
      </c>
      <c r="K1842">
        <v>1.5796765011001355</v>
      </c>
      <c r="L1842">
        <v>0</v>
      </c>
      <c r="M1842">
        <v>1.6856154962622398E-3</v>
      </c>
      <c r="N1842">
        <v>0.14738559985837857</v>
      </c>
      <c r="O1842">
        <v>0.1228044594675816</v>
      </c>
      <c r="P1842">
        <v>1.5659366009895533E-2</v>
      </c>
      <c r="Q1842">
        <v>9.0189430789937937E-4</v>
      </c>
      <c r="R1842">
        <v>1.6818639753701931E-3</v>
      </c>
      <c r="S1842">
        <v>0.12293652780669982</v>
      </c>
      <c r="T1842">
        <v>0.83252591421180033</v>
      </c>
      <c r="U1842">
        <v>0</v>
      </c>
      <c r="V1842">
        <v>0.20768119892236897</v>
      </c>
      <c r="W1842">
        <v>9.7806376010676058E-2</v>
      </c>
      <c r="X1842">
        <v>2.7401436711078322E-2</v>
      </c>
      <c r="Y1842">
        <v>4.5774793146471891E-3</v>
      </c>
    </row>
    <row r="1843" spans="1:25" x14ac:dyDescent="0.25">
      <c r="A1843" s="1098"/>
      <c r="B1843" s="1457">
        <v>1593</v>
      </c>
      <c r="C1843" s="1102">
        <v>0.97308506470758349</v>
      </c>
      <c r="D1843" s="1102">
        <v>0.9894578901813873</v>
      </c>
      <c r="E1843" s="1102">
        <v>0.98057847497091188</v>
      </c>
      <c r="F1843" s="1102">
        <v>0.99738476253520381</v>
      </c>
      <c r="G1843" s="1102">
        <v>1.0253930752092715</v>
      </c>
      <c r="H1843" s="1102">
        <v>0.98874028667169367</v>
      </c>
      <c r="I1843" s="1102">
        <v>1.0124094729191018</v>
      </c>
      <c r="K1843">
        <v>1.5682798459286262</v>
      </c>
      <c r="L1843">
        <v>0</v>
      </c>
      <c r="M1843">
        <v>1.6567147414976887E-3</v>
      </c>
      <c r="N1843">
        <v>0.14374732236355836</v>
      </c>
      <c r="O1843">
        <v>0.12311845267821001</v>
      </c>
      <c r="P1843">
        <v>1.5555009249415181E-2</v>
      </c>
      <c r="Q1843">
        <v>9.0899341043315348E-4</v>
      </c>
      <c r="R1843">
        <v>1.6529038808664079E-3</v>
      </c>
      <c r="S1843">
        <v>0.12398546342488995</v>
      </c>
      <c r="T1843">
        <v>0.82437614772044787</v>
      </c>
      <c r="U1843">
        <v>0</v>
      </c>
      <c r="V1843">
        <v>0.20923871421900656</v>
      </c>
      <c r="W1843">
        <v>9.5537082835302684E-2</v>
      </c>
      <c r="X1843">
        <v>2.7317811403891314E-2</v>
      </c>
      <c r="Y1843">
        <v>4.4986594841004727E-3</v>
      </c>
    </row>
    <row r="1844" spans="1:25" x14ac:dyDescent="0.25">
      <c r="A1844" s="1098"/>
      <c r="B1844" s="1457">
        <v>1594</v>
      </c>
      <c r="C1844" s="1102">
        <v>1.0047348616019738</v>
      </c>
      <c r="D1844" s="1102">
        <v>1.0022136643010946</v>
      </c>
      <c r="E1844" s="1102">
        <v>1.0234107026030836</v>
      </c>
      <c r="F1844" s="1102">
        <v>0.97175281552231707</v>
      </c>
      <c r="G1844" s="1102">
        <v>0.9727491036066932</v>
      </c>
      <c r="H1844" s="1102">
        <v>1.031097676959507</v>
      </c>
      <c r="I1844" s="1102">
        <v>1.0039728507062982</v>
      </c>
      <c r="K1844">
        <v>1.5398429510695917</v>
      </c>
      <c r="L1844">
        <v>0</v>
      </c>
      <c r="M1844">
        <v>1.520509297624419E-3</v>
      </c>
      <c r="N1844">
        <v>0.15016628290546979</v>
      </c>
      <c r="O1844">
        <v>0.11897897097197033</v>
      </c>
      <c r="P1844">
        <v>1.560138628925453E-2</v>
      </c>
      <c r="Q1844">
        <v>9.1559087749772377E-4</v>
      </c>
      <c r="R1844">
        <v>1.5171496013174359E-3</v>
      </c>
      <c r="S1844">
        <v>0.12163080039205372</v>
      </c>
      <c r="T1844">
        <v>0.8004454029148671</v>
      </c>
      <c r="U1844">
        <v>0</v>
      </c>
      <c r="V1844">
        <v>0.20249385038258932</v>
      </c>
      <c r="W1844">
        <v>9.7298352101818295E-2</v>
      </c>
      <c r="X1844">
        <v>2.8186492843823231E-2</v>
      </c>
      <c r="Y1844">
        <v>4.1291810865543973E-3</v>
      </c>
    </row>
    <row r="1845" spans="1:25" x14ac:dyDescent="0.25">
      <c r="A1845" s="1098"/>
      <c r="B1845" s="1457">
        <v>1595</v>
      </c>
      <c r="C1845" s="1102">
        <v>0.9877287273940869</v>
      </c>
      <c r="D1845" s="1102">
        <v>0.95026476824377371</v>
      </c>
      <c r="E1845" s="1102">
        <v>0.99711343005261521</v>
      </c>
      <c r="F1845" s="1102">
        <v>0.97376820460403235</v>
      </c>
      <c r="G1845" s="1102">
        <v>0.96715773669103899</v>
      </c>
      <c r="H1845" s="1102">
        <v>1.0071381359639318</v>
      </c>
      <c r="I1845" s="1102">
        <v>1.0227420512709164</v>
      </c>
      <c r="K1845">
        <v>1.55648080698035</v>
      </c>
      <c r="L1845">
        <v>0</v>
      </c>
      <c r="M1845">
        <v>1.6422917268644483E-3</v>
      </c>
      <c r="N1845">
        <v>0.14980958278076381</v>
      </c>
      <c r="O1845">
        <v>0.12239165246489697</v>
      </c>
      <c r="P1845">
        <v>1.5470687258881734E-2</v>
      </c>
      <c r="Q1845">
        <v>9.2594405527601277E-4</v>
      </c>
      <c r="R1845">
        <v>1.6386046041684077E-3</v>
      </c>
      <c r="S1845">
        <v>0.12791747547999779</v>
      </c>
      <c r="T1845">
        <v>0.80378746698486214</v>
      </c>
      <c r="U1845">
        <v>0</v>
      </c>
      <c r="V1845">
        <v>0.20534481363305265</v>
      </c>
      <c r="W1845">
        <v>9.8583891940698984E-2</v>
      </c>
      <c r="X1845">
        <v>2.7793237937930707E-2</v>
      </c>
      <c r="Y1845">
        <v>4.4597415666838142E-3</v>
      </c>
    </row>
    <row r="1846" spans="1:25" x14ac:dyDescent="0.25">
      <c r="A1846" s="1098"/>
      <c r="B1846" s="1457">
        <v>1596</v>
      </c>
      <c r="C1846" s="1102">
        <v>1.0150595038747898</v>
      </c>
      <c r="D1846" s="1102">
        <v>1.0406263598248264</v>
      </c>
      <c r="E1846" s="1102">
        <v>0.99274617981879054</v>
      </c>
      <c r="F1846" s="1102">
        <v>1.0011196632541886</v>
      </c>
      <c r="G1846" s="1102">
        <v>1.0361062309979687</v>
      </c>
      <c r="H1846" s="1102">
        <v>0.98466450134358774</v>
      </c>
      <c r="I1846" s="1102">
        <v>1.0142981554333743</v>
      </c>
      <c r="K1846">
        <v>1.5381696354110217</v>
      </c>
      <c r="L1846">
        <v>0</v>
      </c>
      <c r="M1846">
        <v>1.5039323273013461E-3</v>
      </c>
      <c r="N1846">
        <v>0.13537920777316581</v>
      </c>
      <c r="O1846">
        <v>0.11897152216808475</v>
      </c>
      <c r="P1846">
        <v>1.5555129106970024E-2</v>
      </c>
      <c r="Q1846">
        <v>8.6492619553216025E-4</v>
      </c>
      <c r="R1846">
        <v>1.5004410457859559E-3</v>
      </c>
      <c r="S1846">
        <v>0.11551324898998787</v>
      </c>
      <c r="T1846">
        <v>0.82665380037633662</v>
      </c>
      <c r="U1846">
        <v>0</v>
      </c>
      <c r="V1846">
        <v>0.20485941898975554</v>
      </c>
      <c r="W1846">
        <v>8.9320292374535898E-2</v>
      </c>
      <c r="X1846">
        <v>2.6971874811796252E-2</v>
      </c>
      <c r="Y1846">
        <v>4.0837059063715611E-3</v>
      </c>
    </row>
    <row r="1847" spans="1:25" x14ac:dyDescent="0.25">
      <c r="A1847" s="1098"/>
      <c r="B1847" s="1457">
        <v>1597</v>
      </c>
      <c r="C1847" s="1102">
        <v>0.99631275980852385</v>
      </c>
      <c r="D1847" s="1102">
        <v>1.0091787769994478</v>
      </c>
      <c r="E1847" s="1102">
        <v>1.0006992396548355</v>
      </c>
      <c r="F1847" s="1102">
        <v>1.0124180015090702</v>
      </c>
      <c r="G1847" s="1102">
        <v>1.0328354474154364</v>
      </c>
      <c r="H1847" s="1102">
        <v>0.97502806746553683</v>
      </c>
      <c r="I1847" s="1102">
        <v>0.99685794727082888</v>
      </c>
      <c r="K1847">
        <v>1.5628952575054027</v>
      </c>
      <c r="L1847">
        <v>0</v>
      </c>
      <c r="M1847">
        <v>1.5179287533146511E-3</v>
      </c>
      <c r="N1847">
        <v>0.13996115896941846</v>
      </c>
      <c r="O1847">
        <v>0.1220252778393117</v>
      </c>
      <c r="P1847">
        <v>1.5828461776870681E-2</v>
      </c>
      <c r="Q1847">
        <v>8.9948288223356708E-4</v>
      </c>
      <c r="R1847">
        <v>1.5143867380595737E-3</v>
      </c>
      <c r="S1847">
        <v>0.11702119511574879</v>
      </c>
      <c r="T1847">
        <v>0.83545078320873967</v>
      </c>
      <c r="U1847">
        <v>0</v>
      </c>
      <c r="V1847">
        <v>0.20777843223285999</v>
      </c>
      <c r="W1847">
        <v>9.1906774100739247E-2</v>
      </c>
      <c r="X1847">
        <v>2.7905571911192296E-2</v>
      </c>
      <c r="Y1847">
        <v>4.1216614835441262E-3</v>
      </c>
    </row>
    <row r="1848" spans="1:25" x14ac:dyDescent="0.25">
      <c r="A1848" s="1098"/>
      <c r="B1848" s="1457">
        <v>1598</v>
      </c>
      <c r="C1848" s="1102">
        <v>1.0027521420130643</v>
      </c>
      <c r="D1848" s="1102">
        <v>1.034323487544583</v>
      </c>
      <c r="E1848" s="1102">
        <v>0.9894149370106371</v>
      </c>
      <c r="F1848" s="1102">
        <v>0.995256187273168</v>
      </c>
      <c r="G1848" s="1102">
        <v>1.0174866884628386</v>
      </c>
      <c r="H1848" s="1102">
        <v>1.0080280128084416</v>
      </c>
      <c r="I1848" s="1102">
        <v>0.99324881149864142</v>
      </c>
      <c r="K1848">
        <v>1.5433843265286113</v>
      </c>
      <c r="L1848">
        <v>0</v>
      </c>
      <c r="M1848">
        <v>1.5727206780793551E-3</v>
      </c>
      <c r="N1848">
        <v>0.14016018409398062</v>
      </c>
      <c r="O1848">
        <v>0.11945629268005802</v>
      </c>
      <c r="P1848">
        <v>1.546927507417953E-2</v>
      </c>
      <c r="Q1848">
        <v>8.7463164651891616E-4</v>
      </c>
      <c r="R1848">
        <v>1.5691534165393716E-3</v>
      </c>
      <c r="S1848">
        <v>0.11661713310202262</v>
      </c>
      <c r="T1848">
        <v>0.822031977179568</v>
      </c>
      <c r="U1848">
        <v>0</v>
      </c>
      <c r="V1848">
        <v>0.20490730804151827</v>
      </c>
      <c r="W1848">
        <v>9.2659248219316578E-2</v>
      </c>
      <c r="X1848">
        <v>2.6941125424453968E-2</v>
      </c>
      <c r="Y1848">
        <v>4.2707183285354278E-3</v>
      </c>
    </row>
    <row r="1849" spans="1:25" x14ac:dyDescent="0.25">
      <c r="A1849" s="1098"/>
      <c r="B1849" s="1457">
        <v>1599</v>
      </c>
      <c r="C1849" s="1102">
        <v>0.971409211289324</v>
      </c>
      <c r="D1849" s="1102">
        <v>1.0319095581931528</v>
      </c>
      <c r="E1849" s="1102">
        <v>1.0205536576113337</v>
      </c>
      <c r="F1849" s="1102">
        <v>1.013311674275349</v>
      </c>
      <c r="G1849" s="1102">
        <v>0.98526943764254693</v>
      </c>
      <c r="H1849" s="1102">
        <v>1.0240558023336688</v>
      </c>
      <c r="I1849" s="1102">
        <v>0.99474886867428636</v>
      </c>
      <c r="K1849">
        <v>1.5862604497660053</v>
      </c>
      <c r="L1849">
        <v>0</v>
      </c>
      <c r="M1849">
        <v>1.5466669991330327E-3</v>
      </c>
      <c r="N1849">
        <v>0.15143522671702736</v>
      </c>
      <c r="O1849">
        <v>0.12235268368508009</v>
      </c>
      <c r="P1849">
        <v>1.6115540476126292E-2</v>
      </c>
      <c r="Q1849">
        <v>9.3326859491338202E-4</v>
      </c>
      <c r="R1849">
        <v>1.5432119104063209E-3</v>
      </c>
      <c r="S1849">
        <v>0.12199378803910069</v>
      </c>
      <c r="T1849">
        <v>0.83486703357506153</v>
      </c>
      <c r="U1849">
        <v>0</v>
      </c>
      <c r="V1849">
        <v>0.20720935657230122</v>
      </c>
      <c r="W1849">
        <v>9.8284440411363375E-2</v>
      </c>
      <c r="X1849">
        <v>2.8872452683302959E-2</v>
      </c>
      <c r="Y1849">
        <v>4.2001141004564613E-3</v>
      </c>
    </row>
    <row r="1850" spans="1:25" x14ac:dyDescent="0.25">
      <c r="A1850" s="1098"/>
      <c r="B1850" s="1457">
        <v>1600</v>
      </c>
      <c r="C1850" s="1102">
        <v>1.0260841748866223</v>
      </c>
      <c r="D1850" s="1102">
        <v>1.0041234973334068</v>
      </c>
      <c r="E1850" s="1102">
        <v>1.0487938167310091</v>
      </c>
      <c r="F1850" s="1102">
        <v>1.009163178656342</v>
      </c>
      <c r="G1850" s="1102">
        <v>0.98010029504730367</v>
      </c>
      <c r="H1850" s="1102">
        <v>0.96827006474263411</v>
      </c>
      <c r="I1850" s="1102">
        <v>0.9963157892745429</v>
      </c>
      <c r="K1850">
        <v>1.5491072491774882</v>
      </c>
      <c r="L1850">
        <v>0</v>
      </c>
      <c r="M1850">
        <v>1.3304643475918843E-3</v>
      </c>
      <c r="N1850">
        <v>0.14182258416562613</v>
      </c>
      <c r="O1850">
        <v>0.12037793950245383</v>
      </c>
      <c r="P1850">
        <v>1.6196108367148663E-2</v>
      </c>
      <c r="Q1850">
        <v>9.1928920511920743E-4</v>
      </c>
      <c r="R1850">
        <v>1.3273465631398792E-3</v>
      </c>
      <c r="S1850">
        <v>0.11361376927685585</v>
      </c>
      <c r="T1850">
        <v>0.82959969520422794</v>
      </c>
      <c r="U1850">
        <v>0</v>
      </c>
      <c r="V1850">
        <v>0.20300679578671138</v>
      </c>
      <c r="W1850">
        <v>9.0554460238181964E-2</v>
      </c>
      <c r="X1850">
        <v>2.9407125430424882E-2</v>
      </c>
      <c r="Y1850">
        <v>3.6125997851898088E-3</v>
      </c>
    </row>
    <row r="1851" spans="1:25" x14ac:dyDescent="0.25">
      <c r="A1851" s="1098"/>
      <c r="B1851" s="1457">
        <v>1601</v>
      </c>
      <c r="C1851" s="1102">
        <v>1.0425823505542888</v>
      </c>
      <c r="D1851" s="1102">
        <v>1.013512825734229</v>
      </c>
      <c r="E1851" s="1102">
        <v>1.0117965874357659</v>
      </c>
      <c r="F1851" s="1102">
        <v>1.0075188438848148</v>
      </c>
      <c r="G1851" s="1102">
        <v>1.0074259868044173</v>
      </c>
      <c r="H1851" s="1102">
        <v>1.0200399219637153</v>
      </c>
      <c r="I1851" s="1102">
        <v>1.0274601561714465</v>
      </c>
      <c r="K1851">
        <v>1.5533294268296152</v>
      </c>
      <c r="L1851">
        <v>0</v>
      </c>
      <c r="M1851">
        <v>1.4835630089700719E-3</v>
      </c>
      <c r="N1851">
        <v>0.14146960337757261</v>
      </c>
      <c r="O1851">
        <v>0.11915776384882849</v>
      </c>
      <c r="P1851">
        <v>1.5844261392377074E-2</v>
      </c>
      <c r="Q1851">
        <v>8.679887330779358E-4</v>
      </c>
      <c r="R1851">
        <v>1.4802609525077046E-3</v>
      </c>
      <c r="S1851">
        <v>0.11870420120151833</v>
      </c>
      <c r="T1851">
        <v>0.83067214881530194</v>
      </c>
      <c r="U1851">
        <v>0</v>
      </c>
      <c r="V1851">
        <v>0.20250356975325434</v>
      </c>
      <c r="W1851">
        <v>9.2289596260797149E-2</v>
      </c>
      <c r="X1851">
        <v>2.7794813158515373E-2</v>
      </c>
      <c r="Y1851">
        <v>4.0287823448341203E-3</v>
      </c>
    </row>
    <row r="1852" spans="1:25" x14ac:dyDescent="0.25">
      <c r="A1852" s="1098"/>
      <c r="B1852" s="1457">
        <v>1602</v>
      </c>
      <c r="C1852" s="1102">
        <v>1.0217156463033052</v>
      </c>
      <c r="D1852" s="1102">
        <v>1.0196028453465953</v>
      </c>
      <c r="E1852" s="1102">
        <v>0.98195466421011923</v>
      </c>
      <c r="F1852" s="1102">
        <v>0.99238213041877865</v>
      </c>
      <c r="G1852" s="1102">
        <v>0.96847231256470923</v>
      </c>
      <c r="H1852" s="1102">
        <v>0.99684849222496463</v>
      </c>
      <c r="I1852" s="1102">
        <v>0.99324440245514911</v>
      </c>
      <c r="K1852">
        <v>1.5289026580582294</v>
      </c>
      <c r="L1852">
        <v>0</v>
      </c>
      <c r="M1852">
        <v>1.5645601357031677E-3</v>
      </c>
      <c r="N1852">
        <v>0.13631976953151453</v>
      </c>
      <c r="O1852">
        <v>0.11895460153757248</v>
      </c>
      <c r="P1852">
        <v>1.52833170128269E-2</v>
      </c>
      <c r="Q1852">
        <v>8.5663124048991916E-4</v>
      </c>
      <c r="R1852">
        <v>1.5609841626782316E-3</v>
      </c>
      <c r="S1852">
        <v>0.11465461636295707</v>
      </c>
      <c r="T1852">
        <v>0.82015030196326455</v>
      </c>
      <c r="U1852">
        <v>0</v>
      </c>
      <c r="V1852">
        <v>0.20140090350228823</v>
      </c>
      <c r="W1852">
        <v>9.0525416128997283E-2</v>
      </c>
      <c r="X1852">
        <v>2.651219243882438E-2</v>
      </c>
      <c r="Y1852">
        <v>4.2484843125192165E-3</v>
      </c>
    </row>
    <row r="1853" spans="1:25" x14ac:dyDescent="0.25">
      <c r="A1853" s="1098"/>
      <c r="B1853" s="1457">
        <v>1603</v>
      </c>
      <c r="C1853" s="1102">
        <v>0.97183607747488776</v>
      </c>
      <c r="D1853" s="1102">
        <v>0.97584809039896303</v>
      </c>
      <c r="E1853" s="1102">
        <v>1.0070777705717324</v>
      </c>
      <c r="F1853" s="1102">
        <v>0.98802826789613263</v>
      </c>
      <c r="G1853" s="1102">
        <v>0.98095642753896928</v>
      </c>
      <c r="H1853" s="1102">
        <v>1.0090064489753574</v>
      </c>
      <c r="I1853" s="1102">
        <v>1.0257206879704057</v>
      </c>
      <c r="K1853">
        <v>1.5742190943558625</v>
      </c>
      <c r="L1853">
        <v>0</v>
      </c>
      <c r="M1853">
        <v>1.6135793789287568E-3</v>
      </c>
      <c r="N1853">
        <v>0.15168732569926871</v>
      </c>
      <c r="O1853">
        <v>0.12306040544396209</v>
      </c>
      <c r="P1853">
        <v>1.5773798904164211E-2</v>
      </c>
      <c r="Q1853">
        <v>9.4079740691985962E-4</v>
      </c>
      <c r="R1853">
        <v>1.6099474458332124E-3</v>
      </c>
      <c r="S1853">
        <v>0.12851582945822154</v>
      </c>
      <c r="T1853">
        <v>0.81490905160874894</v>
      </c>
      <c r="U1853">
        <v>0</v>
      </c>
      <c r="V1853">
        <v>0.20732791767668468</v>
      </c>
      <c r="W1853">
        <v>9.9231121111536147E-2</v>
      </c>
      <c r="X1853">
        <v>2.8394732750927909E-2</v>
      </c>
      <c r="Y1853">
        <v>4.3817462285251187E-3</v>
      </c>
    </row>
    <row r="1854" spans="1:25" x14ac:dyDescent="0.25">
      <c r="A1854" s="1098"/>
      <c r="B1854" s="1457">
        <v>1604</v>
      </c>
      <c r="C1854" s="1102">
        <v>1.0154665830848644</v>
      </c>
      <c r="D1854" s="1102">
        <v>1.0008863404313191</v>
      </c>
      <c r="E1854" s="1102">
        <v>0.98449359887763332</v>
      </c>
      <c r="F1854" s="1102">
        <v>1.0048133731988738</v>
      </c>
      <c r="G1854" s="1102">
        <v>1.0051741090323025</v>
      </c>
      <c r="H1854" s="1102">
        <v>0.99888677132583625</v>
      </c>
      <c r="I1854" s="1102">
        <v>0.98621521250015598</v>
      </c>
      <c r="K1854">
        <v>1.5513420750907441</v>
      </c>
      <c r="L1854">
        <v>0</v>
      </c>
      <c r="M1854">
        <v>1.5865194829682032E-3</v>
      </c>
      <c r="N1854">
        <v>0.13930061423376147</v>
      </c>
      <c r="O1854">
        <v>0.12092732258409179</v>
      </c>
      <c r="P1854">
        <v>1.5512536408783579E-2</v>
      </c>
      <c r="Q1854">
        <v>8.7062341311385416E-4</v>
      </c>
      <c r="R1854">
        <v>1.5829137301856511E-3</v>
      </c>
      <c r="S1854">
        <v>0.11601868553128261</v>
      </c>
      <c r="T1854">
        <v>0.8302542600238797</v>
      </c>
      <c r="U1854">
        <v>0</v>
      </c>
      <c r="V1854">
        <v>0.20475602374445956</v>
      </c>
      <c r="W1854">
        <v>9.2363549370555117E-2</v>
      </c>
      <c r="X1854">
        <v>2.7033896167404304E-2</v>
      </c>
      <c r="Y1854">
        <v>4.3081693661944243E-3</v>
      </c>
    </row>
    <row r="1855" spans="1:25" x14ac:dyDescent="0.25">
      <c r="A1855" s="1098"/>
      <c r="B1855" s="1457">
        <v>1605</v>
      </c>
      <c r="C1855" s="1102">
        <v>1.0381048178476597</v>
      </c>
      <c r="D1855" s="1102">
        <v>1.007220454460716</v>
      </c>
      <c r="E1855" s="1102">
        <v>1.0048200982971278</v>
      </c>
      <c r="F1855" s="1102">
        <v>0.99732943165941013</v>
      </c>
      <c r="G1855" s="1102">
        <v>0.98553241233317057</v>
      </c>
      <c r="H1855" s="1102">
        <v>0.99770550025532645</v>
      </c>
      <c r="I1855" s="1102">
        <v>0.98979055590446374</v>
      </c>
      <c r="K1855">
        <v>1.5336208502888975</v>
      </c>
      <c r="L1855">
        <v>0</v>
      </c>
      <c r="M1855">
        <v>1.4823246632056904E-3</v>
      </c>
      <c r="N1855">
        <v>0.13839823645177515</v>
      </c>
      <c r="O1855">
        <v>0.11896234261781057</v>
      </c>
      <c r="P1855">
        <v>1.5569033811204063E-2</v>
      </c>
      <c r="Q1855">
        <v>8.6763612712989545E-4</v>
      </c>
      <c r="R1855">
        <v>1.47895156924377E-3</v>
      </c>
      <c r="S1855">
        <v>0.11349565992057183</v>
      </c>
      <c r="T1855">
        <v>0.82272870208651638</v>
      </c>
      <c r="U1855">
        <v>0</v>
      </c>
      <c r="V1855">
        <v>0.20151606541064404</v>
      </c>
      <c r="W1855">
        <v>9.0658636498658407E-2</v>
      </c>
      <c r="X1855">
        <v>2.7402691823319409E-2</v>
      </c>
      <c r="Y1855">
        <v>4.0252186352277685E-3</v>
      </c>
    </row>
    <row r="1856" spans="1:25" x14ac:dyDescent="0.25">
      <c r="A1856" s="1098"/>
      <c r="B1856" s="1457">
        <v>1606</v>
      </c>
      <c r="C1856" s="1102">
        <v>0.9810469322864831</v>
      </c>
      <c r="D1856" s="1102">
        <v>1.0013446085425548</v>
      </c>
      <c r="E1856" s="1102">
        <v>0.99523178470484319</v>
      </c>
      <c r="F1856" s="1102">
        <v>0.96450075036776861</v>
      </c>
      <c r="G1856" s="1102">
        <v>1.0339194168869725</v>
      </c>
      <c r="H1856" s="1102">
        <v>0.98248921459908378</v>
      </c>
      <c r="I1856" s="1102">
        <v>1.005840631145559</v>
      </c>
      <c r="K1856">
        <v>1.5274254302993837</v>
      </c>
      <c r="L1856">
        <v>0</v>
      </c>
      <c r="M1856">
        <v>1.5702927720596031E-3</v>
      </c>
      <c r="N1856">
        <v>0.14241834818756197</v>
      </c>
      <c r="O1856">
        <v>0.11978765134691678</v>
      </c>
      <c r="P1856">
        <v>1.526880502136615E-2</v>
      </c>
      <c r="Q1856">
        <v>9.1114622349720994E-4</v>
      </c>
      <c r="R1856">
        <v>1.5666432667002675E-3</v>
      </c>
      <c r="S1856">
        <v>0.12067779344288515</v>
      </c>
      <c r="T1856">
        <v>0.79625776712808682</v>
      </c>
      <c r="U1856">
        <v>0</v>
      </c>
      <c r="V1856">
        <v>0.20686285072504065</v>
      </c>
      <c r="W1856">
        <v>9.3825194127596781E-2</v>
      </c>
      <c r="X1856">
        <v>2.7155637073646658E-2</v>
      </c>
      <c r="Y1856">
        <v>4.2638865281440586E-3</v>
      </c>
    </row>
    <row r="1857" spans="1:25" x14ac:dyDescent="0.25">
      <c r="A1857" s="1098"/>
      <c r="B1857" s="1457">
        <v>1607</v>
      </c>
      <c r="C1857" s="1102">
        <v>0.99789613290410195</v>
      </c>
      <c r="D1857" s="1102">
        <v>0.96391614591744634</v>
      </c>
      <c r="E1857" s="1102">
        <v>0.97759434173882642</v>
      </c>
      <c r="F1857" s="1102">
        <v>1.0017541473083491</v>
      </c>
      <c r="G1857" s="1102">
        <v>0.99168514005917119</v>
      </c>
      <c r="H1857" s="1102">
        <v>0.98213260415645176</v>
      </c>
      <c r="I1857" s="1102">
        <v>1.0426262498233345</v>
      </c>
      <c r="K1857">
        <v>1.5675570476880267</v>
      </c>
      <c r="L1857">
        <v>0</v>
      </c>
      <c r="M1857">
        <v>1.6423888635157164E-3</v>
      </c>
      <c r="N1857">
        <v>0.14122330922471391</v>
      </c>
      <c r="O1857">
        <v>0.12329706031267777</v>
      </c>
      <c r="P1857">
        <v>1.5563463711774878E-2</v>
      </c>
      <c r="Q1857">
        <v>8.9291606542062541E-4</v>
      </c>
      <c r="R1857">
        <v>1.6386104350790394E-3</v>
      </c>
      <c r="S1857">
        <v>0.12609169111064339</v>
      </c>
      <c r="T1857">
        <v>0.82818696704297678</v>
      </c>
      <c r="U1857">
        <v>0</v>
      </c>
      <c r="V1857">
        <v>0.20658481788492253</v>
      </c>
      <c r="W1857">
        <v>9.4028977668038499E-2</v>
      </c>
      <c r="X1857">
        <v>2.7231865658793611E-2</v>
      </c>
      <c r="Y1857">
        <v>4.4597574365003939E-3</v>
      </c>
    </row>
    <row r="1858" spans="1:25" x14ac:dyDescent="0.25">
      <c r="A1858" s="1098"/>
      <c r="B1858" s="1457">
        <v>1608</v>
      </c>
      <c r="C1858" s="1102">
        <v>1.0007436970087065</v>
      </c>
      <c r="D1858" s="1102">
        <v>1.0265832601467082</v>
      </c>
      <c r="E1858" s="1102">
        <v>1.0207272096420601</v>
      </c>
      <c r="F1858" s="1102">
        <v>0.97791819853777096</v>
      </c>
      <c r="G1858" s="1102">
        <v>1.0367452343614354</v>
      </c>
      <c r="H1858" s="1102">
        <v>0.99665564863734968</v>
      </c>
      <c r="I1858" s="1102">
        <v>0.99291224643537124</v>
      </c>
      <c r="K1858">
        <v>1.530946535527508</v>
      </c>
      <c r="L1858">
        <v>0</v>
      </c>
      <c r="M1858">
        <v>1.4641328508901679E-3</v>
      </c>
      <c r="N1858">
        <v>0.14342060211340735</v>
      </c>
      <c r="O1858">
        <v>0.1185886930693323</v>
      </c>
      <c r="P1858">
        <v>1.5610166829613114E-2</v>
      </c>
      <c r="Q1858">
        <v>9.0795073169638125E-4</v>
      </c>
      <c r="R1858">
        <v>1.4607733040477254E-3</v>
      </c>
      <c r="S1858">
        <v>0.11640145157039693</v>
      </c>
      <c r="T1858">
        <v>0.80569527410459474</v>
      </c>
      <c r="U1858">
        <v>0</v>
      </c>
      <c r="V1858">
        <v>0.20532341580995173</v>
      </c>
      <c r="W1858">
        <v>9.307334529624782E-2</v>
      </c>
      <c r="X1858">
        <v>2.795325215928016E-2</v>
      </c>
      <c r="Y1858">
        <v>3.9757433898276479E-3</v>
      </c>
    </row>
    <row r="1859" spans="1:25" x14ac:dyDescent="0.25">
      <c r="A1859" s="1098"/>
      <c r="B1859" s="1457">
        <v>1609</v>
      </c>
      <c r="C1859" s="1102">
        <v>0.99981297636058641</v>
      </c>
      <c r="D1859" s="1102">
        <v>1.0138875048181002</v>
      </c>
      <c r="E1859" s="1102">
        <v>1.0126760247300342</v>
      </c>
      <c r="F1859" s="1102">
        <v>1.0020315902741044</v>
      </c>
      <c r="G1859" s="1102">
        <v>1.0256722088714441</v>
      </c>
      <c r="H1859" s="1102">
        <v>0.99670446669787383</v>
      </c>
      <c r="I1859" s="1102">
        <v>1.0204296747842951</v>
      </c>
      <c r="K1859">
        <v>1.5607369038374261</v>
      </c>
      <c r="L1859">
        <v>0</v>
      </c>
      <c r="M1859">
        <v>1.5035025565349421E-3</v>
      </c>
      <c r="N1859">
        <v>0.14374346308259175</v>
      </c>
      <c r="O1859">
        <v>0.12088346712825647</v>
      </c>
      <c r="P1859">
        <v>1.5874951732910886E-2</v>
      </c>
      <c r="Q1859">
        <v>9.0580539212733514E-4</v>
      </c>
      <c r="R1859">
        <v>1.5000660423301693E-3</v>
      </c>
      <c r="S1859">
        <v>0.12076026938638736</v>
      </c>
      <c r="T1859">
        <v>0.82609023118112246</v>
      </c>
      <c r="U1859">
        <v>0</v>
      </c>
      <c r="V1859">
        <v>0.20650507637472354</v>
      </c>
      <c r="W1859">
        <v>9.3724448247146361E-2</v>
      </c>
      <c r="X1859">
        <v>2.8169942555777702E-2</v>
      </c>
      <c r="Y1859">
        <v>4.0826852705847646E-3</v>
      </c>
    </row>
    <row r="1860" spans="1:25" x14ac:dyDescent="0.25">
      <c r="A1860" s="1098"/>
      <c r="B1860" s="1457">
        <v>1610</v>
      </c>
      <c r="C1860" s="1102">
        <v>0.99267448601935637</v>
      </c>
      <c r="D1860" s="1102">
        <v>0.9674411273585054</v>
      </c>
      <c r="E1860" s="1102">
        <v>1.0178744799572357</v>
      </c>
      <c r="F1860" s="1102">
        <v>0.968146590168662</v>
      </c>
      <c r="G1860" s="1102">
        <v>1.0343838650901245</v>
      </c>
      <c r="H1860" s="1102">
        <v>1.0480257768496959</v>
      </c>
      <c r="I1860" s="1102">
        <v>1.0185541568725147</v>
      </c>
      <c r="K1860">
        <v>1.5624584233920817</v>
      </c>
      <c r="L1860">
        <v>0</v>
      </c>
      <c r="M1860">
        <v>1.6122268792725029E-3</v>
      </c>
      <c r="N1860">
        <v>0.1565944215940675</v>
      </c>
      <c r="O1860">
        <v>0.12088228642090185</v>
      </c>
      <c r="P1860">
        <v>1.5665851446637066E-2</v>
      </c>
      <c r="Q1860">
        <v>9.3457621195259784E-4</v>
      </c>
      <c r="R1860">
        <v>1.6087380310993678E-3</v>
      </c>
      <c r="S1860">
        <v>0.1288301373560348</v>
      </c>
      <c r="T1860">
        <v>0.79782516047713903</v>
      </c>
      <c r="U1860">
        <v>0</v>
      </c>
      <c r="V1860">
        <v>0.20714349518592964</v>
      </c>
      <c r="W1860">
        <v>0.10179238849873257</v>
      </c>
      <c r="X1860">
        <v>2.8415140448555639E-2</v>
      </c>
      <c r="Y1860">
        <v>4.3784546003030542E-3</v>
      </c>
    </row>
    <row r="1861" spans="1:25" x14ac:dyDescent="0.25">
      <c r="A1861" s="1098"/>
      <c r="B1861" s="1457">
        <v>1611</v>
      </c>
      <c r="C1861" s="1102">
        <v>1.0018555962480438</v>
      </c>
      <c r="D1861" s="1102">
        <v>0.97332113533442211</v>
      </c>
      <c r="E1861" s="1102">
        <v>0.9632698824125312</v>
      </c>
      <c r="F1861" s="1102">
        <v>1.0183357212982189</v>
      </c>
      <c r="G1861" s="1102">
        <v>1.022380028948036</v>
      </c>
      <c r="H1861" s="1102">
        <v>0.98161349884136051</v>
      </c>
      <c r="I1861" s="1102">
        <v>0.96599096834005937</v>
      </c>
      <c r="K1861">
        <v>1.5692429930641689</v>
      </c>
      <c r="L1861">
        <v>0</v>
      </c>
      <c r="M1861">
        <v>1.6775399468666999E-3</v>
      </c>
      <c r="N1861">
        <v>0.13812322704404459</v>
      </c>
      <c r="O1861">
        <v>0.12387621028610181</v>
      </c>
      <c r="P1861">
        <v>1.5471898345344818E-2</v>
      </c>
      <c r="Q1861">
        <v>8.7267240606503241E-4</v>
      </c>
      <c r="R1861">
        <v>1.6736785128344549E-3</v>
      </c>
      <c r="S1861">
        <v>0.11574327556442449</v>
      </c>
      <c r="T1861">
        <v>0.84287243103163589</v>
      </c>
      <c r="U1861">
        <v>0</v>
      </c>
      <c r="V1861">
        <v>0.2081790892538502</v>
      </c>
      <c r="W1861">
        <v>9.2769902676319002E-2</v>
      </c>
      <c r="X1861">
        <v>2.6782946706451902E-2</v>
      </c>
      <c r="Y1861">
        <v>4.55520118396191E-3</v>
      </c>
    </row>
    <row r="1862" spans="1:25" x14ac:dyDescent="0.25">
      <c r="A1862" s="1098"/>
      <c r="B1862" s="1457">
        <v>1612</v>
      </c>
      <c r="C1862" s="1102">
        <v>0.98232642496640554</v>
      </c>
      <c r="D1862" s="1102">
        <v>0.96342086483343825</v>
      </c>
      <c r="E1862" s="1102">
        <v>0.97698223827910813</v>
      </c>
      <c r="F1862" s="1102">
        <v>0.9936928791567996</v>
      </c>
      <c r="G1862" s="1102">
        <v>1.0363891308385738</v>
      </c>
      <c r="H1862" s="1102">
        <v>0.97715625798139649</v>
      </c>
      <c r="I1862" s="1102">
        <v>0.97148523532557152</v>
      </c>
      <c r="K1862">
        <v>1.5588258337200931</v>
      </c>
      <c r="L1862">
        <v>0</v>
      </c>
      <c r="M1862">
        <v>1.6594715610028959E-3</v>
      </c>
      <c r="N1862">
        <v>0.14242585754214898</v>
      </c>
      <c r="O1862">
        <v>0.12356308586886733</v>
      </c>
      <c r="P1862">
        <v>1.5409828015353443E-2</v>
      </c>
      <c r="Q1862">
        <v>9.0667251325571676E-4</v>
      </c>
      <c r="R1862">
        <v>1.6556275958299026E-3</v>
      </c>
      <c r="S1862">
        <v>0.1188425692923997</v>
      </c>
      <c r="T1862">
        <v>0.82156301877676718</v>
      </c>
      <c r="U1862">
        <v>0</v>
      </c>
      <c r="V1862">
        <v>0.20953693281009664</v>
      </c>
      <c r="W1862">
        <v>9.4864786819955721E-2</v>
      </c>
      <c r="X1862">
        <v>2.7210853508060958E-2</v>
      </c>
      <c r="Y1862">
        <v>4.506072538358709E-3</v>
      </c>
    </row>
    <row r="1863" spans="1:25" x14ac:dyDescent="0.25">
      <c r="A1863" s="1098"/>
      <c r="B1863" s="1457">
        <v>1613</v>
      </c>
      <c r="C1863" s="1102">
        <v>0.99811340594432296</v>
      </c>
      <c r="D1863" s="1102">
        <v>0.97883037062342915</v>
      </c>
      <c r="E1863" s="1102">
        <v>0.97108752488323602</v>
      </c>
      <c r="F1863" s="1102">
        <v>0.98920365499586205</v>
      </c>
      <c r="G1863" s="1102">
        <v>1.016943738141215</v>
      </c>
      <c r="H1863" s="1102">
        <v>0.99573834625798052</v>
      </c>
      <c r="I1863" s="1102">
        <v>0.99341931007163831</v>
      </c>
      <c r="K1863">
        <v>1.5489433220785438</v>
      </c>
      <c r="L1863">
        <v>0</v>
      </c>
      <c r="M1863">
        <v>1.6710895243209334E-3</v>
      </c>
      <c r="N1863">
        <v>0.14089209115318127</v>
      </c>
      <c r="O1863">
        <v>0.1217298803251209</v>
      </c>
      <c r="P1863">
        <v>1.5272285248957079E-2</v>
      </c>
      <c r="Q1863">
        <v>8.8120806688836374E-4</v>
      </c>
      <c r="R1863">
        <v>1.6672842376455395E-3</v>
      </c>
      <c r="S1863">
        <v>0.12001507872617891</v>
      </c>
      <c r="T1863">
        <v>0.81824124649110941</v>
      </c>
      <c r="U1863">
        <v>0</v>
      </c>
      <c r="V1863">
        <v>0.20656912933435598</v>
      </c>
      <c r="W1863">
        <v>9.417940715362258E-2</v>
      </c>
      <c r="X1863">
        <v>2.6629002791035934E-2</v>
      </c>
      <c r="Y1863">
        <v>4.5377980747699324E-3</v>
      </c>
    </row>
    <row r="1864" spans="1:25" x14ac:dyDescent="0.25">
      <c r="A1864" s="1098"/>
      <c r="B1864" s="1457">
        <v>1614</v>
      </c>
      <c r="C1864" s="1102">
        <v>0.98542873085979032</v>
      </c>
      <c r="D1864" s="1102">
        <v>0.97910979882781446</v>
      </c>
      <c r="E1864" s="1102">
        <v>1.0272063182805684</v>
      </c>
      <c r="F1864" s="1102">
        <v>0.977534250116329</v>
      </c>
      <c r="G1864" s="1102">
        <v>0.99431221932834568</v>
      </c>
      <c r="H1864" s="1102">
        <v>1.030003483223153</v>
      </c>
      <c r="I1864" s="1102">
        <v>0.96740762259067492</v>
      </c>
      <c r="K1864">
        <v>1.559062323109021</v>
      </c>
      <c r="L1864">
        <v>0</v>
      </c>
      <c r="M1864">
        <v>1.5552472825962876E-3</v>
      </c>
      <c r="N1864">
        <v>0.15536581613271358</v>
      </c>
      <c r="O1864">
        <v>0.12138433066018479</v>
      </c>
      <c r="P1864">
        <v>1.5749263527644646E-2</v>
      </c>
      <c r="Q1864">
        <v>9.459442714192973E-4</v>
      </c>
      <c r="R1864">
        <v>1.5518168782753532E-3</v>
      </c>
      <c r="S1864">
        <v>0.12100620478151328</v>
      </c>
      <c r="T1864">
        <v>0.80496574507094443</v>
      </c>
      <c r="U1864">
        <v>0</v>
      </c>
      <c r="V1864">
        <v>0.20611555315810204</v>
      </c>
      <c r="W1864">
        <v>0.10044495512121</v>
      </c>
      <c r="X1864">
        <v>2.8864406803238971E-2</v>
      </c>
      <c r="Y1864">
        <v>4.2235339863690722E-3</v>
      </c>
    </row>
    <row r="1865" spans="1:25" x14ac:dyDescent="0.25">
      <c r="A1865" s="1098"/>
      <c r="B1865" s="1457">
        <v>1615</v>
      </c>
      <c r="C1865" s="1102">
        <v>0.9897377669516938</v>
      </c>
      <c r="D1865" s="1102">
        <v>1.0066619078452315</v>
      </c>
      <c r="E1865" s="1102">
        <v>1.0154368252542205</v>
      </c>
      <c r="F1865" s="1102">
        <v>0.99997282993062331</v>
      </c>
      <c r="G1865" s="1102">
        <v>0.9920943513792716</v>
      </c>
      <c r="H1865" s="1102">
        <v>1.0164634674889301</v>
      </c>
      <c r="I1865" s="1102">
        <v>1.0243954368200825</v>
      </c>
      <c r="K1865">
        <v>1.5716781041753403</v>
      </c>
      <c r="L1865">
        <v>0</v>
      </c>
      <c r="M1865">
        <v>1.5449266153351757E-3</v>
      </c>
      <c r="N1865">
        <v>0.14894643799295459</v>
      </c>
      <c r="O1865">
        <v>0.12156733680260612</v>
      </c>
      <c r="P1865">
        <v>1.5926023753496818E-2</v>
      </c>
      <c r="Q1865">
        <v>9.202585367340967E-4</v>
      </c>
      <c r="R1865">
        <v>1.5414650960706604E-3</v>
      </c>
      <c r="S1865">
        <v>0.12453459764343</v>
      </c>
      <c r="T1865">
        <v>0.82421196450606748</v>
      </c>
      <c r="U1865">
        <v>0</v>
      </c>
      <c r="V1865">
        <v>0.20596293462105505</v>
      </c>
      <c r="W1865">
        <v>9.6959450020623783E-2</v>
      </c>
      <c r="X1865">
        <v>2.8457201969962393E-2</v>
      </c>
      <c r="Y1865">
        <v>4.1953598476719865E-3</v>
      </c>
    </row>
    <row r="1866" spans="1:25" x14ac:dyDescent="0.25">
      <c r="A1866" s="1098"/>
      <c r="B1866" s="1457">
        <v>1616</v>
      </c>
      <c r="C1866" s="1102">
        <v>1.0377207473883092</v>
      </c>
      <c r="D1866" s="1102">
        <v>1.0050401156325419</v>
      </c>
      <c r="E1866" s="1102">
        <v>0.97886545507258316</v>
      </c>
      <c r="F1866" s="1102">
        <v>0.97389298851000006</v>
      </c>
      <c r="G1866" s="1102">
        <v>1.0024183112512952</v>
      </c>
      <c r="H1866" s="1102">
        <v>0.98748923674823585</v>
      </c>
      <c r="I1866" s="1102">
        <v>0.97962806813821279</v>
      </c>
      <c r="K1866">
        <v>1.5038883787700417</v>
      </c>
      <c r="L1866">
        <v>0</v>
      </c>
      <c r="M1866">
        <v>1.5478931898306528E-3</v>
      </c>
      <c r="N1866">
        <v>0.13361065424004326</v>
      </c>
      <c r="O1866">
        <v>0.11752269857143668</v>
      </c>
      <c r="P1866">
        <v>1.5000048138197383E-2</v>
      </c>
      <c r="Q1866">
        <v>8.4554528483211618E-4</v>
      </c>
      <c r="R1866">
        <v>1.5443293579199958E-3</v>
      </c>
      <c r="S1866">
        <v>0.11157417339240169</v>
      </c>
      <c r="T1866">
        <v>0.80507053282331398</v>
      </c>
      <c r="U1866">
        <v>0</v>
      </c>
      <c r="V1866">
        <v>0.20112178430399943</v>
      </c>
      <c r="W1866">
        <v>8.8891988143280143E-2</v>
      </c>
      <c r="X1866">
        <v>2.6051362280224186E-2</v>
      </c>
      <c r="Y1866">
        <v>4.2031554242222113E-3</v>
      </c>
    </row>
    <row r="1867" spans="1:25" x14ac:dyDescent="0.25">
      <c r="A1867" s="1098"/>
      <c r="B1867" s="1457">
        <v>1617</v>
      </c>
      <c r="C1867" s="1102">
        <v>1.0033811750600934</v>
      </c>
      <c r="D1867" s="1102">
        <v>0.98370353085458839</v>
      </c>
      <c r="E1867" s="1102">
        <v>1.0136084757590254</v>
      </c>
      <c r="F1867" s="1102">
        <v>0.95498828785553125</v>
      </c>
      <c r="G1867" s="1102">
        <v>0.97949120633686293</v>
      </c>
      <c r="H1867" s="1102">
        <v>1.0044734905011319</v>
      </c>
      <c r="I1867" s="1102">
        <v>1.0046496727777914</v>
      </c>
      <c r="K1867">
        <v>1.5193648456948161</v>
      </c>
      <c r="L1867">
        <v>0</v>
      </c>
      <c r="M1867">
        <v>1.5275443731514323E-3</v>
      </c>
      <c r="N1867">
        <v>0.1464566985134832</v>
      </c>
      <c r="O1867">
        <v>0.11868170135269034</v>
      </c>
      <c r="P1867">
        <v>1.5299582351104178E-2</v>
      </c>
      <c r="Q1867">
        <v>9.1443928766598258E-4</v>
      </c>
      <c r="R1867">
        <v>1.524085142875465E-3</v>
      </c>
      <c r="S1867">
        <v>0.12096801704561393</v>
      </c>
      <c r="T1867">
        <v>0.78724860410334108</v>
      </c>
      <c r="U1867">
        <v>0</v>
      </c>
      <c r="V1867">
        <v>0.20256268175698991</v>
      </c>
      <c r="W1867">
        <v>9.5441185369344192E-2</v>
      </c>
      <c r="X1867">
        <v>2.7647337800482275E-2</v>
      </c>
      <c r="Y1867">
        <v>4.1480573443746947E-3</v>
      </c>
    </row>
    <row r="1868" spans="1:25" x14ac:dyDescent="0.25">
      <c r="A1868" s="1098"/>
      <c r="B1868" s="1457">
        <v>1618</v>
      </c>
      <c r="C1868" s="1102">
        <v>1.0133823290790556</v>
      </c>
      <c r="D1868" s="1102">
        <v>1.0138975661564167</v>
      </c>
      <c r="E1868" s="1102">
        <v>1.0286056051123442</v>
      </c>
      <c r="F1868" s="1102">
        <v>1.0333109988509028</v>
      </c>
      <c r="G1868" s="1102">
        <v>0.9699559890395445</v>
      </c>
      <c r="H1868" s="1102">
        <v>0.97860192072652341</v>
      </c>
      <c r="I1868" s="1102">
        <v>1.0030560890821185</v>
      </c>
      <c r="K1868">
        <v>1.5771091856344546</v>
      </c>
      <c r="L1868">
        <v>0</v>
      </c>
      <c r="M1868">
        <v>1.4134799464197423E-3</v>
      </c>
      <c r="N1868">
        <v>0.14178423881727525</v>
      </c>
      <c r="O1868">
        <v>0.12230439849500679</v>
      </c>
      <c r="P1868">
        <v>1.6310819168536977E-2</v>
      </c>
      <c r="Q1868">
        <v>9.0839174234664014E-4</v>
      </c>
      <c r="R1868">
        <v>1.4102000040968859E-3</v>
      </c>
      <c r="S1868">
        <v>0.11597990178136267</v>
      </c>
      <c r="T1868">
        <v>0.8508018284677773</v>
      </c>
      <c r="U1868">
        <v>0</v>
      </c>
      <c r="V1868">
        <v>0.20449646125336848</v>
      </c>
      <c r="W1868">
        <v>9.1589835193915267E-2</v>
      </c>
      <c r="X1868">
        <v>2.9098491118343565E-2</v>
      </c>
      <c r="Y1868">
        <v>3.8380995388453101E-3</v>
      </c>
    </row>
    <row r="1869" spans="1:25" x14ac:dyDescent="0.25">
      <c r="A1869" s="1098"/>
      <c r="B1869" s="1457">
        <v>1619</v>
      </c>
      <c r="C1869" s="1102">
        <v>1.0016897082802034</v>
      </c>
      <c r="D1869" s="1102">
        <v>1.0378924871590955</v>
      </c>
      <c r="E1869" s="1102">
        <v>0.99672383461495973</v>
      </c>
      <c r="F1869" s="1102">
        <v>0.96836101460649204</v>
      </c>
      <c r="G1869" s="1102">
        <v>1.0287272340500899</v>
      </c>
      <c r="H1869" s="1102">
        <v>1.0266788075328264</v>
      </c>
      <c r="I1869" s="1102">
        <v>1.0195443344332817</v>
      </c>
      <c r="K1869">
        <v>1.5266575713473871</v>
      </c>
      <c r="L1869">
        <v>0</v>
      </c>
      <c r="M1869">
        <v>1.5730139645417833E-3</v>
      </c>
      <c r="N1869">
        <v>0.14332298296241977</v>
      </c>
      <c r="O1869">
        <v>0.11746866415024249</v>
      </c>
      <c r="P1869">
        <v>1.5292355412238957E-2</v>
      </c>
      <c r="Q1869">
        <v>8.8102941841466866E-4</v>
      </c>
      <c r="R1869">
        <v>1.5695014367452798E-3</v>
      </c>
      <c r="S1869">
        <v>0.12090182637549365</v>
      </c>
      <c r="T1869">
        <v>0.79934909734945492</v>
      </c>
      <c r="U1869">
        <v>0</v>
      </c>
      <c r="V1869">
        <v>0.20402635611036626</v>
      </c>
      <c r="W1869">
        <v>9.4337206351340158E-2</v>
      </c>
      <c r="X1869">
        <v>2.6809900220400751E-2</v>
      </c>
      <c r="Y1869">
        <v>4.2716655248110783E-3</v>
      </c>
    </row>
    <row r="1870" spans="1:25" x14ac:dyDescent="0.25">
      <c r="A1870" s="1098"/>
      <c r="B1870" s="1457">
        <v>1620</v>
      </c>
      <c r="C1870" s="1102">
        <v>1.0288954558161463</v>
      </c>
      <c r="D1870" s="1102">
        <v>0.96705776527271592</v>
      </c>
      <c r="E1870" s="1102">
        <v>0.97834704152740071</v>
      </c>
      <c r="F1870" s="1102">
        <v>0.98616074262274456</v>
      </c>
      <c r="G1870" s="1102">
        <v>1.0396759628741181</v>
      </c>
      <c r="H1870" s="1102">
        <v>0.99550117498362978</v>
      </c>
      <c r="I1870" s="1102">
        <v>0.97933110822981706</v>
      </c>
      <c r="K1870">
        <v>1.5351024861569433</v>
      </c>
      <c r="L1870">
        <v>0</v>
      </c>
      <c r="M1870">
        <v>1.610854874733555E-3</v>
      </c>
      <c r="N1870">
        <v>0.13883213673418657</v>
      </c>
      <c r="O1870">
        <v>0.12047527653817643</v>
      </c>
      <c r="P1870">
        <v>1.5242453575815183E-2</v>
      </c>
      <c r="Q1870">
        <v>8.655704083146942E-4</v>
      </c>
      <c r="R1870">
        <v>1.6072007421494847E-3</v>
      </c>
      <c r="S1870">
        <v>0.11575758372841825</v>
      </c>
      <c r="T1870">
        <v>0.81524579754761461</v>
      </c>
      <c r="U1870">
        <v>0</v>
      </c>
      <c r="V1870">
        <v>0.20527135800863036</v>
      </c>
      <c r="W1870">
        <v>9.2394822295583892E-2</v>
      </c>
      <c r="X1870">
        <v>2.6646870846237871E-2</v>
      </c>
      <c r="Y1870">
        <v>4.3742706065486399E-3</v>
      </c>
    </row>
    <row r="1871" spans="1:25" x14ac:dyDescent="0.25">
      <c r="A1871" s="1098"/>
      <c r="B1871" s="1457">
        <v>1621</v>
      </c>
      <c r="C1871" s="1102">
        <v>1.0280269325578053</v>
      </c>
      <c r="D1871" s="1102">
        <v>0.96393739461221928</v>
      </c>
      <c r="E1871" s="1102">
        <v>1.0264198940382006</v>
      </c>
      <c r="F1871" s="1102">
        <v>0.98249564354722496</v>
      </c>
      <c r="G1871" s="1102">
        <v>1.0247312109209648</v>
      </c>
      <c r="H1871" s="1102">
        <v>0.98727808533835648</v>
      </c>
      <c r="I1871" s="1102">
        <v>1.0312147795254631</v>
      </c>
      <c r="K1871">
        <v>1.5426252222163754</v>
      </c>
      <c r="L1871">
        <v>0</v>
      </c>
      <c r="M1871">
        <v>1.4492362031849598E-3</v>
      </c>
      <c r="N1871">
        <v>0.14442088516266219</v>
      </c>
      <c r="O1871">
        <v>0.12026389974998414</v>
      </c>
      <c r="P1871">
        <v>1.5786029656144344E-2</v>
      </c>
      <c r="Q1871">
        <v>9.1169631766579984E-4</v>
      </c>
      <c r="R1871">
        <v>1.4459219138321531E-3</v>
      </c>
      <c r="S1871">
        <v>0.12162652197539728</v>
      </c>
      <c r="T1871">
        <v>0.80910161831701166</v>
      </c>
      <c r="U1871">
        <v>0</v>
      </c>
      <c r="V1871">
        <v>0.20465533028656346</v>
      </c>
      <c r="W1871">
        <v>9.3411729461329959E-2</v>
      </c>
      <c r="X1871">
        <v>2.8515502777546567E-2</v>
      </c>
      <c r="Y1871">
        <v>3.9353228014203274E-3</v>
      </c>
    </row>
    <row r="1872" spans="1:25" x14ac:dyDescent="0.25">
      <c r="A1872" s="1098"/>
      <c r="B1872" s="1457">
        <v>1622</v>
      </c>
      <c r="C1872" s="1102">
        <v>0.98967447720973056</v>
      </c>
      <c r="D1872" s="1102">
        <v>0.98431171109200044</v>
      </c>
      <c r="E1872" s="1102">
        <v>0.9901596008079141</v>
      </c>
      <c r="F1872" s="1102">
        <v>0.98700551615637755</v>
      </c>
      <c r="G1872" s="1102">
        <v>0.99817318911062103</v>
      </c>
      <c r="H1872" s="1102">
        <v>0.96995025910268329</v>
      </c>
      <c r="I1872" s="1102">
        <v>1.0127727183331643</v>
      </c>
      <c r="K1872">
        <v>1.5450869828906828</v>
      </c>
      <c r="L1872">
        <v>0</v>
      </c>
      <c r="M1872">
        <v>1.5719477444456783E-3</v>
      </c>
      <c r="N1872">
        <v>0.14039672161963204</v>
      </c>
      <c r="O1872">
        <v>0.12171026820249584</v>
      </c>
      <c r="P1872">
        <v>1.5459872779777799E-2</v>
      </c>
      <c r="Q1872">
        <v>9.0463429324773228E-4</v>
      </c>
      <c r="R1872">
        <v>1.5682666589368296E-3</v>
      </c>
      <c r="S1872">
        <v>0.12085104194244843</v>
      </c>
      <c r="T1872">
        <v>0.81516857245063823</v>
      </c>
      <c r="U1872">
        <v>0</v>
      </c>
      <c r="V1872">
        <v>0.20619334111461093</v>
      </c>
      <c r="W1872">
        <v>9.2774219401006386E-2</v>
      </c>
      <c r="X1872">
        <v>2.7363687305671579E-2</v>
      </c>
      <c r="Y1872">
        <v>4.2683048666608729E-3</v>
      </c>
    </row>
    <row r="1873" spans="1:25" x14ac:dyDescent="0.25">
      <c r="A1873" s="1098"/>
      <c r="B1873" s="1457">
        <v>1623</v>
      </c>
      <c r="C1873" s="1102">
        <v>1.0309056959088572</v>
      </c>
      <c r="D1873" s="1102">
        <v>1.0071872424148935</v>
      </c>
      <c r="E1873" s="1102">
        <v>0.98148069851471387</v>
      </c>
      <c r="F1873" s="1102">
        <v>1.0289669124666476</v>
      </c>
      <c r="G1873" s="1102">
        <v>0.98740958840470472</v>
      </c>
      <c r="H1873" s="1102">
        <v>1.0104747378240206</v>
      </c>
      <c r="I1873" s="1102">
        <v>0.97632245437065301</v>
      </c>
      <c r="K1873">
        <v>1.5676447350002451</v>
      </c>
      <c r="L1873">
        <v>0</v>
      </c>
      <c r="M1873">
        <v>1.5895580634572659E-3</v>
      </c>
      <c r="N1873">
        <v>0.13830532606058515</v>
      </c>
      <c r="O1873">
        <v>0.12155351268381709</v>
      </c>
      <c r="P1873">
        <v>1.5704568175425797E-2</v>
      </c>
      <c r="Q1873">
        <v>8.5274234984018295E-4</v>
      </c>
      <c r="R1873">
        <v>1.5859930644024805E-3</v>
      </c>
      <c r="S1873">
        <v>0.11378534897268014</v>
      </c>
      <c r="T1873">
        <v>0.85041813345863249</v>
      </c>
      <c r="U1873">
        <v>0</v>
      </c>
      <c r="V1873">
        <v>0.2037482413054042</v>
      </c>
      <c r="W1873">
        <v>9.1870211012437461E-2</v>
      </c>
      <c r="X1873">
        <v>2.7093665681645611E-2</v>
      </c>
      <c r="Y1873">
        <v>4.3165502988303838E-3</v>
      </c>
    </row>
    <row r="1874" spans="1:25" x14ac:dyDescent="0.25">
      <c r="A1874" s="1098"/>
      <c r="B1874" s="1457">
        <v>1624</v>
      </c>
      <c r="C1874" s="1102">
        <v>1.0065057572094387</v>
      </c>
      <c r="D1874" s="1102">
        <v>0.96623065141909847</v>
      </c>
      <c r="E1874" s="1102">
        <v>1.0052773064582303</v>
      </c>
      <c r="F1874" s="1102">
        <v>0.96227331636560465</v>
      </c>
      <c r="G1874" s="1102">
        <v>0.99672559785372894</v>
      </c>
      <c r="H1874" s="1102">
        <v>0.99178460665345125</v>
      </c>
      <c r="I1874" s="1102">
        <v>0.96927207206728272</v>
      </c>
      <c r="K1874">
        <v>1.5214522065269991</v>
      </c>
      <c r="L1874">
        <v>0</v>
      </c>
      <c r="M1874">
        <v>1.5466442276566522E-3</v>
      </c>
      <c r="N1874">
        <v>0.1446016506585753</v>
      </c>
      <c r="O1874">
        <v>0.11984519216798577</v>
      </c>
      <c r="P1874">
        <v>1.5255295973184474E-2</v>
      </c>
      <c r="Q1874">
        <v>9.1030175350108886E-4</v>
      </c>
      <c r="R1874">
        <v>1.5431102917322836E-3</v>
      </c>
      <c r="S1874">
        <v>0.11665795869961203</v>
      </c>
      <c r="T1874">
        <v>0.79378082818865625</v>
      </c>
      <c r="U1874">
        <v>0</v>
      </c>
      <c r="V1874">
        <v>0.20398222985584874</v>
      </c>
      <c r="W1874">
        <v>9.469658808808451E-2</v>
      </c>
      <c r="X1874">
        <v>2.7525857549549008E-2</v>
      </c>
      <c r="Y1874">
        <v>4.1998375279243194E-3</v>
      </c>
    </row>
    <row r="1875" spans="1:25" x14ac:dyDescent="0.25">
      <c r="A1875" s="1098"/>
      <c r="B1875" s="1457">
        <v>1625</v>
      </c>
      <c r="C1875" s="1102">
        <v>0.99525326361957067</v>
      </c>
      <c r="D1875" s="1102">
        <v>1.0169281361752156</v>
      </c>
      <c r="E1875" s="1102">
        <v>1.0041600762330207</v>
      </c>
      <c r="F1875" s="1102">
        <v>0.95748111207010766</v>
      </c>
      <c r="G1875" s="1102">
        <v>0.98868235841891838</v>
      </c>
      <c r="H1875" s="1102">
        <v>1.0445911541209008</v>
      </c>
      <c r="I1875" s="1102">
        <v>0.98174932772043488</v>
      </c>
      <c r="K1875">
        <v>1.5252589370956473</v>
      </c>
      <c r="L1875">
        <v>0</v>
      </c>
      <c r="M1875">
        <v>1.6023565775423057E-3</v>
      </c>
      <c r="N1875">
        <v>0.1493199241587066</v>
      </c>
      <c r="O1875">
        <v>0.11787006388836557</v>
      </c>
      <c r="P1875">
        <v>1.5217597595133109E-2</v>
      </c>
      <c r="Q1875">
        <v>9.0091215940176373E-4</v>
      </c>
      <c r="R1875">
        <v>1.598846919972927E-3</v>
      </c>
      <c r="S1875">
        <v>0.11989281095920247</v>
      </c>
      <c r="T1875">
        <v>0.78989818504327747</v>
      </c>
      <c r="U1875">
        <v>0</v>
      </c>
      <c r="V1875">
        <v>0.20279673702624745</v>
      </c>
      <c r="W1875">
        <v>9.7851198742138185E-2</v>
      </c>
      <c r="X1875">
        <v>2.7163482924322916E-2</v>
      </c>
      <c r="Y1875">
        <v>4.3515342564207889E-3</v>
      </c>
    </row>
    <row r="1876" spans="1:25" x14ac:dyDescent="0.25">
      <c r="A1876" s="1098"/>
      <c r="B1876" s="1457">
        <v>1626</v>
      </c>
      <c r="C1876" s="1102">
        <v>0.98186898107191056</v>
      </c>
      <c r="D1876" s="1102">
        <v>0.98708222459144279</v>
      </c>
      <c r="E1876" s="1102">
        <v>0.95899588710710948</v>
      </c>
      <c r="F1876" s="1102">
        <v>1.0440367418724465</v>
      </c>
      <c r="G1876" s="1102">
        <v>0.98762369547542439</v>
      </c>
      <c r="H1876" s="1102">
        <v>1.035077181734998</v>
      </c>
      <c r="I1876" s="1102">
        <v>0.99430061242275092</v>
      </c>
      <c r="K1876">
        <v>1.6192810882196758</v>
      </c>
      <c r="L1876">
        <v>0</v>
      </c>
      <c r="M1876">
        <v>1.8072076923100447E-3</v>
      </c>
      <c r="N1876">
        <v>0.14690205793424782</v>
      </c>
      <c r="O1876">
        <v>0.12611500318304866</v>
      </c>
      <c r="P1876">
        <v>1.584085125816569E-2</v>
      </c>
      <c r="Q1876">
        <v>8.8145265956615746E-4</v>
      </c>
      <c r="R1876">
        <v>1.8032550473932338E-3</v>
      </c>
      <c r="S1876">
        <v>0.12489898659320747</v>
      </c>
      <c r="T1876">
        <v>0.8644452241813172</v>
      </c>
      <c r="U1876">
        <v>0</v>
      </c>
      <c r="V1876">
        <v>0.20922793191637837</v>
      </c>
      <c r="W1876">
        <v>9.8924982951348078E-2</v>
      </c>
      <c r="X1876">
        <v>2.7140684391175486E-2</v>
      </c>
      <c r="Y1876">
        <v>4.9078657961377703E-3</v>
      </c>
    </row>
    <row r="1877" spans="1:25" x14ac:dyDescent="0.25">
      <c r="A1877" s="1098"/>
      <c r="B1877" s="1457">
        <v>1627</v>
      </c>
      <c r="C1877" s="1102">
        <v>1.0017421912897455</v>
      </c>
      <c r="D1877" s="1102">
        <v>0.99191808275978943</v>
      </c>
      <c r="E1877" s="1102">
        <v>0.98674324950099801</v>
      </c>
      <c r="F1877" s="1102">
        <v>0.98540987479080178</v>
      </c>
      <c r="G1877" s="1102">
        <v>0.97835712597255942</v>
      </c>
      <c r="H1877" s="1102">
        <v>1.0177795716978606</v>
      </c>
      <c r="I1877" s="1102">
        <v>0.99081463870403141</v>
      </c>
      <c r="K1877">
        <v>1.5468023529230781</v>
      </c>
      <c r="L1877">
        <v>0</v>
      </c>
      <c r="M1877">
        <v>1.6353293190018864E-3</v>
      </c>
      <c r="N1877">
        <v>0.14457231343762075</v>
      </c>
      <c r="O1877">
        <v>0.12065083332371827</v>
      </c>
      <c r="P1877">
        <v>1.5364757877967598E-2</v>
      </c>
      <c r="Q1877">
        <v>8.8781886838361812E-4</v>
      </c>
      <c r="R1877">
        <v>1.6316780221312477E-3</v>
      </c>
      <c r="S1877">
        <v>0.12008817982241095</v>
      </c>
      <c r="T1877">
        <v>0.81407422302911225</v>
      </c>
      <c r="U1877">
        <v>0</v>
      </c>
      <c r="V1877">
        <v>0.20395470038502136</v>
      </c>
      <c r="W1877">
        <v>9.5729411887457677E-2</v>
      </c>
      <c r="X1877">
        <v>2.7042875894530447E-2</v>
      </c>
      <c r="Y1877">
        <v>4.4408896937258207E-3</v>
      </c>
    </row>
    <row r="1878" spans="1:25" x14ac:dyDescent="0.25">
      <c r="A1878" s="1098"/>
      <c r="B1878" s="1457">
        <v>1628</v>
      </c>
      <c r="C1878" s="1102">
        <v>1.0188794063660203</v>
      </c>
      <c r="D1878" s="1102">
        <v>1.0247450671524545</v>
      </c>
      <c r="E1878" s="1102">
        <v>0.97759553695428836</v>
      </c>
      <c r="F1878" s="1102">
        <v>0.97904188436521455</v>
      </c>
      <c r="G1878" s="1102">
        <v>1.0436469551616738</v>
      </c>
      <c r="H1878" s="1102">
        <v>0.97695728986512109</v>
      </c>
      <c r="I1878" s="1102">
        <v>1.0286865662153979</v>
      </c>
      <c r="K1878">
        <v>1.5162710428068547</v>
      </c>
      <c r="L1878">
        <v>0</v>
      </c>
      <c r="M1878">
        <v>1.5452482491267077E-3</v>
      </c>
      <c r="N1878">
        <v>0.13286616492389816</v>
      </c>
      <c r="O1878">
        <v>0.11796195325199296</v>
      </c>
      <c r="P1878">
        <v>1.5158149923392258E-2</v>
      </c>
      <c r="Q1878">
        <v>8.5338126508272547E-4</v>
      </c>
      <c r="R1878">
        <v>1.5416371280433669E-3</v>
      </c>
      <c r="S1878">
        <v>0.11704702306583703</v>
      </c>
      <c r="T1878">
        <v>0.80940982652148741</v>
      </c>
      <c r="U1878">
        <v>0</v>
      </c>
      <c r="V1878">
        <v>0.20417825822372002</v>
      </c>
      <c r="W1878">
        <v>8.8464579179361846E-2</v>
      </c>
      <c r="X1878">
        <v>2.613948951117101E-2</v>
      </c>
      <c r="Y1878">
        <v>4.1958280619913673E-3</v>
      </c>
    </row>
    <row r="1879" spans="1:25" x14ac:dyDescent="0.25">
      <c r="A1879" s="1098"/>
      <c r="B1879" s="1457">
        <v>1629</v>
      </c>
      <c r="C1879" s="1102">
        <v>0.99946643259020596</v>
      </c>
      <c r="D1879" s="1102">
        <v>0.99524953515032533</v>
      </c>
      <c r="E1879" s="1102">
        <v>1.0184507524244462</v>
      </c>
      <c r="F1879" s="1102">
        <v>0.97154720340162559</v>
      </c>
      <c r="G1879" s="1102">
        <v>1.0217636098193807</v>
      </c>
      <c r="H1879" s="1102">
        <v>0.95986364105455013</v>
      </c>
      <c r="I1879" s="1102">
        <v>0.99883085970756924</v>
      </c>
      <c r="K1879">
        <v>1.5218127365038487</v>
      </c>
      <c r="L1879">
        <v>0</v>
      </c>
      <c r="M1879">
        <v>1.4427686948175326E-3</v>
      </c>
      <c r="N1879">
        <v>0.14034970300741587</v>
      </c>
      <c r="O1879">
        <v>0.11954761088400281</v>
      </c>
      <c r="P1879">
        <v>1.5514533176538602E-2</v>
      </c>
      <c r="Q1879">
        <v>9.1830592217508728E-4</v>
      </c>
      <c r="R1879">
        <v>1.4393467172745637E-3</v>
      </c>
      <c r="S1879">
        <v>0.11646072761585546</v>
      </c>
      <c r="T1879">
        <v>0.80059088884600227</v>
      </c>
      <c r="U1879">
        <v>0</v>
      </c>
      <c r="V1879">
        <v>0.20533270256189576</v>
      </c>
      <c r="W1879">
        <v>9.1201899111484422E-2</v>
      </c>
      <c r="X1879">
        <v>2.798236007211697E-2</v>
      </c>
      <c r="Y1879">
        <v>3.917427283903532E-3</v>
      </c>
    </row>
    <row r="1880" spans="1:25" x14ac:dyDescent="0.25">
      <c r="A1880" s="1098"/>
      <c r="B1880" s="1457">
        <v>1630</v>
      </c>
      <c r="C1880" s="1102">
        <v>0.99829132187229785</v>
      </c>
      <c r="D1880" s="1102">
        <v>1.0054465755827011</v>
      </c>
      <c r="E1880" s="1102">
        <v>0.99430764976161934</v>
      </c>
      <c r="F1880" s="1102">
        <v>0.96909510151227718</v>
      </c>
      <c r="G1880" s="1102">
        <v>0.98950956301203896</v>
      </c>
      <c r="H1880" s="1102">
        <v>1.0172913960852847</v>
      </c>
      <c r="I1880" s="1102">
        <v>0.99393804120428741</v>
      </c>
      <c r="K1880">
        <v>1.5300160770832067</v>
      </c>
      <c r="L1880">
        <v>0</v>
      </c>
      <c r="M1880">
        <v>1.5998986779285484E-3</v>
      </c>
      <c r="N1880">
        <v>0.14471060867108146</v>
      </c>
      <c r="O1880">
        <v>0.11905591910271407</v>
      </c>
      <c r="P1880">
        <v>1.5252438453502557E-2</v>
      </c>
      <c r="Q1880">
        <v>8.9308565448913667E-4</v>
      </c>
      <c r="R1880">
        <v>1.5963112089210166E-3</v>
      </c>
      <c r="S1880">
        <v>0.11976408530584064</v>
      </c>
      <c r="T1880">
        <v>0.80010997301734743</v>
      </c>
      <c r="U1880">
        <v>0</v>
      </c>
      <c r="V1880">
        <v>0.20350245433412248</v>
      </c>
      <c r="W1880">
        <v>9.5387929828727028E-2</v>
      </c>
      <c r="X1880">
        <v>2.699853729755403E-2</v>
      </c>
      <c r="Y1880">
        <v>4.3446328868344108E-3</v>
      </c>
    </row>
    <row r="1881" spans="1:25" x14ac:dyDescent="0.25">
      <c r="A1881" s="1098"/>
      <c r="B1881" s="1457">
        <v>1631</v>
      </c>
      <c r="C1881" s="1102">
        <v>0.99247622738762165</v>
      </c>
      <c r="D1881" s="1102">
        <v>0.99115456118610457</v>
      </c>
      <c r="E1881" s="1102">
        <v>0.99803578144230998</v>
      </c>
      <c r="F1881" s="1102">
        <v>1.0177511099888685</v>
      </c>
      <c r="G1881" s="1102">
        <v>1.0169018667001504</v>
      </c>
      <c r="H1881" s="1102">
        <v>1.0193757525867229</v>
      </c>
      <c r="I1881" s="1102">
        <v>1.029185674554314</v>
      </c>
      <c r="K1881">
        <v>1.5928163123297265</v>
      </c>
      <c r="L1881">
        <v>0</v>
      </c>
      <c r="M1881">
        <v>1.618581980004507E-3</v>
      </c>
      <c r="N1881">
        <v>0.14806185729317559</v>
      </c>
      <c r="O1881">
        <v>0.12341163017160732</v>
      </c>
      <c r="P1881">
        <v>1.5991205236659947E-2</v>
      </c>
      <c r="Q1881">
        <v>9.0698367402449506E-4</v>
      </c>
      <c r="R1881">
        <v>1.6149807085098936E-3</v>
      </c>
      <c r="S1881">
        <v>0.1262680139991752</v>
      </c>
      <c r="T1881">
        <v>0.84003068471487663</v>
      </c>
      <c r="U1881">
        <v>0</v>
      </c>
      <c r="V1881">
        <v>0.2082085343416559</v>
      </c>
      <c r="W1881">
        <v>9.7380280965196631E-2</v>
      </c>
      <c r="X1881">
        <v>2.8165278094531593E-2</v>
      </c>
      <c r="Y1881">
        <v>4.3954451103164491E-3</v>
      </c>
    </row>
    <row r="1882" spans="1:25" x14ac:dyDescent="0.25">
      <c r="A1882" s="1098"/>
      <c r="B1882" s="1457">
        <v>1632</v>
      </c>
      <c r="C1882" s="1102">
        <v>1.0276701855143866</v>
      </c>
      <c r="D1882" s="1102">
        <v>1.0225263063083661</v>
      </c>
      <c r="E1882" s="1102">
        <v>0.97664943093974343</v>
      </c>
      <c r="F1882" s="1102">
        <v>1.0404450983590754</v>
      </c>
      <c r="G1882" s="1102">
        <v>0.96915748468471441</v>
      </c>
      <c r="H1882" s="1102">
        <v>0.96855423644673955</v>
      </c>
      <c r="I1882" s="1102">
        <v>0.99974733034945196</v>
      </c>
      <c r="K1882">
        <v>1.5645301814898258</v>
      </c>
      <c r="L1882">
        <v>0</v>
      </c>
      <c r="M1882">
        <v>1.5313302761230177E-3</v>
      </c>
      <c r="N1882">
        <v>0.13129197897029385</v>
      </c>
      <c r="O1882">
        <v>0.12183901486865255</v>
      </c>
      <c r="P1882">
        <v>1.5757425196253477E-2</v>
      </c>
      <c r="Q1882">
        <v>8.4597478435796615E-4</v>
      </c>
      <c r="R1882">
        <v>1.5277399255615163E-3</v>
      </c>
      <c r="S1882">
        <v>0.11265532935911318</v>
      </c>
      <c r="T1882">
        <v>0.86023982419179579</v>
      </c>
      <c r="U1882">
        <v>0</v>
      </c>
      <c r="V1882">
        <v>0.20330771576657661</v>
      </c>
      <c r="W1882">
        <v>8.7466526834578187E-2</v>
      </c>
      <c r="X1882">
        <v>2.6971977410719123E-2</v>
      </c>
      <c r="Y1882">
        <v>4.1580044580473369E-3</v>
      </c>
    </row>
    <row r="1883" spans="1:25" x14ac:dyDescent="0.25">
      <c r="A1883" s="1098"/>
      <c r="B1883" s="1457">
        <v>1633</v>
      </c>
      <c r="C1883" s="1102">
        <v>0.99607963243765885</v>
      </c>
      <c r="D1883" s="1102">
        <v>1.0221367200451044</v>
      </c>
      <c r="E1883" s="1102">
        <v>0.97527274306349876</v>
      </c>
      <c r="F1883" s="1102">
        <v>1.0243487473606323</v>
      </c>
      <c r="G1883" s="1102">
        <v>0.97696696909802527</v>
      </c>
      <c r="H1883" s="1102">
        <v>1.0029117789704667</v>
      </c>
      <c r="I1883" s="1102">
        <v>0.9904743785718042</v>
      </c>
      <c r="K1883">
        <v>1.5732283016182349</v>
      </c>
      <c r="L1883">
        <v>0</v>
      </c>
      <c r="M1883">
        <v>1.6356294164433279E-3</v>
      </c>
      <c r="N1883">
        <v>0.1396614388232838</v>
      </c>
      <c r="O1883">
        <v>0.12237022176421687</v>
      </c>
      <c r="P1883">
        <v>1.5659278720517103E-2</v>
      </c>
      <c r="Q1883">
        <v>8.7167663677735507E-4</v>
      </c>
      <c r="R1883">
        <v>1.6319140790670211E-3</v>
      </c>
      <c r="S1883">
        <v>0.11760589224579075</v>
      </c>
      <c r="T1883">
        <v>0.8470255514726146</v>
      </c>
      <c r="U1883">
        <v>0</v>
      </c>
      <c r="V1883">
        <v>0.2054634080876106</v>
      </c>
      <c r="W1883">
        <v>9.3119873192653635E-2</v>
      </c>
      <c r="X1883">
        <v>2.7013143849257723E-2</v>
      </c>
      <c r="Y1883">
        <v>4.4415321628888463E-3</v>
      </c>
    </row>
    <row r="1884" spans="1:25" x14ac:dyDescent="0.25">
      <c r="A1884" s="1098"/>
      <c r="B1884" s="1457">
        <v>1634</v>
      </c>
      <c r="C1884" s="1102">
        <v>0.97971560878678221</v>
      </c>
      <c r="D1884" s="1102">
        <v>1.0018514649636183</v>
      </c>
      <c r="E1884" s="1102">
        <v>0.99319209198766256</v>
      </c>
      <c r="F1884" s="1102">
        <v>1.0188739356198209</v>
      </c>
      <c r="G1884" s="1102">
        <v>1.0235413514544078</v>
      </c>
      <c r="H1884" s="1102">
        <v>0.97895847833301519</v>
      </c>
      <c r="I1884" s="1102">
        <v>1.0374810721864995</v>
      </c>
      <c r="K1884">
        <v>1.5843848098578959</v>
      </c>
      <c r="L1884">
        <v>0</v>
      </c>
      <c r="M1884">
        <v>1.5795293895392978E-3</v>
      </c>
      <c r="N1884">
        <v>0.14237577402650795</v>
      </c>
      <c r="O1884">
        <v>0.12369693486824858</v>
      </c>
      <c r="P1884">
        <v>1.5943576793286018E-2</v>
      </c>
      <c r="Q1884">
        <v>9.1026670563435137E-4</v>
      </c>
      <c r="R1884">
        <v>1.575860187099857E-3</v>
      </c>
      <c r="S1884">
        <v>0.12464778810516615</v>
      </c>
      <c r="T1884">
        <v>0.84128392738321545</v>
      </c>
      <c r="U1884">
        <v>0</v>
      </c>
      <c r="V1884">
        <v>0.20933746598905931</v>
      </c>
      <c r="W1884">
        <v>9.39114455281886E-2</v>
      </c>
      <c r="X1884">
        <v>2.7992327713912402E-2</v>
      </c>
      <c r="Y1884">
        <v>4.2889719471147459E-3</v>
      </c>
    </row>
    <row r="1885" spans="1:25" x14ac:dyDescent="0.25">
      <c r="A1885" s="1098"/>
      <c r="B1885" s="1457">
        <v>1635</v>
      </c>
      <c r="C1885" s="1102">
        <v>1.0201020311635551</v>
      </c>
      <c r="D1885" s="1102">
        <v>1.0020845427347747</v>
      </c>
      <c r="E1885" s="1102">
        <v>1.0125640793686712</v>
      </c>
      <c r="F1885" s="1102">
        <v>1.0236627253927935</v>
      </c>
      <c r="G1885" s="1102">
        <v>0.99577100568242494</v>
      </c>
      <c r="H1885" s="1102">
        <v>0.97804370402528451</v>
      </c>
      <c r="I1885" s="1102">
        <v>1.0131298837036724</v>
      </c>
      <c r="K1885">
        <v>1.5676812003464808</v>
      </c>
      <c r="L1885">
        <v>0</v>
      </c>
      <c r="M1885">
        <v>1.4604126454477455E-3</v>
      </c>
      <c r="N1885">
        <v>0.13957217261167026</v>
      </c>
      <c r="O1885">
        <v>0.1218704099505185</v>
      </c>
      <c r="P1885">
        <v>1.604714498448449E-2</v>
      </c>
      <c r="Q1885">
        <v>8.9185479595545224E-4</v>
      </c>
      <c r="R1885">
        <v>1.4570278805670044E-3</v>
      </c>
      <c r="S1885">
        <v>0.11710225828265129</v>
      </c>
      <c r="T1885">
        <v>0.84393078927722942</v>
      </c>
      <c r="U1885">
        <v>0</v>
      </c>
      <c r="V1885">
        <v>0.20493866047750731</v>
      </c>
      <c r="W1885">
        <v>9.1010654357490478E-2</v>
      </c>
      <c r="X1885">
        <v>2.8355090792062252E-2</v>
      </c>
      <c r="Y1885">
        <v>3.9655495817916431E-3</v>
      </c>
    </row>
    <row r="1886" spans="1:25" x14ac:dyDescent="0.25">
      <c r="A1886" s="1098"/>
      <c r="B1886" s="1457">
        <v>1636</v>
      </c>
      <c r="C1886" s="1102">
        <v>1.0152744896833874</v>
      </c>
      <c r="D1886" s="1102">
        <v>1.0455168340730761</v>
      </c>
      <c r="E1886" s="1102">
        <v>1.0089493891685419</v>
      </c>
      <c r="F1886" s="1102">
        <v>1.0099050396373024</v>
      </c>
      <c r="G1886" s="1102">
        <v>0.99286939245836747</v>
      </c>
      <c r="H1886" s="1102">
        <v>1.0193946488710581</v>
      </c>
      <c r="I1886" s="1102">
        <v>0.99462594739085419</v>
      </c>
      <c r="K1886">
        <v>1.5543143414530693</v>
      </c>
      <c r="L1886">
        <v>0</v>
      </c>
      <c r="M1886">
        <v>1.5021396191120852E-3</v>
      </c>
      <c r="N1886">
        <v>0.14201267724625263</v>
      </c>
      <c r="O1886">
        <v>0.11931470631372391</v>
      </c>
      <c r="P1886">
        <v>1.5808495479721567E-2</v>
      </c>
      <c r="Q1886">
        <v>8.7773879299158893E-4</v>
      </c>
      <c r="R1886">
        <v>1.4987707843829149E-3</v>
      </c>
      <c r="S1886">
        <v>0.115643809002321</v>
      </c>
      <c r="T1886">
        <v>0.83282835628197005</v>
      </c>
      <c r="U1886">
        <v>0</v>
      </c>
      <c r="V1886">
        <v>0.20323306995764473</v>
      </c>
      <c r="W1886">
        <v>9.279950480741693E-2</v>
      </c>
      <c r="X1886">
        <v>2.7720192400322148E-2</v>
      </c>
      <c r="Y1886">
        <v>4.0791600054340066E-3</v>
      </c>
    </row>
    <row r="1887" spans="1:25" x14ac:dyDescent="0.25">
      <c r="A1887" s="1098"/>
      <c r="B1887" s="1457">
        <v>1637</v>
      </c>
      <c r="C1887" s="1102">
        <v>1.0110669551937832</v>
      </c>
      <c r="D1887" s="1102">
        <v>0.98408780640609184</v>
      </c>
      <c r="E1887" s="1102">
        <v>1.0038826714984401</v>
      </c>
      <c r="F1887" s="1102">
        <v>0.97110491286752432</v>
      </c>
      <c r="G1887" s="1102">
        <v>0.98090204730984787</v>
      </c>
      <c r="H1887" s="1102">
        <v>1.0395719771443661</v>
      </c>
      <c r="I1887" s="1102">
        <v>1.0073023340560192</v>
      </c>
      <c r="K1887">
        <v>1.5420317869883335</v>
      </c>
      <c r="L1887">
        <v>0</v>
      </c>
      <c r="M1887">
        <v>1.6036259110261903E-3</v>
      </c>
      <c r="N1887">
        <v>0.14931398842994154</v>
      </c>
      <c r="O1887">
        <v>0.11946263102993245</v>
      </c>
      <c r="P1887">
        <v>1.5414681184352129E-2</v>
      </c>
      <c r="Q1887">
        <v>8.9828482964570907E-4</v>
      </c>
      <c r="R1887">
        <v>1.6001234681354444E-3</v>
      </c>
      <c r="S1887">
        <v>0.12326448578892177</v>
      </c>
      <c r="T1887">
        <v>0.80115523150143231</v>
      </c>
      <c r="U1887">
        <v>0</v>
      </c>
      <c r="V1887">
        <v>0.20281045998454952</v>
      </c>
      <c r="W1887">
        <v>9.786339168587424E-2</v>
      </c>
      <c r="X1887">
        <v>2.7497126396870387E-2</v>
      </c>
      <c r="Y1887">
        <v>4.3550085997051723E-3</v>
      </c>
    </row>
    <row r="1888" spans="1:25" x14ac:dyDescent="0.25">
      <c r="A1888" s="1098"/>
      <c r="B1888" s="1457">
        <v>1638</v>
      </c>
      <c r="C1888" s="1102">
        <v>0.96904533457323128</v>
      </c>
      <c r="D1888" s="1102">
        <v>0.98075289698377499</v>
      </c>
      <c r="E1888" s="1102">
        <v>1.0001134465338746</v>
      </c>
      <c r="F1888" s="1102">
        <v>1.0221682595638484</v>
      </c>
      <c r="G1888" s="1102">
        <v>0.97150189224694028</v>
      </c>
      <c r="H1888" s="1102">
        <v>1.0035553918639055</v>
      </c>
      <c r="I1888" s="1102">
        <v>0.99385087810627137</v>
      </c>
      <c r="K1888">
        <v>1.6010131588031007</v>
      </c>
      <c r="L1888">
        <v>0</v>
      </c>
      <c r="M1888">
        <v>1.6323440380003505E-3</v>
      </c>
      <c r="N1888">
        <v>0.15025589037825676</v>
      </c>
      <c r="O1888">
        <v>0.12544416671398226</v>
      </c>
      <c r="P1888">
        <v>1.6044139739098118E-2</v>
      </c>
      <c r="Q1888">
        <v>9.3485486160186228E-4</v>
      </c>
      <c r="R1888">
        <v>1.6286560187514793E-3</v>
      </c>
      <c r="S1888">
        <v>0.12425250955478308</v>
      </c>
      <c r="T1888">
        <v>0.84353624936330218</v>
      </c>
      <c r="U1888">
        <v>0</v>
      </c>
      <c r="V1888">
        <v>0.20878001562531762</v>
      </c>
      <c r="W1888">
        <v>9.8701250719280903E-2</v>
      </c>
      <c r="X1888">
        <v>2.8635105069996517E-2</v>
      </c>
      <c r="Y1888">
        <v>4.4326647967292375E-3</v>
      </c>
    </row>
    <row r="1889" spans="1:25" x14ac:dyDescent="0.25">
      <c r="A1889" s="1098"/>
      <c r="B1889" s="1457">
        <v>1639</v>
      </c>
      <c r="C1889" s="1102">
        <v>0.99375915427333417</v>
      </c>
      <c r="D1889" s="1102">
        <v>1.0003855259334551</v>
      </c>
      <c r="E1889" s="1102">
        <v>0.96823459005168433</v>
      </c>
      <c r="F1889" s="1102">
        <v>1.0191836711386588</v>
      </c>
      <c r="G1889" s="1102">
        <v>0.98533426670977187</v>
      </c>
      <c r="H1889" s="1102">
        <v>0.96460768254252149</v>
      </c>
      <c r="I1889" s="1102">
        <v>0.99617825658981951</v>
      </c>
      <c r="K1889">
        <v>1.563279893087554</v>
      </c>
      <c r="L1889">
        <v>0</v>
      </c>
      <c r="M1889">
        <v>1.6187123197004796E-3</v>
      </c>
      <c r="N1889">
        <v>0.13529172140873555</v>
      </c>
      <c r="O1889">
        <v>0.1231157080276363</v>
      </c>
      <c r="P1889">
        <v>1.5529116602067137E-2</v>
      </c>
      <c r="Q1889">
        <v>8.7475732967410061E-4</v>
      </c>
      <c r="R1889">
        <v>1.6149011358593097E-3</v>
      </c>
      <c r="S1889">
        <v>0.1169918731667713</v>
      </c>
      <c r="T1889">
        <v>0.84323465910207507</v>
      </c>
      <c r="U1889">
        <v>0</v>
      </c>
      <c r="V1889">
        <v>0.2064135834708421</v>
      </c>
      <c r="W1889">
        <v>9.0593047245338315E-2</v>
      </c>
      <c r="X1889">
        <v>2.6844009378460782E-2</v>
      </c>
      <c r="Y1889">
        <v>4.3952285397926769E-3</v>
      </c>
    </row>
    <row r="1890" spans="1:25" x14ac:dyDescent="0.25">
      <c r="A1890" s="1098"/>
      <c r="B1890" s="1457">
        <v>1640</v>
      </c>
      <c r="C1890" s="1102">
        <v>0.96954154504336409</v>
      </c>
      <c r="D1890" s="1102">
        <v>0.98637028619302147</v>
      </c>
      <c r="E1890" s="1102">
        <v>1.0204797995754273</v>
      </c>
      <c r="F1890" s="1102">
        <v>1.0201762649323789</v>
      </c>
      <c r="G1890" s="1102">
        <v>1.0304689610637525</v>
      </c>
      <c r="H1890" s="1102">
        <v>1.0316568696251927</v>
      </c>
      <c r="I1890" s="1102">
        <v>1.0399989126851596</v>
      </c>
      <c r="K1890">
        <v>1.6184208565745282</v>
      </c>
      <c r="L1890">
        <v>0</v>
      </c>
      <c r="M1890">
        <v>1.6023438291163008E-3</v>
      </c>
      <c r="N1890">
        <v>0.15685694103005052</v>
      </c>
      <c r="O1890">
        <v>0.1249578453911801</v>
      </c>
      <c r="P1890">
        <v>1.6385585265363822E-2</v>
      </c>
      <c r="Q1890">
        <v>9.5202907337187212E-4</v>
      </c>
      <c r="R1890">
        <v>1.5988184777822958E-3</v>
      </c>
      <c r="S1890">
        <v>0.13195386233049242</v>
      </c>
      <c r="T1890">
        <v>0.84052769082834078</v>
      </c>
      <c r="U1890">
        <v>0</v>
      </c>
      <c r="V1890">
        <v>0.21114973070182042</v>
      </c>
      <c r="W1890">
        <v>0.10180763694392932</v>
      </c>
      <c r="X1890">
        <v>2.9481603515158692E-2</v>
      </c>
      <c r="Y1890">
        <v>4.351456846153858E-3</v>
      </c>
    </row>
    <row r="1891" spans="1:25" x14ac:dyDescent="0.25">
      <c r="A1891" s="1098"/>
      <c r="B1891" s="1457">
        <v>1641</v>
      </c>
      <c r="C1891" s="1102">
        <v>1.046841680960831</v>
      </c>
      <c r="D1891" s="1102">
        <v>0.99509491455306454</v>
      </c>
      <c r="E1891" s="1102">
        <v>1.0196550236650044</v>
      </c>
      <c r="F1891" s="1102">
        <v>1.0039003290303967</v>
      </c>
      <c r="G1891" s="1102">
        <v>1.0278911119883296</v>
      </c>
      <c r="H1891" s="1102">
        <v>1.0011883075356316</v>
      </c>
      <c r="I1891" s="1102">
        <v>0.99573806531934539</v>
      </c>
      <c r="K1891">
        <v>1.5454685998017044</v>
      </c>
      <c r="L1891">
        <v>0</v>
      </c>
      <c r="M1891">
        <v>1.441759235791006E-3</v>
      </c>
      <c r="N1891">
        <v>0.14077770585084692</v>
      </c>
      <c r="O1891">
        <v>0.11947582364434976</v>
      </c>
      <c r="P1891">
        <v>1.5841728853156913E-2</v>
      </c>
      <c r="Q1891">
        <v>8.7788651448615076E-4</v>
      </c>
      <c r="R1891">
        <v>1.438500093634551E-3</v>
      </c>
      <c r="S1891">
        <v>0.11442238309271395</v>
      </c>
      <c r="T1891">
        <v>0.82717199829154753</v>
      </c>
      <c r="U1891">
        <v>0</v>
      </c>
      <c r="V1891">
        <v>0.20345957682665358</v>
      </c>
      <c r="W1891">
        <v>9.141554478632101E-2</v>
      </c>
      <c r="X1891">
        <v>2.8114088030340385E-2</v>
      </c>
      <c r="Y1891">
        <v>3.9151230534448253E-3</v>
      </c>
    </row>
    <row r="1892" spans="1:25" x14ac:dyDescent="0.25">
      <c r="A1892" s="1098"/>
      <c r="B1892" s="1457">
        <v>1642</v>
      </c>
      <c r="C1892" s="1102">
        <v>0.99778885282180252</v>
      </c>
      <c r="D1892" s="1102">
        <v>0.99915502118104993</v>
      </c>
      <c r="E1892" s="1102">
        <v>1.0193248318340244</v>
      </c>
      <c r="F1892" s="1102">
        <v>1.0085953736104338</v>
      </c>
      <c r="G1892" s="1102">
        <v>1.0432461722524751</v>
      </c>
      <c r="H1892" s="1102">
        <v>1.0128639953292526</v>
      </c>
      <c r="I1892" s="1102">
        <v>1.0308910893728425</v>
      </c>
      <c r="K1892">
        <v>1.5810394660425553</v>
      </c>
      <c r="L1892">
        <v>0</v>
      </c>
      <c r="M1892">
        <v>1.5230666771690832E-3</v>
      </c>
      <c r="N1892">
        <v>0.14857135707087765</v>
      </c>
      <c r="O1892">
        <v>0.12207302037770959</v>
      </c>
      <c r="P1892">
        <v>1.6100209171504669E-2</v>
      </c>
      <c r="Q1892">
        <v>9.1923434460262324E-4</v>
      </c>
      <c r="R1892">
        <v>1.5196505293081039E-3</v>
      </c>
      <c r="S1892">
        <v>0.12468562502611008</v>
      </c>
      <c r="T1892">
        <v>0.83106229413750721</v>
      </c>
      <c r="U1892">
        <v>0</v>
      </c>
      <c r="V1892">
        <v>0.20826005484413998</v>
      </c>
      <c r="W1892">
        <v>9.6495084116982266E-2</v>
      </c>
      <c r="X1892">
        <v>2.8740015312866688E-2</v>
      </c>
      <c r="Y1892">
        <v>4.1359877881143054E-3</v>
      </c>
    </row>
    <row r="1893" spans="1:25" x14ac:dyDescent="0.25">
      <c r="A1893" s="1098"/>
      <c r="B1893" s="1457">
        <v>1643</v>
      </c>
      <c r="C1893" s="1102">
        <v>0.97803884932330243</v>
      </c>
      <c r="D1893" s="1102">
        <v>0.977125635186884</v>
      </c>
      <c r="E1893" s="1102">
        <v>0.97955081460826532</v>
      </c>
      <c r="F1893" s="1102">
        <v>1.0037961527720198</v>
      </c>
      <c r="G1893" s="1102">
        <v>1.015712929319871</v>
      </c>
      <c r="H1893" s="1102">
        <v>0.97589866082323762</v>
      </c>
      <c r="I1893" s="1102">
        <v>1.0303614871145566</v>
      </c>
      <c r="K1893">
        <v>1.5732969039669118</v>
      </c>
      <c r="L1893">
        <v>0</v>
      </c>
      <c r="M1893">
        <v>1.6434246551297158E-3</v>
      </c>
      <c r="N1893">
        <v>0.1421481705871854</v>
      </c>
      <c r="O1893">
        <v>0.12387884878891732</v>
      </c>
      <c r="P1893">
        <v>1.5632873309907726E-2</v>
      </c>
      <c r="Q1893">
        <v>9.0795957210719317E-4</v>
      </c>
      <c r="R1893">
        <v>1.6396059211319556E-3</v>
      </c>
      <c r="S1893">
        <v>0.12547427280512946</v>
      </c>
      <c r="T1893">
        <v>0.8297441649724161</v>
      </c>
      <c r="U1893">
        <v>0</v>
      </c>
      <c r="V1893">
        <v>0.20908619151105465</v>
      </c>
      <c r="W1893">
        <v>9.4532896361668839E-2</v>
      </c>
      <c r="X1893">
        <v>2.7432877971149475E-2</v>
      </c>
      <c r="Y1893">
        <v>4.4624668213745439E-3</v>
      </c>
    </row>
    <row r="1894" spans="1:25" x14ac:dyDescent="0.25">
      <c r="A1894" s="1098"/>
      <c r="B1894" s="1457">
        <v>1644</v>
      </c>
      <c r="C1894" s="1102">
        <v>0.95614023375284796</v>
      </c>
      <c r="D1894" s="1102">
        <v>1.0288765970898726</v>
      </c>
      <c r="E1894" s="1102">
        <v>0.992273873734138</v>
      </c>
      <c r="F1894" s="1102">
        <v>1.0195749975020736</v>
      </c>
      <c r="G1894" s="1102">
        <v>1.021768699304102</v>
      </c>
      <c r="H1894" s="1102">
        <v>0.98720166663934283</v>
      </c>
      <c r="I1894" s="1102">
        <v>1.0257882563287215</v>
      </c>
      <c r="K1894">
        <v>1.5903691162388167</v>
      </c>
      <c r="L1894">
        <v>0</v>
      </c>
      <c r="M1894">
        <v>1.6080128936777937E-3</v>
      </c>
      <c r="N1894">
        <v>0.14454223332148344</v>
      </c>
      <c r="O1894">
        <v>0.12382853076803503</v>
      </c>
      <c r="P1894">
        <v>1.5960874676719347E-2</v>
      </c>
      <c r="Q1894">
        <v>9.219514506007239E-4</v>
      </c>
      <c r="R1894">
        <v>1.6042859538964881E-3</v>
      </c>
      <c r="S1894">
        <v>0.12483869438093982</v>
      </c>
      <c r="T1894">
        <v>0.8419248155341359</v>
      </c>
      <c r="U1894">
        <v>0</v>
      </c>
      <c r="V1894">
        <v>0.2105918496855847</v>
      </c>
      <c r="W1894">
        <v>9.5392792859424674E-2</v>
      </c>
      <c r="X1894">
        <v>2.8004762987890668E-2</v>
      </c>
      <c r="Y1894">
        <v>4.3663375137836698E-3</v>
      </c>
    </row>
    <row r="1895" spans="1:25" x14ac:dyDescent="0.25">
      <c r="A1895" s="1098"/>
      <c r="B1895" s="1457">
        <v>1645</v>
      </c>
      <c r="C1895" s="1102">
        <v>0.96018547963326562</v>
      </c>
      <c r="D1895" s="1102">
        <v>1.0012306494022316</v>
      </c>
      <c r="E1895" s="1102">
        <v>1.024347097115001</v>
      </c>
      <c r="F1895" s="1102">
        <v>0.99796373495472068</v>
      </c>
      <c r="G1895" s="1102">
        <v>0.99089416953512344</v>
      </c>
      <c r="H1895" s="1102">
        <v>0.96614883021516895</v>
      </c>
      <c r="I1895" s="1102">
        <v>1.0029778497260211</v>
      </c>
      <c r="K1895">
        <v>1.5681681678618571</v>
      </c>
      <c r="L1895">
        <v>0</v>
      </c>
      <c r="M1895">
        <v>1.4867931786478707E-3</v>
      </c>
      <c r="N1895">
        <v>0.14722940383437819</v>
      </c>
      <c r="O1895">
        <v>0.12320537398215634</v>
      </c>
      <c r="P1895">
        <v>1.5997283317634801E-2</v>
      </c>
      <c r="Q1895">
        <v>9.59366597799801E-4</v>
      </c>
      <c r="R1895">
        <v>1.4832830729525159E-3</v>
      </c>
      <c r="S1895">
        <v>0.12175224308608353</v>
      </c>
      <c r="T1895">
        <v>0.82197470906044623</v>
      </c>
      <c r="U1895">
        <v>0</v>
      </c>
      <c r="V1895">
        <v>0.20859291144088188</v>
      </c>
      <c r="W1895">
        <v>9.5343350117083822E-2</v>
      </c>
      <c r="X1895">
        <v>2.9080028970644156E-2</v>
      </c>
      <c r="Y1895">
        <v>4.0370075604431619E-3</v>
      </c>
    </row>
    <row r="1896" spans="1:25" x14ac:dyDescent="0.25">
      <c r="A1896" s="1098"/>
      <c r="B1896" s="1457">
        <v>1646</v>
      </c>
      <c r="C1896" s="1102">
        <v>0.9908089330536255</v>
      </c>
      <c r="D1896" s="1102">
        <v>0.99028807975682809</v>
      </c>
      <c r="E1896" s="1102">
        <v>1.0230996170417588</v>
      </c>
      <c r="F1896" s="1102">
        <v>0.97154154461857622</v>
      </c>
      <c r="G1896" s="1102">
        <v>1.0074976404031259</v>
      </c>
      <c r="H1896" s="1102">
        <v>0.99747786632055013</v>
      </c>
      <c r="I1896" s="1102">
        <v>1.0152437544967907</v>
      </c>
      <c r="K1896">
        <v>1.5419696202720601</v>
      </c>
      <c r="L1896">
        <v>0</v>
      </c>
      <c r="M1896">
        <v>1.5010793997504877E-3</v>
      </c>
      <c r="N1896">
        <v>0.14809759651857607</v>
      </c>
      <c r="O1896">
        <v>0.12018999875772104</v>
      </c>
      <c r="P1896">
        <v>1.5654568486276332E-2</v>
      </c>
      <c r="Q1896">
        <v>9.3261880080190436E-4</v>
      </c>
      <c r="R1896">
        <v>1.4976539127154501E-3</v>
      </c>
      <c r="S1896">
        <v>0.12278654743242544</v>
      </c>
      <c r="T1896">
        <v>0.800291100820405</v>
      </c>
      <c r="U1896">
        <v>0</v>
      </c>
      <c r="V1896">
        <v>0.20557958923209266</v>
      </c>
      <c r="W1896">
        <v>9.5975394260936944E-2</v>
      </c>
      <c r="X1896">
        <v>2.8389511200927638E-2</v>
      </c>
      <c r="Y1896">
        <v>4.0761202489318134E-3</v>
      </c>
    </row>
    <row r="1897" spans="1:25" x14ac:dyDescent="0.25">
      <c r="A1897" s="1098"/>
      <c r="B1897" s="1457">
        <v>1647</v>
      </c>
      <c r="C1897" s="1102">
        <v>1.0122612342412918</v>
      </c>
      <c r="D1897" s="1102">
        <v>0.99831428151211909</v>
      </c>
      <c r="E1897" s="1102">
        <v>0.97113752678121845</v>
      </c>
      <c r="F1897" s="1102">
        <v>0.99251588357708909</v>
      </c>
      <c r="G1897" s="1102">
        <v>0.98554784194733713</v>
      </c>
      <c r="H1897" s="1102">
        <v>1.0046354540686961</v>
      </c>
      <c r="I1897" s="1102">
        <v>0.9958055721378043</v>
      </c>
      <c r="K1897">
        <v>1.5414774908463629</v>
      </c>
      <c r="L1897">
        <v>0</v>
      </c>
      <c r="M1897">
        <v>1.6460069623274556E-3</v>
      </c>
      <c r="N1897">
        <v>0.13880054356182187</v>
      </c>
      <c r="O1897">
        <v>0.12038327956356813</v>
      </c>
      <c r="P1897">
        <v>1.5242639097227595E-2</v>
      </c>
      <c r="Q1897">
        <v>8.6211395236081094E-4</v>
      </c>
      <c r="R1897">
        <v>1.6422847093535481E-3</v>
      </c>
      <c r="S1897">
        <v>0.118031693451309</v>
      </c>
      <c r="T1897">
        <v>0.82097770578912177</v>
      </c>
      <c r="U1897">
        <v>0</v>
      </c>
      <c r="V1897">
        <v>0.20355485370438722</v>
      </c>
      <c r="W1897">
        <v>9.2778489787234131E-2</v>
      </c>
      <c r="X1897">
        <v>2.6380136592454338E-2</v>
      </c>
      <c r="Y1897">
        <v>4.4697575998514181E-3</v>
      </c>
    </row>
    <row r="1898" spans="1:25" x14ac:dyDescent="0.25">
      <c r="A1898" s="1098"/>
      <c r="B1898" s="1457">
        <v>1648</v>
      </c>
      <c r="C1898" s="1102">
        <v>1.0479535217460467</v>
      </c>
      <c r="D1898" s="1102">
        <v>1.0022621360114752</v>
      </c>
      <c r="E1898" s="1102">
        <v>0.99010145832377339</v>
      </c>
      <c r="F1898" s="1102">
        <v>0.96905684384175206</v>
      </c>
      <c r="G1898" s="1102">
        <v>1.0285578205057357</v>
      </c>
      <c r="H1898" s="1102">
        <v>1.0107066607247579</v>
      </c>
      <c r="I1898" s="1102">
        <v>1.0137044982051793</v>
      </c>
      <c r="K1898">
        <v>1.5091164145472133</v>
      </c>
      <c r="L1898">
        <v>0</v>
      </c>
      <c r="M1898">
        <v>1.5356822850017395E-3</v>
      </c>
      <c r="N1898">
        <v>0.13714653093637269</v>
      </c>
      <c r="O1898">
        <v>0.11678565225933847</v>
      </c>
      <c r="P1898">
        <v>1.5132040000877357E-2</v>
      </c>
      <c r="Q1898">
        <v>8.4812059415626038E-4</v>
      </c>
      <c r="R1898">
        <v>1.5322305369873019E-3</v>
      </c>
      <c r="S1898">
        <v>0.11634271872849093</v>
      </c>
      <c r="T1898">
        <v>0.80034848836278238</v>
      </c>
      <c r="U1898">
        <v>0</v>
      </c>
      <c r="V1898">
        <v>0.20135332058013741</v>
      </c>
      <c r="W1898">
        <v>9.062964820523052E-2</v>
      </c>
      <c r="X1898">
        <v>2.6363120205822904E-2</v>
      </c>
      <c r="Y1898">
        <v>4.1702264220186665E-3</v>
      </c>
    </row>
    <row r="1899" spans="1:25" x14ac:dyDescent="0.25">
      <c r="A1899" s="1098"/>
      <c r="B1899" s="1457">
        <v>1649</v>
      </c>
      <c r="C1899" s="1102">
        <v>1.0178037605313766</v>
      </c>
      <c r="D1899" s="1102">
        <v>0.98767794444160673</v>
      </c>
      <c r="E1899" s="1102">
        <v>0.96712432340958565</v>
      </c>
      <c r="F1899" s="1102">
        <v>0.99164588879304583</v>
      </c>
      <c r="G1899" s="1102">
        <v>1.0254085279957919</v>
      </c>
      <c r="H1899" s="1102">
        <v>0.9774525764135551</v>
      </c>
      <c r="I1899" s="1102">
        <v>1.0204671840789725</v>
      </c>
      <c r="K1899">
        <v>1.53669835762687</v>
      </c>
      <c r="L1899">
        <v>0</v>
      </c>
      <c r="M1899">
        <v>1.6163138060053901E-3</v>
      </c>
      <c r="N1899">
        <v>0.13464253133420653</v>
      </c>
      <c r="O1899">
        <v>0.12052156202262376</v>
      </c>
      <c r="P1899">
        <v>1.5222818134253014E-2</v>
      </c>
      <c r="Q1899">
        <v>8.5746588092759505E-4</v>
      </c>
      <c r="R1899">
        <v>1.6125650007464492E-3</v>
      </c>
      <c r="S1899">
        <v>0.11891062532875457</v>
      </c>
      <c r="T1899">
        <v>0.82052475098144706</v>
      </c>
      <c r="U1899">
        <v>0</v>
      </c>
      <c r="V1899">
        <v>0.20516297453834115</v>
      </c>
      <c r="W1899">
        <v>9.0219398505672829E-2</v>
      </c>
      <c r="X1899">
        <v>2.6251109355779366E-2</v>
      </c>
      <c r="Y1899">
        <v>4.388870350122206E-3</v>
      </c>
    </row>
    <row r="1900" spans="1:25" x14ac:dyDescent="0.25">
      <c r="A1900" s="1098"/>
      <c r="B1900" s="1457">
        <v>1650</v>
      </c>
      <c r="C1900" s="1102">
        <v>1.0221201077966759</v>
      </c>
      <c r="D1900" s="1102">
        <v>1.0145027640082238</v>
      </c>
      <c r="E1900" s="1102">
        <v>1.0062243044909691</v>
      </c>
      <c r="F1900" s="1102">
        <v>0.98570322858628334</v>
      </c>
      <c r="G1900" s="1102">
        <v>0.97999112886486461</v>
      </c>
      <c r="H1900" s="1102">
        <v>0.97144048766334634</v>
      </c>
      <c r="I1900" s="1102">
        <v>0.99379901828212858</v>
      </c>
      <c r="K1900">
        <v>1.5194409861880289</v>
      </c>
      <c r="L1900">
        <v>0</v>
      </c>
      <c r="M1900">
        <v>1.4527609675432979E-3</v>
      </c>
      <c r="N1900">
        <v>0.13620500358474366</v>
      </c>
      <c r="O1900">
        <v>0.1186192350102256</v>
      </c>
      <c r="P1900">
        <v>1.5449996541213431E-2</v>
      </c>
      <c r="Q1900">
        <v>8.7994565340221409E-4</v>
      </c>
      <c r="R1900">
        <v>1.4493549242698674E-3</v>
      </c>
      <c r="S1900">
        <v>0.11308245931574973</v>
      </c>
      <c r="T1900">
        <v>0.81304675295066919</v>
      </c>
      <c r="U1900">
        <v>0</v>
      </c>
      <c r="V1900">
        <v>0.20173217622971248</v>
      </c>
      <c r="W1900">
        <v>8.9147836895155264E-2</v>
      </c>
      <c r="X1900">
        <v>2.7336319726289606E-2</v>
      </c>
      <c r="Y1900">
        <v>3.9446663241401985E-3</v>
      </c>
    </row>
    <row r="1901" spans="1:25" x14ac:dyDescent="0.25">
      <c r="A1901" s="1098"/>
      <c r="B1901" s="1457">
        <v>1651</v>
      </c>
      <c r="C1901" s="1102">
        <v>0.97545894853797532</v>
      </c>
      <c r="D1901" s="1102">
        <v>1.0069547789350026</v>
      </c>
      <c r="E1901" s="1102">
        <v>1.0048069827717294</v>
      </c>
      <c r="F1901" s="1102">
        <v>0.99391198136159309</v>
      </c>
      <c r="G1901" s="1102">
        <v>1.0328068981310286</v>
      </c>
      <c r="H1901" s="1102">
        <v>0.99850455458103282</v>
      </c>
      <c r="I1901" s="1102">
        <v>0.99761781862160948</v>
      </c>
      <c r="K1901">
        <v>1.5637502147565192</v>
      </c>
      <c r="L1901">
        <v>0</v>
      </c>
      <c r="M1901">
        <v>1.5715365258148835E-3</v>
      </c>
      <c r="N1901">
        <v>0.14672043076301894</v>
      </c>
      <c r="O1901">
        <v>0.12189965336585366</v>
      </c>
      <c r="P1901">
        <v>1.5737379887561416E-2</v>
      </c>
      <c r="Q1901">
        <v>9.2344232012752975E-4</v>
      </c>
      <c r="R1901">
        <v>1.567946328643166E-3</v>
      </c>
      <c r="S1901">
        <v>0.1214381479414282</v>
      </c>
      <c r="T1901">
        <v>0.81991039738206495</v>
      </c>
      <c r="U1901">
        <v>0</v>
      </c>
      <c r="V1901">
        <v>0.20869226719154815</v>
      </c>
      <c r="W1901">
        <v>9.611088865569381E-2</v>
      </c>
      <c r="X1901">
        <v>2.8053764413195712E-2</v>
      </c>
      <c r="Y1901">
        <v>4.2674330331983739E-3</v>
      </c>
    </row>
    <row r="1902" spans="1:25" x14ac:dyDescent="0.25">
      <c r="A1902" s="1098"/>
      <c r="B1902" s="1457">
        <v>1652</v>
      </c>
      <c r="C1902" s="1102">
        <v>1.0358289311259392</v>
      </c>
      <c r="D1902" s="1102">
        <v>0.97063588957756586</v>
      </c>
      <c r="E1902" s="1102">
        <v>1.0240406645210538</v>
      </c>
      <c r="F1902" s="1102">
        <v>1.0028388496347</v>
      </c>
      <c r="G1902" s="1102">
        <v>1.0050955133985751</v>
      </c>
      <c r="H1902" s="1102">
        <v>1.0303715357964383</v>
      </c>
      <c r="I1902" s="1102">
        <v>1.0020578475564264</v>
      </c>
      <c r="K1902">
        <v>1.5665158523907865</v>
      </c>
      <c r="L1902">
        <v>0</v>
      </c>
      <c r="M1902">
        <v>1.5058887576492321E-3</v>
      </c>
      <c r="N1902">
        <v>0.14900824450666017</v>
      </c>
      <c r="O1902">
        <v>0.12101678345839774</v>
      </c>
      <c r="P1902">
        <v>1.5966296086386843E-2</v>
      </c>
      <c r="Q1902">
        <v>9.0013280169963256E-4</v>
      </c>
      <c r="R1902">
        <v>1.5025922394274326E-3</v>
      </c>
      <c r="S1902">
        <v>0.12034676015571913</v>
      </c>
      <c r="T1902">
        <v>0.82601015248864451</v>
      </c>
      <c r="U1902">
        <v>0</v>
      </c>
      <c r="V1902">
        <v>0.20399477299602178</v>
      </c>
      <c r="W1902">
        <v>9.6512542421578709E-2</v>
      </c>
      <c r="X1902">
        <v>2.8673903247577189E-2</v>
      </c>
      <c r="Y1902">
        <v>4.0895607463228663E-3</v>
      </c>
    </row>
    <row r="1903" spans="1:25" x14ac:dyDescent="0.25">
      <c r="A1903" s="1098"/>
      <c r="B1903" s="1457">
        <v>1653</v>
      </c>
      <c r="C1903" s="1102">
        <v>1.0242067907225942</v>
      </c>
      <c r="D1903" s="1102">
        <v>1.0165209561974466</v>
      </c>
      <c r="E1903" s="1102">
        <v>0.99207746837525157</v>
      </c>
      <c r="F1903" s="1102">
        <v>0.9858089848355418</v>
      </c>
      <c r="G1903" s="1102">
        <v>0.97813913104616867</v>
      </c>
      <c r="H1903" s="1102">
        <v>0.98532222017312909</v>
      </c>
      <c r="I1903" s="1102">
        <v>0.98507112079070458</v>
      </c>
      <c r="K1903">
        <v>1.5193496755678584</v>
      </c>
      <c r="L1903">
        <v>0</v>
      </c>
      <c r="M1903">
        <v>1.5128315712610659E-3</v>
      </c>
      <c r="N1903">
        <v>0.135906583421503</v>
      </c>
      <c r="O1903">
        <v>0.11847900329612809</v>
      </c>
      <c r="P1903">
        <v>1.5292423020495549E-2</v>
      </c>
      <c r="Q1903">
        <v>8.6467314020930689E-4</v>
      </c>
      <c r="R1903">
        <v>1.5093340382934331E-3</v>
      </c>
      <c r="S1903">
        <v>0.11276318646682977</v>
      </c>
      <c r="T1903">
        <v>0.81405500462262192</v>
      </c>
      <c r="U1903">
        <v>0</v>
      </c>
      <c r="V1903">
        <v>0.20140398575412749</v>
      </c>
      <c r="W1903">
        <v>8.9704103205546226E-2</v>
      </c>
      <c r="X1903">
        <v>2.6776300472961475E-2</v>
      </c>
      <c r="Y1903">
        <v>4.1079097004027209E-3</v>
      </c>
    </row>
    <row r="1904" spans="1:25" x14ac:dyDescent="0.25">
      <c r="A1904" s="1098"/>
      <c r="B1904" s="1457">
        <v>1654</v>
      </c>
      <c r="C1904" s="1102">
        <v>1.0164336492606505</v>
      </c>
      <c r="D1904" s="1102">
        <v>1.0282766893371462</v>
      </c>
      <c r="E1904" s="1102">
        <v>1.0013723100524305</v>
      </c>
      <c r="F1904" s="1102">
        <v>1.0256448171986763</v>
      </c>
      <c r="G1904" s="1102">
        <v>1.001243740377167</v>
      </c>
      <c r="H1904" s="1102">
        <v>0.96035359554760558</v>
      </c>
      <c r="I1904" s="1102">
        <v>1.0061172828987086</v>
      </c>
      <c r="K1904">
        <v>1.5562663355466</v>
      </c>
      <c r="L1904">
        <v>0</v>
      </c>
      <c r="M1904">
        <v>1.4513268316586122E-3</v>
      </c>
      <c r="N1904">
        <v>0.13408743144052085</v>
      </c>
      <c r="O1904">
        <v>0.12108144902489858</v>
      </c>
      <c r="P1904">
        <v>1.5896142295926799E-2</v>
      </c>
      <c r="Q1904">
        <v>8.7570072735226369E-4</v>
      </c>
      <c r="R1904">
        <v>1.4478856793650888E-3</v>
      </c>
      <c r="S1904">
        <v>0.11351986503785394</v>
      </c>
      <c r="T1904">
        <v>0.8463200480813059</v>
      </c>
      <c r="U1904">
        <v>0</v>
      </c>
      <c r="V1904">
        <v>0.20479521794389438</v>
      </c>
      <c r="W1904">
        <v>8.8014549980865428E-2</v>
      </c>
      <c r="X1904">
        <v>2.773870464242837E-2</v>
      </c>
      <c r="Y1904">
        <v>3.9406675238458444E-3</v>
      </c>
    </row>
    <row r="1905" spans="1:25" x14ac:dyDescent="0.25">
      <c r="A1905" s="1098"/>
      <c r="B1905" s="1457">
        <v>1655</v>
      </c>
      <c r="C1905" s="1102">
        <v>0.9920235006291177</v>
      </c>
      <c r="D1905" s="1102">
        <v>1.0091352754642957</v>
      </c>
      <c r="E1905" s="1102">
        <v>0.97644699924574063</v>
      </c>
      <c r="F1905" s="1102">
        <v>1.0021079938812287</v>
      </c>
      <c r="G1905" s="1102">
        <v>1.0349302884962921</v>
      </c>
      <c r="H1905" s="1102">
        <v>0.99305160431010986</v>
      </c>
      <c r="I1905" s="1102">
        <v>0.98111485736891735</v>
      </c>
      <c r="K1905">
        <v>1.5552366851840624</v>
      </c>
      <c r="L1905">
        <v>0</v>
      </c>
      <c r="M1905">
        <v>1.6309000847090061E-3</v>
      </c>
      <c r="N1905">
        <v>0.13975032344763266</v>
      </c>
      <c r="O1905">
        <v>0.1215979571884139</v>
      </c>
      <c r="P1905">
        <v>1.5446713721199119E-2</v>
      </c>
      <c r="Q1905">
        <v>8.8081957048966031E-4</v>
      </c>
      <c r="R1905">
        <v>1.6271594923586378E-3</v>
      </c>
      <c r="S1905">
        <v>0.11695101463439493</v>
      </c>
      <c r="T1905">
        <v>0.82855625797854826</v>
      </c>
      <c r="U1905">
        <v>0</v>
      </c>
      <c r="V1905">
        <v>0.20766399266503208</v>
      </c>
      <c r="W1905">
        <v>9.3112875672045139E-2</v>
      </c>
      <c r="X1905">
        <v>2.6851879153438011E-2</v>
      </c>
      <c r="Y1905">
        <v>4.4285917452177156E-3</v>
      </c>
    </row>
    <row r="1906" spans="1:25" x14ac:dyDescent="0.25">
      <c r="A1906" s="1098"/>
      <c r="B1906" s="1457">
        <v>1656</v>
      </c>
      <c r="C1906" s="1102">
        <v>0.96386030990247062</v>
      </c>
      <c r="D1906" s="1102">
        <v>1.0084177444970504</v>
      </c>
      <c r="E1906" s="1102">
        <v>1.0327429664702104</v>
      </c>
      <c r="F1906" s="1102">
        <v>0.96285623793062192</v>
      </c>
      <c r="G1906" s="1102">
        <v>1.0147144769976177</v>
      </c>
      <c r="H1906" s="1102">
        <v>0.99909142391451533</v>
      </c>
      <c r="I1906" s="1102">
        <v>1.0200604940216649</v>
      </c>
      <c r="K1906">
        <v>1.5446177958868805</v>
      </c>
      <c r="L1906">
        <v>0</v>
      </c>
      <c r="M1906">
        <v>1.4952247178103158E-3</v>
      </c>
      <c r="N1906">
        <v>0.15187063566332928</v>
      </c>
      <c r="O1906">
        <v>0.12015269274165602</v>
      </c>
      <c r="P1906">
        <v>1.5716551742272968E-2</v>
      </c>
      <c r="Q1906">
        <v>9.6118446559190684E-4</v>
      </c>
      <c r="R1906">
        <v>1.4917984421780968E-3</v>
      </c>
      <c r="S1906">
        <v>0.12537924271456191</v>
      </c>
      <c r="T1906">
        <v>0.79253215141088462</v>
      </c>
      <c r="U1906">
        <v>0</v>
      </c>
      <c r="V1906">
        <v>0.20727862329517202</v>
      </c>
      <c r="W1906">
        <v>9.7870242732453885E-2</v>
      </c>
      <c r="X1906">
        <v>2.8799713808203901E-2</v>
      </c>
      <c r="Y1906">
        <v>4.0601835883844811E-3</v>
      </c>
    </row>
    <row r="1907" spans="1:25" x14ac:dyDescent="0.25">
      <c r="A1907" s="1098"/>
      <c r="B1907" s="1457">
        <v>1657</v>
      </c>
      <c r="C1907" s="1102">
        <v>1.0126023451632062</v>
      </c>
      <c r="D1907" s="1102">
        <v>1.0388292557501182</v>
      </c>
      <c r="E1907" s="1102">
        <v>0.97943166144668803</v>
      </c>
      <c r="F1907" s="1102">
        <v>1.0005732317832656</v>
      </c>
      <c r="G1907" s="1102">
        <v>1.0400138098277276</v>
      </c>
      <c r="H1907" s="1102">
        <v>0.97995611077897282</v>
      </c>
      <c r="I1907" s="1102">
        <v>1.0118569394282455</v>
      </c>
      <c r="K1907">
        <v>1.5358831119377989</v>
      </c>
      <c r="L1907">
        <v>0</v>
      </c>
      <c r="M1907">
        <v>1.5434956847417067E-3</v>
      </c>
      <c r="N1907">
        <v>0.13345551144700232</v>
      </c>
      <c r="O1907">
        <v>0.1191693804545787</v>
      </c>
      <c r="P1907">
        <v>1.5406410574508953E-2</v>
      </c>
      <c r="Q1907">
        <v>8.5564169554367645E-4</v>
      </c>
      <c r="R1907">
        <v>1.5398956551286897E-3</v>
      </c>
      <c r="S1907">
        <v>0.11522868474590943</v>
      </c>
      <c r="T1907">
        <v>0.82708802756993915</v>
      </c>
      <c r="U1907">
        <v>0</v>
      </c>
      <c r="V1907">
        <v>0.20523730051602132</v>
      </c>
      <c r="W1907">
        <v>8.8758399519247438E-2</v>
      </c>
      <c r="X1907">
        <v>2.6496267097868193E-2</v>
      </c>
      <c r="Y1907">
        <v>4.1910883467940066E-3</v>
      </c>
    </row>
    <row r="1908" spans="1:25" x14ac:dyDescent="0.25">
      <c r="A1908" s="1098"/>
      <c r="B1908" s="1457">
        <v>1658</v>
      </c>
      <c r="C1908" s="1102">
        <v>0.99243692075993883</v>
      </c>
      <c r="D1908" s="1102">
        <v>0.99308320019542506</v>
      </c>
      <c r="E1908" s="1102">
        <v>1.0315968525083727</v>
      </c>
      <c r="F1908" s="1102">
        <v>0.97375594351768913</v>
      </c>
      <c r="G1908" s="1102">
        <v>0.99274517215038938</v>
      </c>
      <c r="H1908" s="1102">
        <v>0.97206685396352821</v>
      </c>
      <c r="I1908" s="1102">
        <v>1.0206469075378288</v>
      </c>
      <c r="K1908">
        <v>1.5353064874224618</v>
      </c>
      <c r="L1908">
        <v>0</v>
      </c>
      <c r="M1908">
        <v>1.432973939922722E-3</v>
      </c>
      <c r="N1908">
        <v>0.14503851916070268</v>
      </c>
      <c r="O1908">
        <v>0.12011638565405693</v>
      </c>
      <c r="P1908">
        <v>1.573415555554394E-2</v>
      </c>
      <c r="Q1908">
        <v>9.381505245527682E-4</v>
      </c>
      <c r="R1908">
        <v>1.4296178548801148E-3</v>
      </c>
      <c r="S1908">
        <v>0.12099715169926853</v>
      </c>
      <c r="T1908">
        <v>0.80157627149682842</v>
      </c>
      <c r="U1908">
        <v>0</v>
      </c>
      <c r="V1908">
        <v>0.20482201803305794</v>
      </c>
      <c r="W1908">
        <v>9.3529508604522277E-2</v>
      </c>
      <c r="X1908">
        <v>2.8666734251385276E-2</v>
      </c>
      <c r="Y1908">
        <v>3.8909485275844678E-3</v>
      </c>
    </row>
    <row r="1909" spans="1:25" x14ac:dyDescent="0.25">
      <c r="A1909" s="1098"/>
      <c r="B1909" s="1457">
        <v>1659</v>
      </c>
      <c r="C1909" s="1102">
        <v>1.0162643084076439</v>
      </c>
      <c r="D1909" s="1102">
        <v>0.97758817644648721</v>
      </c>
      <c r="E1909" s="1102">
        <v>1.0251294802565927</v>
      </c>
      <c r="F1909" s="1102">
        <v>1.0043296165841971</v>
      </c>
      <c r="G1909" s="1102">
        <v>0.99957842732965818</v>
      </c>
      <c r="H1909" s="1102">
        <v>0.98697022175294835</v>
      </c>
      <c r="I1909" s="1102">
        <v>1.0192840315033005</v>
      </c>
      <c r="K1909">
        <v>1.5630726139777187</v>
      </c>
      <c r="L1909">
        <v>0</v>
      </c>
      <c r="M1909">
        <v>1.4590717494475324E-3</v>
      </c>
      <c r="N1909">
        <v>0.14483573503613512</v>
      </c>
      <c r="O1909">
        <v>0.12177878158665414</v>
      </c>
      <c r="P1909">
        <v>1.601573406183137E-2</v>
      </c>
      <c r="Q1909">
        <v>9.1586618782313377E-4</v>
      </c>
      <c r="R1909">
        <v>1.455728933602828E-3</v>
      </c>
      <c r="S1909">
        <v>0.12063364960229964</v>
      </c>
      <c r="T1909">
        <v>0.8271667356705168</v>
      </c>
      <c r="U1909">
        <v>0</v>
      </c>
      <c r="V1909">
        <v>0.20519492035788564</v>
      </c>
      <c r="W1909">
        <v>9.375048622594627E-2</v>
      </c>
      <c r="X1909">
        <v>2.8822033788117311E-2</v>
      </c>
      <c r="Y1909">
        <v>3.9620142763529065E-3</v>
      </c>
    </row>
    <row r="1910" spans="1:25" x14ac:dyDescent="0.25">
      <c r="A1910" s="1098"/>
      <c r="B1910" s="1457">
        <v>1660</v>
      </c>
      <c r="C1910" s="1102">
        <v>0.96817033157927279</v>
      </c>
      <c r="D1910" s="1102">
        <v>0.99228276042317887</v>
      </c>
      <c r="E1910" s="1102">
        <v>1.0126260420822724</v>
      </c>
      <c r="F1910" s="1102">
        <v>0.98151406974697653</v>
      </c>
      <c r="G1910" s="1102">
        <v>0.99833237079068948</v>
      </c>
      <c r="H1910" s="1102">
        <v>0.98678209693186913</v>
      </c>
      <c r="I1910" s="1102">
        <v>1.0217704964541978</v>
      </c>
      <c r="K1910">
        <v>1.5581175048494273</v>
      </c>
      <c r="L1910">
        <v>0</v>
      </c>
      <c r="M1910">
        <v>1.5499433990530237E-3</v>
      </c>
      <c r="N1910">
        <v>0.14815755078947304</v>
      </c>
      <c r="O1910">
        <v>0.12203005924706976</v>
      </c>
      <c r="P1910">
        <v>1.57194452248192E-2</v>
      </c>
      <c r="Q1910">
        <v>9.4345518440208914E-4</v>
      </c>
      <c r="R1910">
        <v>1.5463634900518127E-3</v>
      </c>
      <c r="S1910">
        <v>0.12531792903605729</v>
      </c>
      <c r="T1910">
        <v>0.80917849068414749</v>
      </c>
      <c r="U1910">
        <v>0</v>
      </c>
      <c r="V1910">
        <v>0.20759294519248048</v>
      </c>
      <c r="W1910">
        <v>9.660538869360813E-2</v>
      </c>
      <c r="X1910">
        <v>2.836712904503709E-2</v>
      </c>
      <c r="Y1910">
        <v>4.2086916613335397E-3</v>
      </c>
    </row>
    <row r="1911" spans="1:25" x14ac:dyDescent="0.25">
      <c r="A1911" s="1098"/>
      <c r="B1911" s="1457">
        <v>1661</v>
      </c>
      <c r="C1911" s="1102">
        <v>1.002853712447058</v>
      </c>
      <c r="D1911" s="1102">
        <v>0.97905512237990111</v>
      </c>
      <c r="E1911" s="1102">
        <v>1.0025263263732644</v>
      </c>
      <c r="F1911" s="1102">
        <v>0.99829901021314915</v>
      </c>
      <c r="G1911" s="1102">
        <v>0.97389390923468011</v>
      </c>
      <c r="H1911" s="1102">
        <v>0.99359024316969602</v>
      </c>
      <c r="I1911" s="1102">
        <v>1.0047099311616439</v>
      </c>
      <c r="K1911">
        <v>1.5590093076485925</v>
      </c>
      <c r="L1911">
        <v>0</v>
      </c>
      <c r="M1911">
        <v>1.5565133096224018E-3</v>
      </c>
      <c r="N1911">
        <v>0.14432096366348701</v>
      </c>
      <c r="O1911">
        <v>0.1220358491480751</v>
      </c>
      <c r="P1911">
        <v>1.5699115744900047E-2</v>
      </c>
      <c r="Q1911">
        <v>9.062278113036806E-4</v>
      </c>
      <c r="R1911">
        <v>1.5529649587436817E-3</v>
      </c>
      <c r="S1911">
        <v>0.12076355257947059</v>
      </c>
      <c r="T1911">
        <v>0.82367943021753387</v>
      </c>
      <c r="U1911">
        <v>0</v>
      </c>
      <c r="V1911">
        <v>0.20475451988982338</v>
      </c>
      <c r="W1911">
        <v>9.4666954014772098E-2</v>
      </c>
      <c r="X1911">
        <v>2.7959584247164302E-2</v>
      </c>
      <c r="Y1911">
        <v>4.2266586829392367E-3</v>
      </c>
    </row>
    <row r="1912" spans="1:25" x14ac:dyDescent="0.25">
      <c r="A1912" s="1098"/>
      <c r="B1912" s="1457">
        <v>1662</v>
      </c>
      <c r="C1912" s="1102">
        <v>1.0434237458399531</v>
      </c>
      <c r="D1912" s="1102">
        <v>0.99525423073164143</v>
      </c>
      <c r="E1912" s="1102">
        <v>0.98735930773682268</v>
      </c>
      <c r="F1912" s="1102">
        <v>0.97166647632362857</v>
      </c>
      <c r="G1912" s="1102">
        <v>0.98535690655686614</v>
      </c>
      <c r="H1912" s="1102">
        <v>1.0069438858894089</v>
      </c>
      <c r="I1912" s="1102">
        <v>1.0162330059787865</v>
      </c>
      <c r="K1912">
        <v>1.5125166896706861</v>
      </c>
      <c r="L1912">
        <v>0</v>
      </c>
      <c r="M1912">
        <v>1.5513534155673083E-3</v>
      </c>
      <c r="N1912">
        <v>0.13740123627598211</v>
      </c>
      <c r="O1912">
        <v>0.11748908150091072</v>
      </c>
      <c r="P1912">
        <v>1.5128488386500726E-2</v>
      </c>
      <c r="Q1912">
        <v>8.5175688333512462E-4</v>
      </c>
      <c r="R1912">
        <v>1.54785714328563E-3</v>
      </c>
      <c r="S1912">
        <v>0.11732592444961937</v>
      </c>
      <c r="T1912">
        <v>0.80268065678403677</v>
      </c>
      <c r="U1912">
        <v>0</v>
      </c>
      <c r="V1912">
        <v>0.20009005994296991</v>
      </c>
      <c r="W1912">
        <v>9.094739141175269E-2</v>
      </c>
      <c r="X1912">
        <v>2.6392833414807661E-2</v>
      </c>
      <c r="Y1912">
        <v>4.2127568930533342E-3</v>
      </c>
    </row>
    <row r="1913" spans="1:25" x14ac:dyDescent="0.25">
      <c r="A1913" s="1098"/>
      <c r="B1913" s="1457">
        <v>1663</v>
      </c>
      <c r="C1913" s="1102">
        <v>0.96928515386097569</v>
      </c>
      <c r="D1913" s="1102">
        <v>0.97863250223848508</v>
      </c>
      <c r="E1913" s="1102">
        <v>1.0015133141310035</v>
      </c>
      <c r="F1913" s="1102">
        <v>0.98962214366695778</v>
      </c>
      <c r="G1913" s="1102">
        <v>1.0027794783807409</v>
      </c>
      <c r="H1913" s="1102">
        <v>0.99919163801817878</v>
      </c>
      <c r="I1913" s="1102">
        <v>1.0140021496723153</v>
      </c>
      <c r="K1913">
        <v>1.5715812161543876</v>
      </c>
      <c r="L1913">
        <v>0</v>
      </c>
      <c r="M1913">
        <v>1.6179749688968658E-3</v>
      </c>
      <c r="N1913">
        <v>0.14956218166566884</v>
      </c>
      <c r="O1913">
        <v>0.12319545737583754</v>
      </c>
      <c r="P1913">
        <v>1.5717953122204389E-2</v>
      </c>
      <c r="Q1913">
        <v>9.3679112575554809E-4</v>
      </c>
      <c r="R1913">
        <v>1.6142953702089104E-3</v>
      </c>
      <c r="S1913">
        <v>0.12632687935143921</v>
      </c>
      <c r="T1913">
        <v>0.8165864097873331</v>
      </c>
      <c r="U1913">
        <v>0</v>
      </c>
      <c r="V1913">
        <v>0.20852232357881029</v>
      </c>
      <c r="W1913">
        <v>9.8163907631237793E-2</v>
      </c>
      <c r="X1913">
        <v>2.8179412269405534E-2</v>
      </c>
      <c r="Y1913">
        <v>4.3935798453828834E-3</v>
      </c>
    </row>
    <row r="1914" spans="1:25" x14ac:dyDescent="0.25">
      <c r="A1914" s="1098"/>
      <c r="B1914" s="1457">
        <v>1664</v>
      </c>
      <c r="C1914" s="1102">
        <v>0.99920015844780519</v>
      </c>
      <c r="D1914" s="1102">
        <v>1.0005812233207718</v>
      </c>
      <c r="E1914" s="1102">
        <v>0.97517767657052334</v>
      </c>
      <c r="F1914" s="1102">
        <v>0.99085078351190159</v>
      </c>
      <c r="G1914" s="1102">
        <v>1.0301480035066997</v>
      </c>
      <c r="H1914" s="1102">
        <v>0.95996932956541137</v>
      </c>
      <c r="I1914" s="1102">
        <v>1.00479788936337</v>
      </c>
      <c r="K1914">
        <v>1.53482966963286</v>
      </c>
      <c r="L1914">
        <v>0</v>
      </c>
      <c r="M1914">
        <v>1.576401974335833E-3</v>
      </c>
      <c r="N1914">
        <v>0.13455216798166461</v>
      </c>
      <c r="O1914">
        <v>0.12081412852328206</v>
      </c>
      <c r="P1914">
        <v>1.5291596323794787E-2</v>
      </c>
      <c r="Q1914">
        <v>8.7630694000246214E-4</v>
      </c>
      <c r="R1914">
        <v>1.5726657943816898E-3</v>
      </c>
      <c r="S1914">
        <v>0.11685672465681733</v>
      </c>
      <c r="T1914">
        <v>0.81933265437446245</v>
      </c>
      <c r="U1914">
        <v>0</v>
      </c>
      <c r="V1914">
        <v>0.20650599518344218</v>
      </c>
      <c r="W1914">
        <v>8.9718414113095127E-2</v>
      </c>
      <c r="X1914">
        <v>2.6605139853085189E-2</v>
      </c>
      <c r="Y1914">
        <v>4.2802778631671722E-3</v>
      </c>
    </row>
    <row r="1915" spans="1:25" x14ac:dyDescent="0.25">
      <c r="A1915" s="1098"/>
      <c r="B1915" s="1457">
        <v>1665</v>
      </c>
      <c r="C1915" s="1102">
        <v>1.0083636076430493</v>
      </c>
      <c r="D1915" s="1102">
        <v>0.9715932235519521</v>
      </c>
      <c r="E1915" s="1102">
        <v>0.99924655675909335</v>
      </c>
      <c r="F1915" s="1102">
        <v>1.0206325217031691</v>
      </c>
      <c r="G1915" s="1102">
        <v>1.0043484153258961</v>
      </c>
      <c r="H1915" s="1102">
        <v>1.0233774537856772</v>
      </c>
      <c r="I1915" s="1102">
        <v>1.0338666248721997</v>
      </c>
      <c r="K1915">
        <v>1.5952557620868473</v>
      </c>
      <c r="L1915">
        <v>0</v>
      </c>
      <c r="M1915">
        <v>1.6157046906373782E-3</v>
      </c>
      <c r="N1915">
        <v>0.14834319270416541</v>
      </c>
      <c r="O1915">
        <v>0.12367036730422515</v>
      </c>
      <c r="P1915">
        <v>1.6028295241379761E-2</v>
      </c>
      <c r="Q1915">
        <v>9.0097089776618167E-4</v>
      </c>
      <c r="R1915">
        <v>1.6121407450311149E-3</v>
      </c>
      <c r="S1915">
        <v>0.12678940887720963</v>
      </c>
      <c r="T1915">
        <v>0.84232731068723676</v>
      </c>
      <c r="U1915">
        <v>0</v>
      </c>
      <c r="V1915">
        <v>0.20705076220501367</v>
      </c>
      <c r="W1915">
        <v>9.749505538788647E-2</v>
      </c>
      <c r="X1915">
        <v>2.8266247061649069E-2</v>
      </c>
      <c r="Y1915">
        <v>4.3877156659209229E-3</v>
      </c>
    </row>
    <row r="1916" spans="1:25" x14ac:dyDescent="0.25">
      <c r="A1916" s="1098"/>
      <c r="B1916" s="1457">
        <v>1666</v>
      </c>
      <c r="C1916" s="1102">
        <v>0.99919649152103651</v>
      </c>
      <c r="D1916" s="1102">
        <v>1.00470551360982</v>
      </c>
      <c r="E1916" s="1102">
        <v>0.98961668078947751</v>
      </c>
      <c r="F1916" s="1102">
        <v>1.0424711497295629</v>
      </c>
      <c r="G1916" s="1102">
        <v>0.97656699042846584</v>
      </c>
      <c r="H1916" s="1102">
        <v>1.035066818131366</v>
      </c>
      <c r="I1916" s="1102">
        <v>0.99174836963530555</v>
      </c>
      <c r="K1916">
        <v>1.6073564776369693</v>
      </c>
      <c r="L1916">
        <v>0</v>
      </c>
      <c r="M1916">
        <v>1.6521747731107208E-3</v>
      </c>
      <c r="N1916">
        <v>0.14734230815987487</v>
      </c>
      <c r="O1916">
        <v>0.12418888463524105</v>
      </c>
      <c r="P1916">
        <v>1.6085755423687117E-2</v>
      </c>
      <c r="Q1916">
        <v>8.8819081171745157E-4</v>
      </c>
      <c r="R1916">
        <v>1.6485544840765948E-3</v>
      </c>
      <c r="S1916">
        <v>0.12128152761738771</v>
      </c>
      <c r="T1916">
        <v>0.86101522681035425</v>
      </c>
      <c r="U1916">
        <v>0</v>
      </c>
      <c r="V1916">
        <v>0.206658112490259</v>
      </c>
      <c r="W1916">
        <v>9.7395541023589854E-2</v>
      </c>
      <c r="X1916">
        <v>2.8017729094073299E-2</v>
      </c>
      <c r="Y1916">
        <v>4.4868218598168707E-3</v>
      </c>
    </row>
    <row r="1917" spans="1:25" x14ac:dyDescent="0.25">
      <c r="A1917" s="1098"/>
      <c r="B1917" s="1457">
        <v>1667</v>
      </c>
      <c r="C1917" s="1102">
        <v>0.95793847244246944</v>
      </c>
      <c r="D1917" s="1102">
        <v>0.99488110678313701</v>
      </c>
      <c r="E1917" s="1102">
        <v>1.0127759042744979</v>
      </c>
      <c r="F1917" s="1102">
        <v>1.0036039743850909</v>
      </c>
      <c r="G1917" s="1102">
        <v>0.97186675438102776</v>
      </c>
      <c r="H1917" s="1102">
        <v>0.98133237784031124</v>
      </c>
      <c r="I1917" s="1102">
        <v>0.99747887038022809</v>
      </c>
      <c r="K1917">
        <v>1.5787674613618268</v>
      </c>
      <c r="L1917">
        <v>0</v>
      </c>
      <c r="M1917">
        <v>1.5565571566579404E-3</v>
      </c>
      <c r="N1917">
        <v>0.14885534221614252</v>
      </c>
      <c r="O1917">
        <v>0.12404734374028974</v>
      </c>
      <c r="P1917">
        <v>1.5952099956974188E-2</v>
      </c>
      <c r="Q1917">
        <v>9.5268243995957208E-4</v>
      </c>
      <c r="R1917">
        <v>1.5529439185827691E-3</v>
      </c>
      <c r="S1917">
        <v>0.12308127730436995</v>
      </c>
      <c r="T1917">
        <v>0.82737995278197873</v>
      </c>
      <c r="U1917">
        <v>0</v>
      </c>
      <c r="V1917">
        <v>0.20840999356480799</v>
      </c>
      <c r="W1917">
        <v>9.7051821462388735E-2</v>
      </c>
      <c r="X1917">
        <v>2.8813959714434109E-2</v>
      </c>
      <c r="Y1917">
        <v>4.2266014185571204E-3</v>
      </c>
    </row>
    <row r="1918" spans="1:25" x14ac:dyDescent="0.25">
      <c r="A1918" s="1098"/>
      <c r="B1918" s="1457">
        <v>1668</v>
      </c>
      <c r="C1918" s="1102">
        <v>0.98364443016452863</v>
      </c>
      <c r="D1918" s="1102">
        <v>1.0216271765956111</v>
      </c>
      <c r="E1918" s="1102">
        <v>0.98382623663588742</v>
      </c>
      <c r="F1918" s="1102">
        <v>1.0292265768994704</v>
      </c>
      <c r="G1918" s="1102">
        <v>0.97942308895367725</v>
      </c>
      <c r="H1918" s="1102">
        <v>1.0056906695795063</v>
      </c>
      <c r="I1918" s="1102">
        <v>0.99183657687041737</v>
      </c>
      <c r="K1918">
        <v>1.5867589923979009</v>
      </c>
      <c r="L1918">
        <v>0</v>
      </c>
      <c r="M1918">
        <v>1.6313772591377484E-3</v>
      </c>
      <c r="N1918">
        <v>0.14295132768851182</v>
      </c>
      <c r="O1918">
        <v>0.12336112043391413</v>
      </c>
      <c r="P1918">
        <v>1.5852979056449338E-2</v>
      </c>
      <c r="Q1918">
        <v>8.9082361279299094E-4</v>
      </c>
      <c r="R1918">
        <v>1.6276801686233471E-3</v>
      </c>
      <c r="S1918">
        <v>0.11948594043728408</v>
      </c>
      <c r="T1918">
        <v>0.85047202476879835</v>
      </c>
      <c r="U1918">
        <v>0</v>
      </c>
      <c r="V1918">
        <v>0.20692765009250846</v>
      </c>
      <c r="W1918">
        <v>9.4822239224191945E-2</v>
      </c>
      <c r="X1918">
        <v>2.7568575319593634E-2</v>
      </c>
      <c r="Y1918">
        <v>4.4300088543693696E-3</v>
      </c>
    </row>
    <row r="1919" spans="1:25" x14ac:dyDescent="0.25">
      <c r="A1919" s="1098"/>
      <c r="B1919" s="1457">
        <v>1669</v>
      </c>
      <c r="C1919" s="1102">
        <v>0.98805349852390278</v>
      </c>
      <c r="D1919" s="1102">
        <v>1.0334513492593258</v>
      </c>
      <c r="E1919" s="1102">
        <v>0.99572472905961573</v>
      </c>
      <c r="F1919" s="1102">
        <v>1.0099257266176491</v>
      </c>
      <c r="G1919" s="1102">
        <v>1.0087923265564023</v>
      </c>
      <c r="H1919" s="1102">
        <v>0.97048887103719106</v>
      </c>
      <c r="I1919" s="1102">
        <v>0.95696582326016411</v>
      </c>
      <c r="K1919">
        <v>1.5495937991409703</v>
      </c>
      <c r="L1919">
        <v>0</v>
      </c>
      <c r="M1919">
        <v>1.5175076355146548E-3</v>
      </c>
      <c r="N1919">
        <v>0.1378318305970343</v>
      </c>
      <c r="O1919">
        <v>0.12124797598371891</v>
      </c>
      <c r="P1919">
        <v>1.5651389356571753E-2</v>
      </c>
      <c r="Q1919">
        <v>8.9379374726326931E-4</v>
      </c>
      <c r="R1919">
        <v>1.5139331217051491E-3</v>
      </c>
      <c r="S1919">
        <v>0.11127231864102891</v>
      </c>
      <c r="T1919">
        <v>0.83372608680345262</v>
      </c>
      <c r="U1919">
        <v>0</v>
      </c>
      <c r="V1919">
        <v>0.20655323239720319</v>
      </c>
      <c r="W1919">
        <v>9.0776901960924611E-2</v>
      </c>
      <c r="X1919">
        <v>2.7523417278220854E-2</v>
      </c>
      <c r="Y1919">
        <v>4.120426889361972E-3</v>
      </c>
    </row>
    <row r="1920" spans="1:25" x14ac:dyDescent="0.25">
      <c r="A1920" s="1098"/>
      <c r="B1920" s="1457">
        <v>1670</v>
      </c>
      <c r="C1920" s="1102">
        <v>1.0357391038941641</v>
      </c>
      <c r="D1920" s="1102">
        <v>0.99946733163176171</v>
      </c>
      <c r="E1920" s="1102">
        <v>0.98867696063005639</v>
      </c>
      <c r="F1920" s="1102">
        <v>1.0067211263817681</v>
      </c>
      <c r="G1920" s="1102">
        <v>0.99751231517535577</v>
      </c>
      <c r="H1920" s="1102">
        <v>1.004481260518314</v>
      </c>
      <c r="I1920" s="1102">
        <v>0.95749818572916767</v>
      </c>
      <c r="K1920">
        <v>1.5428523555834437</v>
      </c>
      <c r="L1920">
        <v>0</v>
      </c>
      <c r="M1920">
        <v>1.5543560798464298E-3</v>
      </c>
      <c r="N1920">
        <v>0.13821647110833357</v>
      </c>
      <c r="O1920">
        <v>0.12010478284547969</v>
      </c>
      <c r="P1920">
        <v>1.5487303685145386E-2</v>
      </c>
      <c r="Q1920">
        <v>8.5780640170072696E-4</v>
      </c>
      <c r="R1920">
        <v>1.5508493931538272E-3</v>
      </c>
      <c r="S1920">
        <v>0.11106217386549506</v>
      </c>
      <c r="T1920">
        <v>0.83155075212369312</v>
      </c>
      <c r="U1920">
        <v>0</v>
      </c>
      <c r="V1920">
        <v>0.20292283382495244</v>
      </c>
      <c r="W1920">
        <v>9.1414703919568407E-2</v>
      </c>
      <c r="X1920">
        <v>2.7018133684968273E-2</v>
      </c>
      <c r="Y1920">
        <v>4.2209008107996614E-3</v>
      </c>
    </row>
    <row r="1921" spans="1:25" x14ac:dyDescent="0.25">
      <c r="A1921" s="1098"/>
      <c r="B1921" s="1457">
        <v>1671</v>
      </c>
      <c r="C1921" s="1102">
        <v>0.97619634584067716</v>
      </c>
      <c r="D1921" s="1102">
        <v>0.99740929917368071</v>
      </c>
      <c r="E1921" s="1102">
        <v>0.99206871229683302</v>
      </c>
      <c r="F1921" s="1102">
        <v>0.99137149029843552</v>
      </c>
      <c r="G1921" s="1102">
        <v>0.98393602238459832</v>
      </c>
      <c r="H1921" s="1102">
        <v>1.0316380629517949</v>
      </c>
      <c r="I1921" s="1102">
        <v>0.98306966758127856</v>
      </c>
      <c r="K1921">
        <v>1.5685911234022494</v>
      </c>
      <c r="L1921">
        <v>0</v>
      </c>
      <c r="M1921">
        <v>1.6746297074174262E-3</v>
      </c>
      <c r="N1921">
        <v>0.15045355117400183</v>
      </c>
      <c r="O1921">
        <v>0.12214211193878158</v>
      </c>
      <c r="P1921">
        <v>1.5561528562186792E-2</v>
      </c>
      <c r="Q1921">
        <v>9.1410408924074945E-4</v>
      </c>
      <c r="R1921">
        <v>1.6709321294720463E-3</v>
      </c>
      <c r="S1921">
        <v>0.12286303267900441</v>
      </c>
      <c r="T1921">
        <v>0.81864894987485781</v>
      </c>
      <c r="U1921">
        <v>0</v>
      </c>
      <c r="V1921">
        <v>0.20655969369734098</v>
      </c>
      <c r="W1921">
        <v>9.9306238302791866E-2</v>
      </c>
      <c r="X1921">
        <v>2.7597884228191503E-2</v>
      </c>
      <c r="Y1921">
        <v>4.5477264337944658E-3</v>
      </c>
    </row>
    <row r="1922" spans="1:25" x14ac:dyDescent="0.25">
      <c r="A1922" s="1098"/>
      <c r="B1922" s="1457">
        <v>1672</v>
      </c>
      <c r="C1922" s="1102">
        <v>1.048044292108183</v>
      </c>
      <c r="D1922" s="1102">
        <v>1.0007726941389186</v>
      </c>
      <c r="E1922" s="1102">
        <v>0.98049923654811377</v>
      </c>
      <c r="F1922" s="1102">
        <v>0.96200853407749076</v>
      </c>
      <c r="G1922" s="1102">
        <v>0.96445474448951984</v>
      </c>
      <c r="H1922" s="1102">
        <v>1.0048843561599161</v>
      </c>
      <c r="I1922" s="1102">
        <v>1.0195975459818094</v>
      </c>
      <c r="K1922">
        <v>1.4970577985593028</v>
      </c>
      <c r="L1922">
        <v>0</v>
      </c>
      <c r="M1922">
        <v>1.5578078993457186E-3</v>
      </c>
      <c r="N1922">
        <v>0.13513838534569261</v>
      </c>
      <c r="O1922">
        <v>0.11637652965553365</v>
      </c>
      <c r="P1922">
        <v>1.4912555541538093E-2</v>
      </c>
      <c r="Q1922">
        <v>8.4007991214223704E-4</v>
      </c>
      <c r="R1922">
        <v>1.5542850818215305E-3</v>
      </c>
      <c r="S1922">
        <v>0.11660323801918902</v>
      </c>
      <c r="T1922">
        <v>0.79514143979538132</v>
      </c>
      <c r="U1922">
        <v>0</v>
      </c>
      <c r="V1922">
        <v>0.19811668581715045</v>
      </c>
      <c r="W1922">
        <v>8.9819722416315972E-2</v>
      </c>
      <c r="X1922">
        <v>2.5882433251104855E-2</v>
      </c>
      <c r="Y1922">
        <v>4.2302516227786854E-3</v>
      </c>
    </row>
    <row r="1923" spans="1:25" x14ac:dyDescent="0.25">
      <c r="A1923" s="1098"/>
      <c r="B1923" s="1457">
        <v>1673</v>
      </c>
      <c r="C1923" s="1102">
        <v>1.0016864254674986</v>
      </c>
      <c r="D1923" s="1102">
        <v>0.98371702809243622</v>
      </c>
      <c r="E1923" s="1102">
        <v>1.0224967402264697</v>
      </c>
      <c r="F1923" s="1102">
        <v>1.0436000238843859</v>
      </c>
      <c r="G1923" s="1102">
        <v>0.98925726492552568</v>
      </c>
      <c r="H1923" s="1102">
        <v>0.97337850594907105</v>
      </c>
      <c r="I1923" s="1102">
        <v>1.0088214014662156</v>
      </c>
      <c r="K1923">
        <v>1.6008721316689789</v>
      </c>
      <c r="L1923">
        <v>0</v>
      </c>
      <c r="M1923">
        <v>1.4654701138477307E-3</v>
      </c>
      <c r="N1923">
        <v>0.14431602616126538</v>
      </c>
      <c r="O1923">
        <v>0.12499533870125516</v>
      </c>
      <c r="P1923">
        <v>1.6459026989740583E-2</v>
      </c>
      <c r="Q1923">
        <v>9.2438021352550862E-4</v>
      </c>
      <c r="R1923">
        <v>1.462068523586937E-3</v>
      </c>
      <c r="S1923">
        <v>0.11972499836772389</v>
      </c>
      <c r="T1923">
        <v>0.8596891381975813</v>
      </c>
      <c r="U1923">
        <v>0</v>
      </c>
      <c r="V1923">
        <v>0.20778532264812513</v>
      </c>
      <c r="W1923">
        <v>9.3557649404929888E-2</v>
      </c>
      <c r="X1923">
        <v>2.9444384024649533E-2</v>
      </c>
      <c r="Y1923">
        <v>3.9792685504443761E-3</v>
      </c>
    </row>
    <row r="1924" spans="1:25" x14ac:dyDescent="0.25">
      <c r="A1924" s="1098"/>
      <c r="B1924" s="1457">
        <v>1674</v>
      </c>
      <c r="C1924" s="1102">
        <v>0.9673061648832777</v>
      </c>
      <c r="D1924" s="1102">
        <v>1.0333760713307247</v>
      </c>
      <c r="E1924" s="1102">
        <v>0.99286997879771532</v>
      </c>
      <c r="F1924" s="1102">
        <v>1.0285597943512055</v>
      </c>
      <c r="G1924" s="1102">
        <v>1.0353495233717842</v>
      </c>
      <c r="H1924" s="1102">
        <v>1.0395608956787723</v>
      </c>
      <c r="I1924" s="1102">
        <v>0.98265244529291607</v>
      </c>
      <c r="K1924">
        <v>1.6047925021341143</v>
      </c>
      <c r="L1924">
        <v>0</v>
      </c>
      <c r="M1924">
        <v>1.670049746487292E-3</v>
      </c>
      <c r="N1924">
        <v>0.15040724719465198</v>
      </c>
      <c r="O1924">
        <v>0.1236502169731821</v>
      </c>
      <c r="P1924">
        <v>1.6030764288291598E-2</v>
      </c>
      <c r="Q1924">
        <v>9.1028444942638459E-4</v>
      </c>
      <c r="R1924">
        <v>1.6663767916908503E-3</v>
      </c>
      <c r="S1924">
        <v>0.12215590205572367</v>
      </c>
      <c r="T1924">
        <v>0.84930348411772916</v>
      </c>
      <c r="U1924">
        <v>0</v>
      </c>
      <c r="V1924">
        <v>0.21052667032382569</v>
      </c>
      <c r="W1924">
        <v>9.9228126860555432E-2</v>
      </c>
      <c r="X1924">
        <v>2.8048150519504399E-2</v>
      </c>
      <c r="Y1924">
        <v>4.5353283060207477E-3</v>
      </c>
    </row>
    <row r="1925" spans="1:25" x14ac:dyDescent="0.25">
      <c r="A1925" s="1098"/>
      <c r="B1925" s="1457">
        <v>1675</v>
      </c>
      <c r="C1925" s="1102">
        <v>1.0008248364600441</v>
      </c>
      <c r="D1925" s="1102">
        <v>1.0012506974402671</v>
      </c>
      <c r="E1925" s="1102">
        <v>1.027055544917739</v>
      </c>
      <c r="F1925" s="1102">
        <v>0.97179526942708183</v>
      </c>
      <c r="G1925" s="1102">
        <v>1.0160103358871941</v>
      </c>
      <c r="H1925" s="1102">
        <v>1.0095683280179797</v>
      </c>
      <c r="I1925" s="1102">
        <v>1.0157539772921664</v>
      </c>
      <c r="K1925">
        <v>1.53903977544832</v>
      </c>
      <c r="L1925">
        <v>0</v>
      </c>
      <c r="M1925">
        <v>1.4836576137863353E-3</v>
      </c>
      <c r="N1925">
        <v>0.14813918297346271</v>
      </c>
      <c r="O1925">
        <v>0.11921105852926153</v>
      </c>
      <c r="P1925">
        <v>1.5675701814076726E-2</v>
      </c>
      <c r="Q1925">
        <v>9.229564395413398E-4</v>
      </c>
      <c r="R1925">
        <v>1.4803090060937821E-3</v>
      </c>
      <c r="S1925">
        <v>0.12186512802205768</v>
      </c>
      <c r="T1925">
        <v>0.80024943635705259</v>
      </c>
      <c r="U1925">
        <v>0</v>
      </c>
      <c r="V1925">
        <v>0.20480821410917957</v>
      </c>
      <c r="W1925">
        <v>9.5781293697974113E-2</v>
      </c>
      <c r="X1925">
        <v>2.8361238982551207E-2</v>
      </c>
      <c r="Y1925">
        <v>4.0289131308545662E-3</v>
      </c>
    </row>
    <row r="1926" spans="1:25" x14ac:dyDescent="0.25">
      <c r="A1926" s="1098"/>
      <c r="B1926" s="1457">
        <v>1676</v>
      </c>
      <c r="C1926" s="1102">
        <v>1.02981415319225</v>
      </c>
      <c r="D1926" s="1102">
        <v>0.99133724693132586</v>
      </c>
      <c r="E1926" s="1102">
        <v>1.0424026487709832</v>
      </c>
      <c r="F1926" s="1102">
        <v>0.98523782374047664</v>
      </c>
      <c r="G1926" s="1102">
        <v>1.015084549950376</v>
      </c>
      <c r="H1926" s="1102">
        <v>0.99926307061501995</v>
      </c>
      <c r="I1926" s="1102">
        <v>1.0245720853875824</v>
      </c>
      <c r="K1926">
        <v>1.5413386280856145</v>
      </c>
      <c r="L1926">
        <v>0</v>
      </c>
      <c r="M1926">
        <v>1.3944409827515232E-3</v>
      </c>
      <c r="N1926">
        <v>0.1458198653802332</v>
      </c>
      <c r="O1926">
        <v>0.11910549066275347</v>
      </c>
      <c r="P1926">
        <v>1.5941735718428614E-2</v>
      </c>
      <c r="Q1926">
        <v>9.147310143446173E-4</v>
      </c>
      <c r="R1926">
        <v>1.391276566440769E-3</v>
      </c>
      <c r="S1926">
        <v>0.11963896874892575</v>
      </c>
      <c r="T1926">
        <v>0.81033785040132966</v>
      </c>
      <c r="U1926">
        <v>0</v>
      </c>
      <c r="V1926">
        <v>0.2034139212756938</v>
      </c>
      <c r="W1926">
        <v>9.3448594874808361E-2</v>
      </c>
      <c r="X1926">
        <v>2.8934038245751959E-2</v>
      </c>
      <c r="Y1926">
        <v>3.7865961796549065E-3</v>
      </c>
    </row>
    <row r="1927" spans="1:25" x14ac:dyDescent="0.25">
      <c r="A1927" s="1098"/>
      <c r="B1927" s="1457">
        <v>1677</v>
      </c>
      <c r="C1927" s="1102">
        <v>1.0055166361347307</v>
      </c>
      <c r="D1927" s="1102">
        <v>1.0058263830427541</v>
      </c>
      <c r="E1927" s="1102">
        <v>0.99793093285267298</v>
      </c>
      <c r="F1927" s="1102">
        <v>1.0317313734913052</v>
      </c>
      <c r="G1927" s="1102">
        <v>0.99611751385688974</v>
      </c>
      <c r="H1927" s="1102">
        <v>1.0123163823860186</v>
      </c>
      <c r="I1927" s="1102">
        <v>1.0187140683730664</v>
      </c>
      <c r="K1927">
        <v>1.5912918486180583</v>
      </c>
      <c r="L1927">
        <v>0</v>
      </c>
      <c r="M1927">
        <v>1.5767737156581565E-3</v>
      </c>
      <c r="N1927">
        <v>0.14418929697541374</v>
      </c>
      <c r="O1927">
        <v>0.12304747362237935</v>
      </c>
      <c r="P1927">
        <v>1.6063145743087492E-2</v>
      </c>
      <c r="Q1927">
        <v>8.8987786634704908E-4</v>
      </c>
      <c r="R1927">
        <v>1.5732392115995724E-3</v>
      </c>
      <c r="S1927">
        <v>0.12187774397682898</v>
      </c>
      <c r="T1927">
        <v>0.85157685278237938</v>
      </c>
      <c r="U1927">
        <v>0</v>
      </c>
      <c r="V1927">
        <v>0.20643765063356612</v>
      </c>
      <c r="W1927">
        <v>9.4839217370927612E-2</v>
      </c>
      <c r="X1927">
        <v>2.8092285635379379E-2</v>
      </c>
      <c r="Y1927">
        <v>4.2818385158073131E-3</v>
      </c>
    </row>
    <row r="1928" spans="1:25" x14ac:dyDescent="0.25">
      <c r="A1928" s="1098"/>
      <c r="B1928" s="1457">
        <v>1678</v>
      </c>
      <c r="C1928" s="1102">
        <v>1.0019566729132945</v>
      </c>
      <c r="D1928" s="1102">
        <v>1.0080221374025364</v>
      </c>
      <c r="E1928" s="1102">
        <v>1.0053635241347312</v>
      </c>
      <c r="F1928" s="1102">
        <v>1.01607919084779</v>
      </c>
      <c r="G1928" s="1102">
        <v>1.0175664482158635</v>
      </c>
      <c r="H1928" s="1102">
        <v>0.99212516232251902</v>
      </c>
      <c r="I1928" s="1102">
        <v>0.97758675850770815</v>
      </c>
      <c r="K1928">
        <v>1.5673345216856358</v>
      </c>
      <c r="L1928">
        <v>0</v>
      </c>
      <c r="M1928">
        <v>1.523073906332027E-3</v>
      </c>
      <c r="N1928">
        <v>0.14243414908430901</v>
      </c>
      <c r="O1928">
        <v>0.12202834080246519</v>
      </c>
      <c r="P1928">
        <v>1.5887924419134915E-2</v>
      </c>
      <c r="Q1928">
        <v>8.9915737153624473E-4</v>
      </c>
      <c r="R1928">
        <v>1.5195841704859102E-3</v>
      </c>
      <c r="S1928">
        <v>0.11556868063365344</v>
      </c>
      <c r="T1928">
        <v>0.83815961376739334</v>
      </c>
      <c r="U1928">
        <v>0</v>
      </c>
      <c r="V1928">
        <v>0.20684584150793184</v>
      </c>
      <c r="W1928">
        <v>9.3272377108477425E-2</v>
      </c>
      <c r="X1928">
        <v>2.8106119545304224E-2</v>
      </c>
      <c r="Y1928">
        <v>4.1358071812754738E-3</v>
      </c>
    </row>
    <row r="1929" spans="1:25" x14ac:dyDescent="0.25">
      <c r="A1929" s="1098"/>
      <c r="B1929" s="1457">
        <v>1679</v>
      </c>
      <c r="C1929" s="1102">
        <v>0.96987468449476344</v>
      </c>
      <c r="D1929" s="1102">
        <v>0.98662300906060607</v>
      </c>
      <c r="E1929" s="1102">
        <v>0.99884733853634777</v>
      </c>
      <c r="F1929" s="1102">
        <v>0.99644626756958321</v>
      </c>
      <c r="G1929" s="1102">
        <v>1.0010161809241875</v>
      </c>
      <c r="H1929" s="1102">
        <v>0.97964101482129917</v>
      </c>
      <c r="I1929" s="1102">
        <v>0.96269860941310759</v>
      </c>
      <c r="K1929">
        <v>1.5622090220560618</v>
      </c>
      <c r="L1929">
        <v>0</v>
      </c>
      <c r="M1929">
        <v>1.5878120254435712E-3</v>
      </c>
      <c r="N1929">
        <v>0.14558968825408053</v>
      </c>
      <c r="O1929">
        <v>0.12330271220502581</v>
      </c>
      <c r="P1929">
        <v>1.5648932651910925E-2</v>
      </c>
      <c r="Q1929">
        <v>9.3060578343719038E-4</v>
      </c>
      <c r="R1929">
        <v>1.584126278717766E-3</v>
      </c>
      <c r="S1929">
        <v>0.11778014999432498</v>
      </c>
      <c r="T1929">
        <v>0.82239268457706349</v>
      </c>
      <c r="U1929">
        <v>0</v>
      </c>
      <c r="V1929">
        <v>0.20849938727776382</v>
      </c>
      <c r="W1929">
        <v>9.5708103091221894E-2</v>
      </c>
      <c r="X1929">
        <v>2.8048974444374777E-2</v>
      </c>
      <c r="Y1929">
        <v>4.311469523582326E-3</v>
      </c>
    </row>
    <row r="1930" spans="1:25" x14ac:dyDescent="0.25">
      <c r="A1930" s="1098"/>
      <c r="B1930" s="1457">
        <v>1680</v>
      </c>
      <c r="C1930" s="1102">
        <v>0.99946997856586939</v>
      </c>
      <c r="D1930" s="1102">
        <v>0.97057108675927639</v>
      </c>
      <c r="E1930" s="1102">
        <v>0.99634267929125375</v>
      </c>
      <c r="F1930" s="1102">
        <v>0.99974065994621775</v>
      </c>
      <c r="G1930" s="1102">
        <v>1.0241198291015643</v>
      </c>
      <c r="H1930" s="1102">
        <v>0.97156716958077982</v>
      </c>
      <c r="I1930" s="1102">
        <v>0.97200943622928382</v>
      </c>
      <c r="K1930">
        <v>1.554834288448814</v>
      </c>
      <c r="L1930">
        <v>0</v>
      </c>
      <c r="M1930">
        <v>1.5542912594830188E-3</v>
      </c>
      <c r="N1930">
        <v>0.14144054685961921</v>
      </c>
      <c r="O1930">
        <v>0.12271337335204061</v>
      </c>
      <c r="P1930">
        <v>1.5624021641222521E-2</v>
      </c>
      <c r="Q1930">
        <v>9.0663385512749681E-4</v>
      </c>
      <c r="R1930">
        <v>1.5506723608566088E-3</v>
      </c>
      <c r="S1930">
        <v>0.11608938447855233</v>
      </c>
      <c r="T1930">
        <v>0.82527712555405131</v>
      </c>
      <c r="U1930">
        <v>0</v>
      </c>
      <c r="V1930">
        <v>0.20763188872571869</v>
      </c>
      <c r="W1930">
        <v>9.3119310872325403E-2</v>
      </c>
      <c r="X1930">
        <v>2.7815203021536925E-2</v>
      </c>
      <c r="Y1930">
        <v>4.2204189872453142E-3</v>
      </c>
    </row>
    <row r="1931" spans="1:25" x14ac:dyDescent="0.25">
      <c r="A1931" s="1098"/>
      <c r="B1931" s="1457">
        <v>1681</v>
      </c>
      <c r="C1931" s="1102">
        <v>1.0269058010814804</v>
      </c>
      <c r="D1931" s="1102">
        <v>0.95974628075655466</v>
      </c>
      <c r="E1931" s="1102">
        <v>1.0088342771755596</v>
      </c>
      <c r="F1931" s="1102">
        <v>1.0112760351574306</v>
      </c>
      <c r="G1931" s="1102">
        <v>0.97935711943462667</v>
      </c>
      <c r="H1931" s="1102">
        <v>1.0237264855766786</v>
      </c>
      <c r="I1931" s="1102">
        <v>1.0075534593066988</v>
      </c>
      <c r="K1931">
        <v>1.5776428514179472</v>
      </c>
      <c r="L1931">
        <v>0</v>
      </c>
      <c r="M1931">
        <v>1.5676951037328726E-3</v>
      </c>
      <c r="N1931">
        <v>0.14816528153239897</v>
      </c>
      <c r="O1931">
        <v>0.12259132378444662</v>
      </c>
      <c r="P1931">
        <v>1.592921111517482E-2</v>
      </c>
      <c r="Q1931">
        <v>8.9791744428351767E-4</v>
      </c>
      <c r="R1931">
        <v>1.5642475880440023E-3</v>
      </c>
      <c r="S1931">
        <v>0.12232391319957235</v>
      </c>
      <c r="T1931">
        <v>0.83396661279943063</v>
      </c>
      <c r="U1931">
        <v>0</v>
      </c>
      <c r="V1931">
        <v>0.20430179928052092</v>
      </c>
      <c r="W1931">
        <v>9.6826559291790446E-2</v>
      </c>
      <c r="X1931">
        <v>2.8386314205439807E-2</v>
      </c>
      <c r="Y1931">
        <v>4.2573662805769604E-3</v>
      </c>
    </row>
    <row r="1932" spans="1:25" x14ac:dyDescent="0.25">
      <c r="A1932" s="1098"/>
      <c r="B1932" s="1457">
        <v>1682</v>
      </c>
      <c r="C1932" s="1102">
        <v>0.96207397696414376</v>
      </c>
      <c r="D1932" s="1102">
        <v>1.0333875762119913</v>
      </c>
      <c r="E1932" s="1102">
        <v>1.0050522304738116</v>
      </c>
      <c r="F1932" s="1102">
        <v>1.0128152929774097</v>
      </c>
      <c r="G1932" s="1102">
        <v>1.009848676050545</v>
      </c>
      <c r="H1932" s="1102">
        <v>0.97871201529109619</v>
      </c>
      <c r="I1932" s="1102">
        <v>0.98860771649974333</v>
      </c>
      <c r="K1932">
        <v>1.5731804736833035</v>
      </c>
      <c r="L1932">
        <v>0</v>
      </c>
      <c r="M1932">
        <v>1.5390209884913162E-3</v>
      </c>
      <c r="N1932">
        <v>0.14378325990771243</v>
      </c>
      <c r="O1932">
        <v>0.12279782952405084</v>
      </c>
      <c r="P1932">
        <v>1.5919503900600308E-2</v>
      </c>
      <c r="Q1932">
        <v>9.2687066298856042E-4</v>
      </c>
      <c r="R1932">
        <v>1.5354202098798013E-3</v>
      </c>
      <c r="S1932">
        <v>0.11860297048543182</v>
      </c>
      <c r="T1932">
        <v>0.8354879976995927</v>
      </c>
      <c r="U1932">
        <v>0</v>
      </c>
      <c r="V1932">
        <v>0.20905360192631203</v>
      </c>
      <c r="W1932">
        <v>9.4173186892538771E-2</v>
      </c>
      <c r="X1932">
        <v>2.8259945802531349E-2</v>
      </c>
      <c r="Y1932">
        <v>4.1789076601566628E-3</v>
      </c>
    </row>
    <row r="1933" spans="1:25" x14ac:dyDescent="0.25">
      <c r="A1933" s="1098"/>
      <c r="B1933" s="1457">
        <v>1683</v>
      </c>
      <c r="C1933" s="1102">
        <v>0.98511658951073422</v>
      </c>
      <c r="D1933" s="1102">
        <v>1.0052848510458881</v>
      </c>
      <c r="E1933" s="1102">
        <v>0.9755054665734435</v>
      </c>
      <c r="F1933" s="1102">
        <v>0.96930181495990564</v>
      </c>
      <c r="G1933" s="1102">
        <v>1.0210719312677918</v>
      </c>
      <c r="H1933" s="1102">
        <v>0.98135072236628251</v>
      </c>
      <c r="I1933" s="1102">
        <v>0.96023721988799382</v>
      </c>
      <c r="K1933">
        <v>1.5197484618724211</v>
      </c>
      <c r="L1933">
        <v>0</v>
      </c>
      <c r="M1933">
        <v>1.6246298745390333E-3</v>
      </c>
      <c r="N1933">
        <v>0.1388122973728606</v>
      </c>
      <c r="O1933">
        <v>0.11980330068753552</v>
      </c>
      <c r="P1933">
        <v>1.5017335907228053E-2</v>
      </c>
      <c r="Q1933">
        <v>8.8747464078668768E-4</v>
      </c>
      <c r="R1933">
        <v>1.620849944281552E-3</v>
      </c>
      <c r="S1933">
        <v>0.11439209801161813</v>
      </c>
      <c r="T1933">
        <v>0.80149262542131672</v>
      </c>
      <c r="U1933">
        <v>0</v>
      </c>
      <c r="V1933">
        <v>0.20603174242742101</v>
      </c>
      <c r="W1933">
        <v>9.2540651699853607E-2</v>
      </c>
      <c r="X1933">
        <v>2.6363296398762972E-2</v>
      </c>
      <c r="Y1933">
        <v>4.411419235293851E-3</v>
      </c>
    </row>
    <row r="1934" spans="1:25" x14ac:dyDescent="0.25">
      <c r="A1934" s="1098"/>
      <c r="B1934" s="1457">
        <v>1684</v>
      </c>
      <c r="C1934" s="1102">
        <v>0.9891877255642848</v>
      </c>
      <c r="D1934" s="1102">
        <v>0.97760694366984568</v>
      </c>
      <c r="E1934" s="1102">
        <v>0.99777914410087643</v>
      </c>
      <c r="F1934" s="1102">
        <v>1.0363659310939293</v>
      </c>
      <c r="G1934" s="1102">
        <v>0.98678550725965986</v>
      </c>
      <c r="H1934" s="1102">
        <v>0.99614755923781262</v>
      </c>
      <c r="I1934" s="1102">
        <v>0.98965545185674353</v>
      </c>
      <c r="K1934">
        <v>1.6032098546800047</v>
      </c>
      <c r="L1934">
        <v>0</v>
      </c>
      <c r="M1934">
        <v>1.6020877879968426E-3</v>
      </c>
      <c r="N1934">
        <v>0.14643296255068494</v>
      </c>
      <c r="O1934">
        <v>0.12551286406346376</v>
      </c>
      <c r="P1934">
        <v>1.6130690240417467E-2</v>
      </c>
      <c r="Q1934">
        <v>9.1477864826196938E-4</v>
      </c>
      <c r="R1934">
        <v>1.5984526640859754E-3</v>
      </c>
      <c r="S1934">
        <v>0.12105106344686753</v>
      </c>
      <c r="T1934">
        <v>0.85541254822366253</v>
      </c>
      <c r="U1934">
        <v>0</v>
      </c>
      <c r="V1934">
        <v>0.20852452850971079</v>
      </c>
      <c r="W1934">
        <v>9.6323672458027226E-2</v>
      </c>
      <c r="X1934">
        <v>2.8559920440956801E-2</v>
      </c>
      <c r="Y1934">
        <v>4.3504612218629246E-3</v>
      </c>
    </row>
    <row r="1935" spans="1:25" x14ac:dyDescent="0.25">
      <c r="A1935" s="1098"/>
      <c r="B1935" s="1457">
        <v>1685</v>
      </c>
      <c r="C1935" s="1102">
        <v>1.0009277177112335</v>
      </c>
      <c r="D1935" s="1102">
        <v>1.02388249459252</v>
      </c>
      <c r="E1935" s="1102">
        <v>1.0041629985531015</v>
      </c>
      <c r="F1935" s="1102">
        <v>1.0032195081109569</v>
      </c>
      <c r="G1935" s="1102">
        <v>0.96669057943071546</v>
      </c>
      <c r="H1935" s="1102">
        <v>0.98412551897491685</v>
      </c>
      <c r="I1935" s="1102">
        <v>1.0303051860721029</v>
      </c>
      <c r="K1935">
        <v>1.5516917077690378</v>
      </c>
      <c r="L1935">
        <v>0</v>
      </c>
      <c r="M1935">
        <v>1.5012098293204833E-3</v>
      </c>
      <c r="N1935">
        <v>0.13987758300771133</v>
      </c>
      <c r="O1935">
        <v>0.12050480202044934</v>
      </c>
      <c r="P1935">
        <v>1.5745667617414128E-2</v>
      </c>
      <c r="Q1935">
        <v>8.9336866235406446E-4</v>
      </c>
      <c r="R1935">
        <v>1.4977295903669868E-3</v>
      </c>
      <c r="S1935">
        <v>0.12006575757896072</v>
      </c>
      <c r="T1935">
        <v>0.82763103495005086</v>
      </c>
      <c r="U1935">
        <v>0</v>
      </c>
      <c r="V1935">
        <v>0.20350781853266148</v>
      </c>
      <c r="W1935">
        <v>9.1663356760400078E-2</v>
      </c>
      <c r="X1935">
        <v>2.7729472659438203E-2</v>
      </c>
      <c r="Y1935">
        <v>4.0763262185521676E-3</v>
      </c>
    </row>
    <row r="1936" spans="1:25" x14ac:dyDescent="0.25">
      <c r="A1936" s="1098"/>
      <c r="B1936" s="1457">
        <v>1686</v>
      </c>
      <c r="C1936" s="1102">
        <v>1.0285243072074555</v>
      </c>
      <c r="D1936" s="1102">
        <v>1.0004891610597908</v>
      </c>
      <c r="E1936" s="1102">
        <v>1.0306919379083053</v>
      </c>
      <c r="F1936" s="1102">
        <v>1.0085934806177286</v>
      </c>
      <c r="G1936" s="1102">
        <v>1.0023157614301379</v>
      </c>
      <c r="H1936" s="1102">
        <v>0.95888192387700411</v>
      </c>
      <c r="I1936" s="1102">
        <v>1.0005028897632096</v>
      </c>
      <c r="K1936">
        <v>1.5443950980663765</v>
      </c>
      <c r="L1936">
        <v>0</v>
      </c>
      <c r="M1936">
        <v>1.3680333477645394E-3</v>
      </c>
      <c r="N1936">
        <v>0.1380852573885048</v>
      </c>
      <c r="O1936">
        <v>0.12042686128411965</v>
      </c>
      <c r="P1936">
        <v>1.6003817992845781E-2</v>
      </c>
      <c r="Q1936">
        <v>9.0171519909596669E-4</v>
      </c>
      <c r="R1936">
        <v>1.3647985310961635E-3</v>
      </c>
      <c r="S1936">
        <v>0.11331802862620775</v>
      </c>
      <c r="T1936">
        <v>0.83031316189540527</v>
      </c>
      <c r="U1936">
        <v>0</v>
      </c>
      <c r="V1936">
        <v>0.20385613348640255</v>
      </c>
      <c r="W1936">
        <v>8.9092373954287263E-2</v>
      </c>
      <c r="X1936">
        <v>2.8686451360245301E-2</v>
      </c>
      <c r="Y1936">
        <v>3.7145316959288962E-3</v>
      </c>
    </row>
    <row r="1937" spans="1:25" x14ac:dyDescent="0.25">
      <c r="A1937" s="1098"/>
      <c r="B1937" s="1457">
        <v>1687</v>
      </c>
      <c r="C1937" s="1102">
        <v>0.97683087552648296</v>
      </c>
      <c r="D1937" s="1102">
        <v>0.99364660164326335</v>
      </c>
      <c r="E1937" s="1102">
        <v>1.000849032752948</v>
      </c>
      <c r="F1937" s="1102">
        <v>1.0266919042440428</v>
      </c>
      <c r="G1937" s="1102">
        <v>1.016598215526979</v>
      </c>
      <c r="H1937" s="1102">
        <v>1.008580072926857</v>
      </c>
      <c r="I1937" s="1102">
        <v>1.0153342441099575</v>
      </c>
      <c r="K1937">
        <v>1.6041042759764641</v>
      </c>
      <c r="L1937">
        <v>0</v>
      </c>
      <c r="M1937">
        <v>1.6145130833082136E-3</v>
      </c>
      <c r="N1937">
        <v>0.14894646612108448</v>
      </c>
      <c r="O1937">
        <v>0.12474646659050521</v>
      </c>
      <c r="P1937">
        <v>1.6135433592930026E-2</v>
      </c>
      <c r="Q1937">
        <v>9.2327505215504513E-4</v>
      </c>
      <c r="R1937">
        <v>1.6108790722417483E-3</v>
      </c>
      <c r="S1937">
        <v>0.12544468605032147</v>
      </c>
      <c r="T1937">
        <v>0.84721950781285627</v>
      </c>
      <c r="U1937">
        <v>0</v>
      </c>
      <c r="V1937">
        <v>0.20994992018663497</v>
      </c>
      <c r="W1937">
        <v>9.7798356216615839E-2</v>
      </c>
      <c r="X1937">
        <v>2.8559516555929108E-2</v>
      </c>
      <c r="Y1937">
        <v>4.3842818084985913E-3</v>
      </c>
    </row>
    <row r="1938" spans="1:25" x14ac:dyDescent="0.25">
      <c r="A1938" s="1098"/>
      <c r="B1938" s="1457">
        <v>1688</v>
      </c>
      <c r="C1938" s="1102">
        <v>0.96080295817101458</v>
      </c>
      <c r="D1938" s="1102">
        <v>0.98965674152795402</v>
      </c>
      <c r="E1938" s="1102">
        <v>0.99199103367632468</v>
      </c>
      <c r="F1938" s="1102">
        <v>0.96659249055900542</v>
      </c>
      <c r="G1938" s="1102">
        <v>0.96782410695859744</v>
      </c>
      <c r="H1938" s="1102">
        <v>1.0240272410466407</v>
      </c>
      <c r="I1938" s="1102">
        <v>1.0178320258667042</v>
      </c>
      <c r="K1938">
        <v>1.5552437748520651</v>
      </c>
      <c r="L1938">
        <v>0</v>
      </c>
      <c r="M1938">
        <v>1.6911315243070221E-3</v>
      </c>
      <c r="N1938">
        <v>0.15189728355656104</v>
      </c>
      <c r="O1938">
        <v>0.12152146194487393</v>
      </c>
      <c r="P1938">
        <v>1.5359875223286369E-2</v>
      </c>
      <c r="Q1938">
        <v>9.3157731001528943E-4</v>
      </c>
      <c r="R1938">
        <v>1.687362355358358E-3</v>
      </c>
      <c r="S1938">
        <v>0.12892570686134192</v>
      </c>
      <c r="T1938">
        <v>0.79819206831841671</v>
      </c>
      <c r="U1938">
        <v>0</v>
      </c>
      <c r="V1938">
        <v>0.20613105694403033</v>
      </c>
      <c r="W1938">
        <v>0.10026382594035679</v>
      </c>
      <c r="X1938">
        <v>2.7432243829696976E-2</v>
      </c>
      <c r="Y1938">
        <v>4.5924440924344978E-3</v>
      </c>
    </row>
    <row r="1939" spans="1:25" x14ac:dyDescent="0.25">
      <c r="A1939" s="1098"/>
      <c r="B1939" s="1457">
        <v>1689</v>
      </c>
      <c r="C1939" s="1102">
        <v>0.95872924019827721</v>
      </c>
      <c r="D1939" s="1102">
        <v>0.99313002432036801</v>
      </c>
      <c r="E1939" s="1102">
        <v>0.98583683700996416</v>
      </c>
      <c r="F1939" s="1102">
        <v>0.99533853596723343</v>
      </c>
      <c r="G1939" s="1102">
        <v>0.97102052842294861</v>
      </c>
      <c r="H1939" s="1102">
        <v>1.0085546040098381</v>
      </c>
      <c r="I1939" s="1102">
        <v>0.95875514032068865</v>
      </c>
      <c r="K1939">
        <v>1.5706431034711357</v>
      </c>
      <c r="L1939">
        <v>0</v>
      </c>
      <c r="M1939">
        <v>1.6909450692314185E-3</v>
      </c>
      <c r="N1939">
        <v>0.14907586576821893</v>
      </c>
      <c r="O1939">
        <v>0.123569171396699</v>
      </c>
      <c r="P1939">
        <v>1.5522593437846772E-2</v>
      </c>
      <c r="Q1939">
        <v>9.2632013853403148E-4</v>
      </c>
      <c r="R1939">
        <v>1.6871246606326761E-3</v>
      </c>
      <c r="S1939">
        <v>0.12039042462482746</v>
      </c>
      <c r="T1939">
        <v>0.82233651967657484</v>
      </c>
      <c r="U1939">
        <v>0</v>
      </c>
      <c r="V1939">
        <v>0.20786853207478545</v>
      </c>
      <c r="W1939">
        <v>9.8765237874348336E-2</v>
      </c>
      <c r="X1939">
        <v>2.7600461722150062E-2</v>
      </c>
      <c r="Y1939">
        <v>4.5917971657472387E-3</v>
      </c>
    </row>
    <row r="1940" spans="1:25" x14ac:dyDescent="0.25">
      <c r="A1940" s="1098"/>
      <c r="B1940" s="1457">
        <v>1690</v>
      </c>
      <c r="C1940" s="1102">
        <v>1.0261139333248168</v>
      </c>
      <c r="D1940" s="1102">
        <v>0.98911646962985189</v>
      </c>
      <c r="E1940" s="1102">
        <v>1.0305730322116511</v>
      </c>
      <c r="F1940" s="1102">
        <v>1.0061371310355047</v>
      </c>
      <c r="G1940" s="1102">
        <v>1.0178224270150915</v>
      </c>
      <c r="H1940" s="1102">
        <v>0.98395059560859843</v>
      </c>
      <c r="I1940" s="1102">
        <v>1.0198277978674828</v>
      </c>
      <c r="K1940">
        <v>1.5574460124259797</v>
      </c>
      <c r="L1940">
        <v>0</v>
      </c>
      <c r="M1940">
        <v>1.4161414811655177E-3</v>
      </c>
      <c r="N1940">
        <v>0.14289907699254048</v>
      </c>
      <c r="O1940">
        <v>0.12088129988123859</v>
      </c>
      <c r="P1940">
        <v>1.6062728665768532E-2</v>
      </c>
      <c r="Q1940">
        <v>9.0786582759801041E-4</v>
      </c>
      <c r="R1940">
        <v>1.4128833973995449E-3</v>
      </c>
      <c r="S1940">
        <v>0.11854058982603928</v>
      </c>
      <c r="T1940">
        <v>0.82829877910751537</v>
      </c>
      <c r="U1940">
        <v>0</v>
      </c>
      <c r="V1940">
        <v>0.20496585193491684</v>
      </c>
      <c r="W1940">
        <v>9.2204602957876414E-2</v>
      </c>
      <c r="X1940">
        <v>2.8843072465417761E-2</v>
      </c>
      <c r="Y1940">
        <v>3.8454028508347836E-3</v>
      </c>
    </row>
    <row r="1941" spans="1:25" x14ac:dyDescent="0.25">
      <c r="A1941" s="1098"/>
      <c r="B1941" s="1457">
        <v>1691</v>
      </c>
      <c r="C1941" s="1102">
        <v>1.0374556677168207</v>
      </c>
      <c r="D1941" s="1102">
        <v>1.0292543180560187</v>
      </c>
      <c r="E1941" s="1102">
        <v>0.96392807766726529</v>
      </c>
      <c r="F1941" s="1102">
        <v>0.97914543769818885</v>
      </c>
      <c r="G1941" s="1102">
        <v>0.98338548895674671</v>
      </c>
      <c r="H1941" s="1102">
        <v>0.9767119964528671</v>
      </c>
      <c r="I1941" s="1102">
        <v>1.0342358574228332</v>
      </c>
      <c r="K1941">
        <v>1.502812698530466</v>
      </c>
      <c r="L1941">
        <v>0</v>
      </c>
      <c r="M1941">
        <v>1.5587450445982401E-3</v>
      </c>
      <c r="N1941">
        <v>0.12859376157989411</v>
      </c>
      <c r="O1941">
        <v>0.11692684296443505</v>
      </c>
      <c r="P1941">
        <v>1.4932689697346379E-2</v>
      </c>
      <c r="Q1941">
        <v>8.2467420580131605E-4</v>
      </c>
      <c r="R1941">
        <v>1.5551034795695982E-3</v>
      </c>
      <c r="S1941">
        <v>0.11532187561863247</v>
      </c>
      <c r="T1941">
        <v>0.81039148846998976</v>
      </c>
      <c r="U1941">
        <v>0</v>
      </c>
      <c r="V1941">
        <v>0.19984236411651984</v>
      </c>
      <c r="W1941">
        <v>8.6334707004642436E-2</v>
      </c>
      <c r="X1941">
        <v>2.5415457406566897E-2</v>
      </c>
      <c r="Y1941">
        <v>4.2324790316641816E-3</v>
      </c>
    </row>
    <row r="1942" spans="1:25" x14ac:dyDescent="0.25">
      <c r="A1942" s="1098"/>
      <c r="B1942" s="1457">
        <v>1692</v>
      </c>
      <c r="C1942" s="1102">
        <v>1.0026302971153045</v>
      </c>
      <c r="D1942" s="1102">
        <v>1.0078958288265614</v>
      </c>
      <c r="E1942" s="1102">
        <v>1.0235761988328125</v>
      </c>
      <c r="F1942" s="1102">
        <v>0.99055834058295622</v>
      </c>
      <c r="G1942" s="1102">
        <v>1.0092676440604678</v>
      </c>
      <c r="H1942" s="1102">
        <v>0.98144922760864473</v>
      </c>
      <c r="I1942" s="1102">
        <v>0.97694733038245585</v>
      </c>
      <c r="K1942">
        <v>1.5402936184118203</v>
      </c>
      <c r="L1942">
        <v>0</v>
      </c>
      <c r="M1942">
        <v>1.4471214435685705E-3</v>
      </c>
      <c r="N1942">
        <v>0.14297392565146083</v>
      </c>
      <c r="O1942">
        <v>0.12016742919247671</v>
      </c>
      <c r="P1942">
        <v>1.5755500149270265E-2</v>
      </c>
      <c r="Q1942">
        <v>9.1559532953291024E-4</v>
      </c>
      <c r="R1942">
        <v>1.4437634573156203E-3</v>
      </c>
      <c r="S1942">
        <v>0.11449434049795858</v>
      </c>
      <c r="T1942">
        <v>0.81592506043497903</v>
      </c>
      <c r="U1942">
        <v>0</v>
      </c>
      <c r="V1942">
        <v>0.20513101878065312</v>
      </c>
      <c r="W1942">
        <v>9.2629210209273699E-2</v>
      </c>
      <c r="X1942">
        <v>2.8375447958149606E-2</v>
      </c>
      <c r="Y1942">
        <v>3.9294481943173264E-3</v>
      </c>
    </row>
    <row r="1943" spans="1:25" x14ac:dyDescent="0.25">
      <c r="A1943" s="1098"/>
      <c r="B1943" s="1457">
        <v>1693</v>
      </c>
      <c r="C1943" s="1102">
        <v>1.040470953273672</v>
      </c>
      <c r="D1943" s="1102">
        <v>1.0125219903351657</v>
      </c>
      <c r="E1943" s="1102">
        <v>0.98121412647048212</v>
      </c>
      <c r="F1943" s="1102">
        <v>0.9775475516243094</v>
      </c>
      <c r="G1943" s="1102">
        <v>0.979516075657757</v>
      </c>
      <c r="H1943" s="1102">
        <v>0.98531819435325552</v>
      </c>
      <c r="I1943" s="1102">
        <v>0.99670119433644544</v>
      </c>
      <c r="K1943">
        <v>1.5048388573006666</v>
      </c>
      <c r="L1943">
        <v>0</v>
      </c>
      <c r="M1943">
        <v>1.5272216534890509E-3</v>
      </c>
      <c r="N1943">
        <v>0.13276554977376945</v>
      </c>
      <c r="O1943">
        <v>0.11732348705439745</v>
      </c>
      <c r="P1943">
        <v>1.5062029843881964E-2</v>
      </c>
      <c r="Q1943">
        <v>8.4288413177368692E-4</v>
      </c>
      <c r="R1943">
        <v>1.5236949403242093E-3</v>
      </c>
      <c r="S1943">
        <v>0.11259326897927083</v>
      </c>
      <c r="T1943">
        <v>0.80793854133283716</v>
      </c>
      <c r="U1943">
        <v>0</v>
      </c>
      <c r="V1943">
        <v>0.19985198640109805</v>
      </c>
      <c r="W1943">
        <v>8.8204559964634471E-2</v>
      </c>
      <c r="X1943">
        <v>2.6113081190509195E-2</v>
      </c>
      <c r="Y1943">
        <v>4.1469953416604132E-3</v>
      </c>
    </row>
    <row r="1944" spans="1:25" x14ac:dyDescent="0.25">
      <c r="A1944" s="1098"/>
      <c r="B1944" s="1457">
        <v>1694</v>
      </c>
      <c r="C1944" s="1102">
        <v>1.0278081088154269</v>
      </c>
      <c r="D1944" s="1102">
        <v>0.99754282392832561</v>
      </c>
      <c r="E1944" s="1102">
        <v>0.98607854089640712</v>
      </c>
      <c r="F1944" s="1102">
        <v>1.0204313730222379</v>
      </c>
      <c r="G1944" s="1102">
        <v>0.98508131271667809</v>
      </c>
      <c r="H1944" s="1102">
        <v>0.97737149954633395</v>
      </c>
      <c r="I1944" s="1102">
        <v>1.0246643804643287</v>
      </c>
      <c r="K1944">
        <v>1.5591954110759694</v>
      </c>
      <c r="L1944">
        <v>0</v>
      </c>
      <c r="M1944">
        <v>1.5346886806010466E-3</v>
      </c>
      <c r="N1944">
        <v>0.13539124693935625</v>
      </c>
      <c r="O1944">
        <v>0.12153929637534444</v>
      </c>
      <c r="P1944">
        <v>1.5714153907931652E-2</v>
      </c>
      <c r="Q1944">
        <v>8.6274910482276614E-4</v>
      </c>
      <c r="R1944">
        <v>1.5311331345339949E-3</v>
      </c>
      <c r="S1944">
        <v>0.11778759617509932</v>
      </c>
      <c r="T1944">
        <v>0.84305152096064739</v>
      </c>
      <c r="U1944">
        <v>0</v>
      </c>
      <c r="V1944">
        <v>0.20375560957117553</v>
      </c>
      <c r="W1944">
        <v>8.9685921880172062E-2</v>
      </c>
      <c r="X1944">
        <v>2.7243632053184978E-2</v>
      </c>
      <c r="Y1944">
        <v>4.1672396542993869E-3</v>
      </c>
    </row>
    <row r="1945" spans="1:25" x14ac:dyDescent="0.25">
      <c r="A1945" s="1098"/>
      <c r="B1945" s="1457">
        <v>1695</v>
      </c>
      <c r="C1945" s="1102">
        <v>1.0335337025643518</v>
      </c>
      <c r="D1945" s="1102">
        <v>0.98581260647941082</v>
      </c>
      <c r="E1945" s="1102">
        <v>1.02108437328267</v>
      </c>
      <c r="F1945" s="1102">
        <v>0.97868430318499988</v>
      </c>
      <c r="G1945" s="1102">
        <v>0.98605835836074052</v>
      </c>
      <c r="H1945" s="1102">
        <v>1.0125349729564779</v>
      </c>
      <c r="I1945" s="1102">
        <v>0.98814131302564367</v>
      </c>
      <c r="K1945">
        <v>1.5301234908548338</v>
      </c>
      <c r="L1945">
        <v>0</v>
      </c>
      <c r="M1945">
        <v>1.4761534891747591E-3</v>
      </c>
      <c r="N1945">
        <v>0.14476217513982828</v>
      </c>
      <c r="O1945">
        <v>0.11876596412427674</v>
      </c>
      <c r="P1945">
        <v>1.5569765334854551E-2</v>
      </c>
      <c r="Q1945">
        <v>8.9383935935582212E-4</v>
      </c>
      <c r="R1945">
        <v>1.4728498237280179E-3</v>
      </c>
      <c r="S1945">
        <v>0.11631070936744549</v>
      </c>
      <c r="T1945">
        <v>0.80630361956395447</v>
      </c>
      <c r="U1945">
        <v>0</v>
      </c>
      <c r="V1945">
        <v>0.20159617798466389</v>
      </c>
      <c r="W1945">
        <v>9.392434973649616E-2</v>
      </c>
      <c r="X1945">
        <v>2.7991582214030249E-2</v>
      </c>
      <c r="Y1945">
        <v>4.008611695373759E-3</v>
      </c>
    </row>
    <row r="1946" spans="1:25" x14ac:dyDescent="0.25">
      <c r="A1946" s="1098"/>
      <c r="B1946" s="1457">
        <v>1696</v>
      </c>
      <c r="C1946" s="1102">
        <v>1.015172660448324</v>
      </c>
      <c r="D1946" s="1102">
        <v>1.0277879605196663</v>
      </c>
      <c r="E1946" s="1102">
        <v>0.97072444648522227</v>
      </c>
      <c r="F1946" s="1102">
        <v>0.98784170976645502</v>
      </c>
      <c r="G1946" s="1102">
        <v>0.97686592710063891</v>
      </c>
      <c r="H1946" s="1102">
        <v>0.98010085501040534</v>
      </c>
      <c r="I1946" s="1102">
        <v>0.99438160198036896</v>
      </c>
      <c r="K1946">
        <v>1.5189355806412894</v>
      </c>
      <c r="L1946">
        <v>0</v>
      </c>
      <c r="M1946">
        <v>1.5761119302555742E-3</v>
      </c>
      <c r="N1946">
        <v>0.13273140323766541</v>
      </c>
      <c r="O1946">
        <v>0.11864787062066134</v>
      </c>
      <c r="P1946">
        <v>1.5104546010336719E-2</v>
      </c>
      <c r="Q1946">
        <v>8.4932508880523037E-4</v>
      </c>
      <c r="R1946">
        <v>1.5724401684654135E-3</v>
      </c>
      <c r="S1946">
        <v>0.11361392249987017</v>
      </c>
      <c r="T1946">
        <v>0.8171386974666065</v>
      </c>
      <c r="U1946">
        <v>0</v>
      </c>
      <c r="V1946">
        <v>0.20182307640644342</v>
      </c>
      <c r="W1946">
        <v>8.8743984690507205E-2</v>
      </c>
      <c r="X1946">
        <v>2.6006762598382881E-2</v>
      </c>
      <c r="Y1946">
        <v>4.2796637838006316E-3</v>
      </c>
    </row>
    <row r="1947" spans="1:25" x14ac:dyDescent="0.25">
      <c r="A1947" s="1098"/>
      <c r="B1947" s="1457">
        <v>1697</v>
      </c>
      <c r="C1947" s="1102">
        <v>0.96808622076604445</v>
      </c>
      <c r="D1947" s="1102">
        <v>0.99736961029798998</v>
      </c>
      <c r="E1947" s="1102">
        <v>0.99637058065580664</v>
      </c>
      <c r="F1947" s="1102">
        <v>0.96965755713408996</v>
      </c>
      <c r="G1947" s="1102">
        <v>1.0095105463792073</v>
      </c>
      <c r="H1947" s="1102">
        <v>1.0108636832103082</v>
      </c>
      <c r="I1947" s="1102">
        <v>0.99062968327182543</v>
      </c>
      <c r="K1947">
        <v>1.5468894925878811</v>
      </c>
      <c r="L1947">
        <v>0</v>
      </c>
      <c r="M1947">
        <v>1.6360961644464832E-3</v>
      </c>
      <c r="N1947">
        <v>0.14890773491903658</v>
      </c>
      <c r="O1947">
        <v>0.12100443241060994</v>
      </c>
      <c r="P1947">
        <v>1.5375905875976485E-2</v>
      </c>
      <c r="Q1947">
        <v>9.2590988867197405E-4</v>
      </c>
      <c r="R1947">
        <v>1.6324006449398515E-3</v>
      </c>
      <c r="S1947">
        <v>0.12297798342361166</v>
      </c>
      <c r="T1947">
        <v>0.80044199947975847</v>
      </c>
      <c r="U1947">
        <v>0</v>
      </c>
      <c r="V1947">
        <v>0.20729444227370905</v>
      </c>
      <c r="W1947">
        <v>9.8033805459930193E-2</v>
      </c>
      <c r="X1947">
        <v>2.748811794128497E-2</v>
      </c>
      <c r="Y1947">
        <v>4.442856434798294E-3</v>
      </c>
    </row>
    <row r="1948" spans="1:25" x14ac:dyDescent="0.25">
      <c r="A1948" s="1098"/>
      <c r="B1948" s="1457">
        <v>1698</v>
      </c>
      <c r="C1948" s="1102">
        <v>0.96559768660921508</v>
      </c>
      <c r="D1948" s="1102">
        <v>0.99222699947422333</v>
      </c>
      <c r="E1948" s="1102">
        <v>1.0138802618190534</v>
      </c>
      <c r="F1948" s="1102">
        <v>0.98041427976853368</v>
      </c>
      <c r="G1948" s="1102">
        <v>1.0189418686724949</v>
      </c>
      <c r="H1948" s="1102">
        <v>0.98096732774147677</v>
      </c>
      <c r="I1948" s="1102">
        <v>1.0134356977627934</v>
      </c>
      <c r="K1948">
        <v>1.5564809831253181</v>
      </c>
      <c r="L1948">
        <v>0</v>
      </c>
      <c r="M1948">
        <v>1.5404866512639889E-3</v>
      </c>
      <c r="N1948">
        <v>0.14780995986525269</v>
      </c>
      <c r="O1948">
        <v>0.1220852431114212</v>
      </c>
      <c r="P1948">
        <v>1.5719168591933379E-2</v>
      </c>
      <c r="Q1948">
        <v>9.4721239608862946E-4</v>
      </c>
      <c r="R1948">
        <v>1.536906469117082E-3</v>
      </c>
      <c r="S1948">
        <v>0.12412525532112839</v>
      </c>
      <c r="T1948">
        <v>0.8081911552898291</v>
      </c>
      <c r="U1948">
        <v>0</v>
      </c>
      <c r="V1948">
        <v>0.2086965752198629</v>
      </c>
      <c r="W1948">
        <v>9.6307672271907133E-2</v>
      </c>
      <c r="X1948">
        <v>2.8419368472182967E-2</v>
      </c>
      <c r="Y1948">
        <v>4.1829527678553169E-3</v>
      </c>
    </row>
    <row r="1949" spans="1:25" x14ac:dyDescent="0.25">
      <c r="A1949" s="1098"/>
      <c r="B1949" s="1457">
        <v>1699</v>
      </c>
      <c r="C1949" s="1102">
        <v>0.98535233484947926</v>
      </c>
      <c r="D1949" s="1102">
        <v>1.0015628954487465</v>
      </c>
      <c r="E1949" s="1102">
        <v>1.0047735563070392</v>
      </c>
      <c r="F1949" s="1102">
        <v>1.0255847384014496</v>
      </c>
      <c r="G1949" s="1102">
        <v>1.017487718314293</v>
      </c>
      <c r="H1949" s="1102">
        <v>1.0405640266768488</v>
      </c>
      <c r="I1949" s="1102">
        <v>0.97841620430490051</v>
      </c>
      <c r="K1949">
        <v>1.6027696342144391</v>
      </c>
      <c r="L1949">
        <v>0</v>
      </c>
      <c r="M1949">
        <v>1.631464350848011E-3</v>
      </c>
      <c r="N1949">
        <v>0.15231542886265692</v>
      </c>
      <c r="O1949">
        <v>0.1238437960644287</v>
      </c>
      <c r="P1949">
        <v>1.6103448859665751E-2</v>
      </c>
      <c r="Q1949">
        <v>9.1610426326410989E-4</v>
      </c>
      <c r="R1949">
        <v>1.6279023125986905E-3</v>
      </c>
      <c r="S1949">
        <v>0.12184098528345035</v>
      </c>
      <c r="T1949">
        <v>0.84604054504228954</v>
      </c>
      <c r="U1949">
        <v>0</v>
      </c>
      <c r="V1949">
        <v>0.20894734436487256</v>
      </c>
      <c r="W1949">
        <v>9.9777930638356202E-2</v>
      </c>
      <c r="X1949">
        <v>2.8556999416664279E-2</v>
      </c>
      <c r="Y1949">
        <v>4.4306134570405113E-3</v>
      </c>
    </row>
    <row r="1950" spans="1:25" x14ac:dyDescent="0.25">
      <c r="A1950" s="1098"/>
      <c r="B1950" s="1457">
        <v>1700</v>
      </c>
      <c r="C1950" s="1102">
        <v>0.99913798950422539</v>
      </c>
      <c r="D1950" s="1102">
        <v>1.0120399914636891</v>
      </c>
      <c r="E1950" s="1102">
        <v>0.98925686040501537</v>
      </c>
      <c r="F1950" s="1102">
        <v>0.99654240797403149</v>
      </c>
      <c r="G1950" s="1102">
        <v>0.97233750896345017</v>
      </c>
      <c r="H1950" s="1102">
        <v>1.0261885757725753</v>
      </c>
      <c r="I1950" s="1102">
        <v>1.0233233381067064</v>
      </c>
      <c r="K1950">
        <v>1.5601251975914285</v>
      </c>
      <c r="L1950">
        <v>0</v>
      </c>
      <c r="M1950">
        <v>1.6270725133986793E-3</v>
      </c>
      <c r="N1950">
        <v>0.14494165895627184</v>
      </c>
      <c r="O1950">
        <v>0.12068216760269089</v>
      </c>
      <c r="P1950">
        <v>1.5562806580292996E-2</v>
      </c>
      <c r="Q1950">
        <v>8.8533006722551816E-4</v>
      </c>
      <c r="R1950">
        <v>1.6234598397578198E-3</v>
      </c>
      <c r="S1950">
        <v>0.12361012658261925</v>
      </c>
      <c r="T1950">
        <v>0.82310478477064664</v>
      </c>
      <c r="U1950">
        <v>0</v>
      </c>
      <c r="V1950">
        <v>0.20388730413127418</v>
      </c>
      <c r="W1950">
        <v>9.5829338231947905E-2</v>
      </c>
      <c r="X1950">
        <v>2.7206770831669693E-2</v>
      </c>
      <c r="Y1950">
        <v>4.4185225104284411E-3</v>
      </c>
    </row>
    <row r="1951" spans="1:25" x14ac:dyDescent="0.25">
      <c r="A1951" s="1098"/>
      <c r="B1951" s="1457">
        <v>1701</v>
      </c>
      <c r="C1951" s="1102">
        <v>1.0232953116983277</v>
      </c>
      <c r="D1951" s="1102">
        <v>0.99775607331472582</v>
      </c>
      <c r="E1951" s="1102">
        <v>0.95793063076950058</v>
      </c>
      <c r="F1951" s="1102">
        <v>0.96178106196782975</v>
      </c>
      <c r="G1951" s="1102">
        <v>1.009297113955405</v>
      </c>
      <c r="H1951" s="1102">
        <v>0.9888077135781006</v>
      </c>
      <c r="I1951" s="1102">
        <v>1.0009251035554501</v>
      </c>
      <c r="K1951">
        <v>1.5006195898641919</v>
      </c>
      <c r="L1951">
        <v>0</v>
      </c>
      <c r="M1951">
        <v>1.6447123141123331E-3</v>
      </c>
      <c r="N1951">
        <v>0.13324722219550048</v>
      </c>
      <c r="O1951">
        <v>0.11772917446981197</v>
      </c>
      <c r="P1951">
        <v>1.4718308514305082E-2</v>
      </c>
      <c r="Q1951">
        <v>8.4118723341482715E-4</v>
      </c>
      <c r="R1951">
        <v>1.6409276683814903E-3</v>
      </c>
      <c r="S1951">
        <v>0.1160206692632323</v>
      </c>
      <c r="T1951">
        <v>0.79640788240803972</v>
      </c>
      <c r="U1951">
        <v>0</v>
      </c>
      <c r="V1951">
        <v>0.20212062195694197</v>
      </c>
      <c r="W1951">
        <v>8.9788442459440065E-2</v>
      </c>
      <c r="X1951">
        <v>2.5283801827561032E-2</v>
      </c>
      <c r="Y1951">
        <v>4.4660641816739125E-3</v>
      </c>
    </row>
    <row r="1952" spans="1:25" x14ac:dyDescent="0.25">
      <c r="A1952" s="1098"/>
      <c r="B1952" s="1457">
        <v>1702</v>
      </c>
      <c r="C1952" s="1102">
        <v>1.0408900954981251</v>
      </c>
      <c r="D1952" s="1102">
        <v>0.9932200805500967</v>
      </c>
      <c r="E1952" s="1102">
        <v>1.0159594618324301</v>
      </c>
      <c r="F1952" s="1102">
        <v>1.0119166130337531</v>
      </c>
      <c r="G1952" s="1102">
        <v>0.97409715658192009</v>
      </c>
      <c r="H1952" s="1102">
        <v>0.97171629979704532</v>
      </c>
      <c r="I1952" s="1102">
        <v>1.0434504382897118</v>
      </c>
      <c r="K1952">
        <v>1.5499053993721139</v>
      </c>
      <c r="L1952">
        <v>0</v>
      </c>
      <c r="M1952">
        <v>1.4199719875813235E-3</v>
      </c>
      <c r="N1952">
        <v>0.13710364089306035</v>
      </c>
      <c r="O1952">
        <v>0.12041244077899704</v>
      </c>
      <c r="P1952">
        <v>1.592717123651486E-2</v>
      </c>
      <c r="Q1952">
        <v>8.8022511361046402E-4</v>
      </c>
      <c r="R1952">
        <v>1.4166664254912531E-3</v>
      </c>
      <c r="S1952">
        <v>0.11837427016888229</v>
      </c>
      <c r="T1952">
        <v>0.8340217966365886</v>
      </c>
      <c r="U1952">
        <v>0</v>
      </c>
      <c r="V1952">
        <v>0.20196360798047211</v>
      </c>
      <c r="W1952">
        <v>8.9222782967338946E-2</v>
      </c>
      <c r="X1952">
        <v>2.8147070152513741E-2</v>
      </c>
      <c r="Y1952">
        <v>3.8556990062255385E-3</v>
      </c>
    </row>
    <row r="1953" spans="1:25" x14ac:dyDescent="0.25">
      <c r="A1953" s="1098"/>
      <c r="B1953" s="1457">
        <v>1703</v>
      </c>
      <c r="C1953" s="1102">
        <v>1.0052221468268723</v>
      </c>
      <c r="D1953" s="1102">
        <v>0.99587465724839208</v>
      </c>
      <c r="E1953" s="1102">
        <v>0.98282810128645059</v>
      </c>
      <c r="F1953" s="1102">
        <v>1.0134651455025909</v>
      </c>
      <c r="G1953" s="1102">
        <v>0.98207288865744524</v>
      </c>
      <c r="H1953" s="1102">
        <v>1.0095715502685365</v>
      </c>
      <c r="I1953" s="1102">
        <v>0.9892032275534075</v>
      </c>
      <c r="K1953">
        <v>1.5687981854695954</v>
      </c>
      <c r="L1953">
        <v>0</v>
      </c>
      <c r="M1953">
        <v>1.6299265630934827E-3</v>
      </c>
      <c r="N1953">
        <v>0.14239638085077394</v>
      </c>
      <c r="O1953">
        <v>0.12227904455277837</v>
      </c>
      <c r="P1953">
        <v>1.5632736150692963E-2</v>
      </c>
      <c r="Q1953">
        <v>8.797301038293517E-4</v>
      </c>
      <c r="R1953">
        <v>1.6262641434618736E-3</v>
      </c>
      <c r="S1953">
        <v>0.11873611467718924</v>
      </c>
      <c r="T1953">
        <v>0.83751533809928524</v>
      </c>
      <c r="U1953">
        <v>0</v>
      </c>
      <c r="V1953">
        <v>0.20516028955787913</v>
      </c>
      <c r="W1953">
        <v>9.451092725198583E-2</v>
      </c>
      <c r="X1953">
        <v>2.726513174414014E-2</v>
      </c>
      <c r="Y1953">
        <v>4.4261549006724054E-3</v>
      </c>
    </row>
    <row r="1954" spans="1:25" x14ac:dyDescent="0.25">
      <c r="A1954" s="1098"/>
      <c r="B1954" s="1457">
        <v>1704</v>
      </c>
      <c r="C1954" s="1102">
        <v>0.96421359411677254</v>
      </c>
      <c r="D1954" s="1102">
        <v>1.0032183918952928</v>
      </c>
      <c r="E1954" s="1102">
        <v>1.0052126296085115</v>
      </c>
      <c r="F1954" s="1102">
        <v>1.0191521964023507</v>
      </c>
      <c r="G1954" s="1102">
        <v>0.97241397236666827</v>
      </c>
      <c r="H1954" s="1102">
        <v>1.0043954672540143</v>
      </c>
      <c r="I1954" s="1102">
        <v>1.0129423757547824</v>
      </c>
      <c r="K1954">
        <v>1.5971675190558512</v>
      </c>
      <c r="L1954">
        <v>0</v>
      </c>
      <c r="M1954">
        <v>1.6029921505846209E-3</v>
      </c>
      <c r="N1954">
        <v>0.14984321039678869</v>
      </c>
      <c r="O1954">
        <v>0.1244560314231145</v>
      </c>
      <c r="P1954">
        <v>1.6079788239678396E-2</v>
      </c>
      <c r="Q1954">
        <v>9.3599489727342201E-4</v>
      </c>
      <c r="R1954">
        <v>1.599357738849736E-3</v>
      </c>
      <c r="S1954">
        <v>0.12559788408685041</v>
      </c>
      <c r="T1954">
        <v>0.84070464929110778</v>
      </c>
      <c r="U1954">
        <v>0</v>
      </c>
      <c r="V1954">
        <v>0.20840872333408511</v>
      </c>
      <c r="W1954">
        <v>9.8132932237395748E-2</v>
      </c>
      <c r="X1954">
        <v>2.8659015024279113E-2</v>
      </c>
      <c r="Y1954">
        <v>4.3529245370120652E-3</v>
      </c>
    </row>
    <row r="1955" spans="1:25" x14ac:dyDescent="0.25">
      <c r="A1955" s="1098"/>
      <c r="B1955" s="1457">
        <v>1705</v>
      </c>
      <c r="C1955" s="1102">
        <v>0.99154089583452076</v>
      </c>
      <c r="D1955" s="1102">
        <v>0.97910325853968694</v>
      </c>
      <c r="E1955" s="1102">
        <v>0.98306119687251881</v>
      </c>
      <c r="F1955" s="1102">
        <v>1.0037006265268034</v>
      </c>
      <c r="G1955" s="1102">
        <v>0.99949290966000681</v>
      </c>
      <c r="H1955" s="1102">
        <v>1.0012335311278973</v>
      </c>
      <c r="I1955" s="1102">
        <v>0.99765474086398664</v>
      </c>
      <c r="K1955">
        <v>1.5699135760396392</v>
      </c>
      <c r="L1955">
        <v>0</v>
      </c>
      <c r="M1955">
        <v>1.6509088547117627E-3</v>
      </c>
      <c r="N1955">
        <v>0.1443288486637215</v>
      </c>
      <c r="O1955">
        <v>0.12305507687771661</v>
      </c>
      <c r="P1955">
        <v>1.5594641126909548E-2</v>
      </c>
      <c r="Q1955">
        <v>8.9816734805653494E-4</v>
      </c>
      <c r="R1955">
        <v>1.647172392713108E-3</v>
      </c>
      <c r="S1955">
        <v>0.12182395144185937</v>
      </c>
      <c r="T1955">
        <v>0.82943048439723543</v>
      </c>
      <c r="U1955">
        <v>0</v>
      </c>
      <c r="V1955">
        <v>0.20711555186091227</v>
      </c>
      <c r="W1955">
        <v>9.5780088943971609E-2</v>
      </c>
      <c r="X1955">
        <v>2.7407441578524185E-2</v>
      </c>
      <c r="Y1955">
        <v>4.4830602627317544E-3</v>
      </c>
    </row>
    <row r="1956" spans="1:25" x14ac:dyDescent="0.25">
      <c r="A1956" s="1098"/>
      <c r="B1956" s="1457">
        <v>1706</v>
      </c>
      <c r="C1956" s="1102">
        <v>1.011401013084442</v>
      </c>
      <c r="D1956" s="1102">
        <v>0.99711111398154795</v>
      </c>
      <c r="E1956" s="1102">
        <v>1.0379581798468163</v>
      </c>
      <c r="F1956" s="1102">
        <v>1.0128331460479258</v>
      </c>
      <c r="G1956" s="1102">
        <v>1.0074096601231288</v>
      </c>
      <c r="H1956" s="1102">
        <v>1.0020618245549346</v>
      </c>
      <c r="I1956" s="1102">
        <v>0.98535719741946493</v>
      </c>
      <c r="K1956">
        <v>1.5711901209633319</v>
      </c>
      <c r="L1956">
        <v>0</v>
      </c>
      <c r="M1956">
        <v>1.4334637242224741E-3</v>
      </c>
      <c r="N1956">
        <v>0.14790791563252925</v>
      </c>
      <c r="O1956">
        <v>0.1217053488768151</v>
      </c>
      <c r="P1956">
        <v>1.6209890772888591E-2</v>
      </c>
      <c r="Q1956">
        <v>9.2504087692820639E-4</v>
      </c>
      <c r="R1956">
        <v>1.4302192195270371E-3</v>
      </c>
      <c r="S1956">
        <v>0.11701794781239498</v>
      </c>
      <c r="T1956">
        <v>0.83332575251602647</v>
      </c>
      <c r="U1956">
        <v>0</v>
      </c>
      <c r="V1956">
        <v>0.20581522937041133</v>
      </c>
      <c r="W1956">
        <v>9.502962905097033E-2</v>
      </c>
      <c r="X1956">
        <v>2.936402531514859E-2</v>
      </c>
      <c r="Y1956">
        <v>3.8925852439135886E-3</v>
      </c>
    </row>
    <row r="1957" spans="1:25" x14ac:dyDescent="0.25">
      <c r="A1957" s="1098"/>
      <c r="B1957" s="1457">
        <v>1707</v>
      </c>
      <c r="C1957" s="1102">
        <v>1.0038764244586171</v>
      </c>
      <c r="D1957" s="1102">
        <v>1.0048809216191061</v>
      </c>
      <c r="E1957" s="1102">
        <v>1.0069860714632608</v>
      </c>
      <c r="F1957" s="1102">
        <v>1.035752910766188</v>
      </c>
      <c r="G1957" s="1102">
        <v>1.0287719342923349</v>
      </c>
      <c r="H1957" s="1102">
        <v>0.96232033821728291</v>
      </c>
      <c r="I1957" s="1102">
        <v>1.0077540121895987</v>
      </c>
      <c r="K1957">
        <v>1.5816229315292312</v>
      </c>
      <c r="L1957">
        <v>0</v>
      </c>
      <c r="M1957">
        <v>1.4744460566196358E-3</v>
      </c>
      <c r="N1957">
        <v>0.13855470071237971</v>
      </c>
      <c r="O1957">
        <v>0.12342628656490409</v>
      </c>
      <c r="P1957">
        <v>1.6165897084130326E-2</v>
      </c>
      <c r="Q1957">
        <v>9.0006688648210272E-4</v>
      </c>
      <c r="R1957">
        <v>1.4709703721290871E-3</v>
      </c>
      <c r="S1957">
        <v>0.11688328748096123</v>
      </c>
      <c r="T1957">
        <v>0.85427778042677516</v>
      </c>
      <c r="U1957">
        <v>0</v>
      </c>
      <c r="V1957">
        <v>0.20829929447336876</v>
      </c>
      <c r="W1957">
        <v>9.0644906739078504E-2</v>
      </c>
      <c r="X1957">
        <v>2.8470690397958711E-2</v>
      </c>
      <c r="Y1957">
        <v>4.0034964476825243E-3</v>
      </c>
    </row>
    <row r="1958" spans="1:25" x14ac:dyDescent="0.25">
      <c r="A1958" s="1098"/>
      <c r="B1958" s="1457">
        <v>1708</v>
      </c>
      <c r="C1958" s="1102">
        <v>0.96297282660817252</v>
      </c>
      <c r="D1958" s="1102">
        <v>0.99509036318346111</v>
      </c>
      <c r="E1958" s="1102">
        <v>1.0013484096973306</v>
      </c>
      <c r="F1958" s="1102">
        <v>0.96830582709831026</v>
      </c>
      <c r="G1958" s="1102">
        <v>1.0274904633107187</v>
      </c>
      <c r="H1958" s="1102">
        <v>0.98903307696077047</v>
      </c>
      <c r="I1958" s="1102">
        <v>0.98955046964533755</v>
      </c>
      <c r="K1958">
        <v>1.543015023197889</v>
      </c>
      <c r="L1958">
        <v>0</v>
      </c>
      <c r="M1958">
        <v>1.593949837360105E-3</v>
      </c>
      <c r="N1958">
        <v>0.14726283873408194</v>
      </c>
      <c r="O1958">
        <v>0.12126186549040978</v>
      </c>
      <c r="P1958">
        <v>1.5415713554073941E-2</v>
      </c>
      <c r="Q1958">
        <v>9.3650251119017187E-4</v>
      </c>
      <c r="R1958">
        <v>1.5902694848450335E-3</v>
      </c>
      <c r="S1958">
        <v>0.12185731488782844</v>
      </c>
      <c r="T1958">
        <v>0.79900779128964805</v>
      </c>
      <c r="U1958">
        <v>0</v>
      </c>
      <c r="V1958">
        <v>0.20856683802073855</v>
      </c>
      <c r="W1958">
        <v>9.6664215730115688E-2</v>
      </c>
      <c r="X1958">
        <v>2.7717434026763875E-2</v>
      </c>
      <c r="Y1958">
        <v>4.3281893055533913E-3</v>
      </c>
    </row>
    <row r="1959" spans="1:25" x14ac:dyDescent="0.25">
      <c r="A1959" s="1098"/>
      <c r="B1959" s="1457">
        <v>1709</v>
      </c>
      <c r="C1959" s="1102">
        <v>0.9575123107961282</v>
      </c>
      <c r="D1959" s="1102">
        <v>0.9935084392679141</v>
      </c>
      <c r="E1959" s="1102">
        <v>1.0071707053921344</v>
      </c>
      <c r="F1959" s="1102">
        <v>0.99893093613004458</v>
      </c>
      <c r="G1959" s="1102">
        <v>0.97415166407081899</v>
      </c>
      <c r="H1959" s="1102">
        <v>0.9998925478299765</v>
      </c>
      <c r="I1959" s="1102">
        <v>0.98154223098503179</v>
      </c>
      <c r="K1959">
        <v>1.5782520591041655</v>
      </c>
      <c r="L1959">
        <v>0</v>
      </c>
      <c r="M1959">
        <v>1.605893076519303E-3</v>
      </c>
      <c r="N1959">
        <v>0.15100293167747705</v>
      </c>
      <c r="O1959">
        <v>0.12381709283844515</v>
      </c>
      <c r="P1959">
        <v>1.5832594104369012E-2</v>
      </c>
      <c r="Q1959">
        <v>9.4813616703118254E-4</v>
      </c>
      <c r="R1959">
        <v>1.6022338698428703E-3</v>
      </c>
      <c r="S1959">
        <v>0.12273436503243766</v>
      </c>
      <c r="T1959">
        <v>0.82389528140326185</v>
      </c>
      <c r="U1959">
        <v>0</v>
      </c>
      <c r="V1959">
        <v>0.20833963263387698</v>
      </c>
      <c r="W1959">
        <v>9.877797724060558E-2</v>
      </c>
      <c r="X1959">
        <v>2.8546954795877606E-2</v>
      </c>
      <c r="Y1959">
        <v>4.3607524174590507E-3</v>
      </c>
    </row>
    <row r="1960" spans="1:25" x14ac:dyDescent="0.25">
      <c r="A1960" s="1098"/>
      <c r="B1960" s="1457">
        <v>1710</v>
      </c>
      <c r="C1960" s="1102">
        <v>1.0469529175476679</v>
      </c>
      <c r="D1960" s="1102">
        <v>1.0465543124310839</v>
      </c>
      <c r="E1960" s="1102">
        <v>0.9806493268837182</v>
      </c>
      <c r="F1960" s="1102">
        <v>1.0005916161743427</v>
      </c>
      <c r="G1960" s="1102">
        <v>0.97817930279044674</v>
      </c>
      <c r="H1960" s="1102">
        <v>1.016793805505412</v>
      </c>
      <c r="I1960" s="1102">
        <v>0.99589216348524268</v>
      </c>
      <c r="K1960">
        <v>1.5250296017569007</v>
      </c>
      <c r="L1960">
        <v>0</v>
      </c>
      <c r="M1960">
        <v>1.5420287977935378E-3</v>
      </c>
      <c r="N1960">
        <v>0.13383243184613816</v>
      </c>
      <c r="O1960">
        <v>0.11717944641608187</v>
      </c>
      <c r="P1960">
        <v>1.5300443626820958E-2</v>
      </c>
      <c r="Q1960">
        <v>8.2617270605128907E-4</v>
      </c>
      <c r="R1960">
        <v>1.5385659188769068E-3</v>
      </c>
      <c r="S1960">
        <v>0.11208298429592026</v>
      </c>
      <c r="T1960">
        <v>0.82702200893454536</v>
      </c>
      <c r="U1960">
        <v>0</v>
      </c>
      <c r="V1960">
        <v>0.19950842990537379</v>
      </c>
      <c r="W1960">
        <v>8.8943662987494343E-2</v>
      </c>
      <c r="X1960">
        <v>2.6150014674327808E-2</v>
      </c>
      <c r="Y1960">
        <v>4.1874692430640915E-3</v>
      </c>
    </row>
    <row r="1961" spans="1:25" x14ac:dyDescent="0.25">
      <c r="A1961" s="1098"/>
      <c r="B1961" s="1457">
        <v>1711</v>
      </c>
      <c r="C1961" s="1102">
        <v>0.98800194982245393</v>
      </c>
      <c r="D1961" s="1102">
        <v>0.98463047116158553</v>
      </c>
      <c r="E1961" s="1102">
        <v>1.0207007069684721</v>
      </c>
      <c r="F1961" s="1102">
        <v>0.99962693302740546</v>
      </c>
      <c r="G1961" s="1102">
        <v>0.97511944511852489</v>
      </c>
      <c r="H1961" s="1102">
        <v>1.0075903474066701</v>
      </c>
      <c r="I1961" s="1102">
        <v>0.98992310035230779</v>
      </c>
      <c r="K1961">
        <v>1.571646449554978</v>
      </c>
      <c r="L1961">
        <v>0</v>
      </c>
      <c r="M1961">
        <v>1.5362741711960201E-3</v>
      </c>
      <c r="N1961">
        <v>0.15048160300414759</v>
      </c>
      <c r="O1961">
        <v>0.12259119601615942</v>
      </c>
      <c r="P1961">
        <v>1.5936731659099503E-2</v>
      </c>
      <c r="Q1961">
        <v>9.3511259037339545E-4</v>
      </c>
      <c r="R1961">
        <v>1.5328138367480197E-3</v>
      </c>
      <c r="S1961">
        <v>0.12144151074415296</v>
      </c>
      <c r="T1961">
        <v>0.82358257566938931</v>
      </c>
      <c r="U1961">
        <v>0</v>
      </c>
      <c r="V1961">
        <v>0.20600398669941999</v>
      </c>
      <c r="W1961">
        <v>9.7657122041646338E-2</v>
      </c>
      <c r="X1961">
        <v>2.8848257493352999E-2</v>
      </c>
      <c r="Y1961">
        <v>4.1718139716826258E-3</v>
      </c>
    </row>
    <row r="1962" spans="1:25" x14ac:dyDescent="0.25">
      <c r="A1962" s="1098"/>
      <c r="B1962" s="1457">
        <v>1712</v>
      </c>
      <c r="C1962" s="1102">
        <v>0.99552407364511586</v>
      </c>
      <c r="D1962" s="1102">
        <v>0.98689068616815234</v>
      </c>
      <c r="E1962" s="1102">
        <v>0.99147101235113944</v>
      </c>
      <c r="F1962" s="1102">
        <v>1.0026463167646622</v>
      </c>
      <c r="G1962" s="1102">
        <v>1.0067575761357235</v>
      </c>
      <c r="H1962" s="1102">
        <v>1.0000634389952272</v>
      </c>
      <c r="I1962" s="1102">
        <v>0.98235198426277504</v>
      </c>
      <c r="K1962">
        <v>1.5638519263727781</v>
      </c>
      <c r="L1962">
        <v>0</v>
      </c>
      <c r="M1962">
        <v>1.6071703100436093E-3</v>
      </c>
      <c r="N1962">
        <v>0.14412341522730396</v>
      </c>
      <c r="O1962">
        <v>0.12239727493840957</v>
      </c>
      <c r="P1962">
        <v>1.5630343107754407E-2</v>
      </c>
      <c r="Q1962">
        <v>8.9960630888347138E-4</v>
      </c>
      <c r="R1962">
        <v>1.6035245989782611E-3</v>
      </c>
      <c r="S1962">
        <v>0.11885336629318603</v>
      </c>
      <c r="T1962">
        <v>0.82799913039209183</v>
      </c>
      <c r="U1962">
        <v>0</v>
      </c>
      <c r="V1962">
        <v>0.20682123441720499</v>
      </c>
      <c r="W1962">
        <v>9.5162078356611599E-2</v>
      </c>
      <c r="X1962">
        <v>2.7604857685718763E-2</v>
      </c>
      <c r="Y1962">
        <v>4.3642653566768391E-3</v>
      </c>
    </row>
    <row r="1963" spans="1:25" x14ac:dyDescent="0.25">
      <c r="A1963" s="1098"/>
      <c r="B1963" s="1457">
        <v>1713</v>
      </c>
      <c r="C1963" s="1102">
        <v>0.9871835353215529</v>
      </c>
      <c r="D1963" s="1102">
        <v>1.0019310250936142</v>
      </c>
      <c r="E1963" s="1102">
        <v>1.0107994145867445</v>
      </c>
      <c r="F1963" s="1102">
        <v>0.9914594896768254</v>
      </c>
      <c r="G1963" s="1102">
        <v>0.98074240651657885</v>
      </c>
      <c r="H1963" s="1102">
        <v>0.98756084787130183</v>
      </c>
      <c r="I1963" s="1102">
        <v>1.0125654674421256</v>
      </c>
      <c r="K1963">
        <v>1.5535947132502055</v>
      </c>
      <c r="L1963">
        <v>0</v>
      </c>
      <c r="M1963">
        <v>1.5222096286493633E-3</v>
      </c>
      <c r="N1963">
        <v>0.14470689912929374</v>
      </c>
      <c r="O1963">
        <v>0.12131813653242159</v>
      </c>
      <c r="P1963">
        <v>1.5727059937123915E-2</v>
      </c>
      <c r="Q1963">
        <v>9.1997665624191766E-4</v>
      </c>
      <c r="R1963">
        <v>1.5186989311762517E-3</v>
      </c>
      <c r="S1963">
        <v>0.12133791599879601</v>
      </c>
      <c r="T1963">
        <v>0.81749654823869056</v>
      </c>
      <c r="U1963">
        <v>0</v>
      </c>
      <c r="V1963">
        <v>0.20535879645558858</v>
      </c>
      <c r="W1963">
        <v>9.4456958120613124E-2</v>
      </c>
      <c r="X1963">
        <v>2.8142535027213509E-2</v>
      </c>
      <c r="Y1963">
        <v>4.1333978516936432E-3</v>
      </c>
    </row>
    <row r="1964" spans="1:25" x14ac:dyDescent="0.25">
      <c r="A1964" s="1098"/>
      <c r="B1964" s="1457">
        <v>1714</v>
      </c>
      <c r="C1964" s="1102">
        <v>1.0122551571629703</v>
      </c>
      <c r="D1964" s="1102">
        <v>1.0124431829411344</v>
      </c>
      <c r="E1964" s="1102">
        <v>1.001217432770878</v>
      </c>
      <c r="F1964" s="1102">
        <v>0.99837536214428535</v>
      </c>
      <c r="G1964" s="1102">
        <v>0.96240815863361984</v>
      </c>
      <c r="H1964" s="1102">
        <v>0.98959838954649959</v>
      </c>
      <c r="I1964" s="1102">
        <v>0.97111064157154914</v>
      </c>
      <c r="K1964">
        <v>1.5388112016206654</v>
      </c>
      <c r="L1964">
        <v>0</v>
      </c>
      <c r="M1964">
        <v>1.5120906790585086E-3</v>
      </c>
      <c r="N1964">
        <v>0.13964595511565694</v>
      </c>
      <c r="O1964">
        <v>0.12009566932788787</v>
      </c>
      <c r="P1964">
        <v>1.55496545211075E-2</v>
      </c>
      <c r="Q1964">
        <v>8.8464858790598391E-4</v>
      </c>
      <c r="R1964">
        <v>1.5086126899938545E-3</v>
      </c>
      <c r="S1964">
        <v>0.11309611644887095</v>
      </c>
      <c r="T1964">
        <v>0.8238286129194976</v>
      </c>
      <c r="U1964">
        <v>0</v>
      </c>
      <c r="V1964">
        <v>0.20245137369400801</v>
      </c>
      <c r="W1964">
        <v>9.1671576093148424E-2</v>
      </c>
      <c r="X1964">
        <v>2.7485126473523681E-2</v>
      </c>
      <c r="Y1964">
        <v>4.1059464281236694E-3</v>
      </c>
    </row>
    <row r="1965" spans="1:25" x14ac:dyDescent="0.25">
      <c r="A1965" s="1098"/>
      <c r="B1965" s="1457">
        <v>1715</v>
      </c>
      <c r="C1965" s="1102">
        <v>0.98403618307457508</v>
      </c>
      <c r="D1965" s="1102">
        <v>1.0109085608691275</v>
      </c>
      <c r="E1965" s="1102">
        <v>1.0128234624726633</v>
      </c>
      <c r="F1965" s="1102">
        <v>0.98717991584544718</v>
      </c>
      <c r="G1965" s="1102">
        <v>0.9719542080534137</v>
      </c>
      <c r="H1965" s="1102">
        <v>1.0243486544240177</v>
      </c>
      <c r="I1965" s="1102">
        <v>1.026406799164689</v>
      </c>
      <c r="K1965">
        <v>1.5620361186245073</v>
      </c>
      <c r="L1965">
        <v>0</v>
      </c>
      <c r="M1965">
        <v>1.5684993273068716E-3</v>
      </c>
      <c r="N1965">
        <v>0.15003294524951291</v>
      </c>
      <c r="O1965">
        <v>0.12078319392499447</v>
      </c>
      <c r="P1965">
        <v>1.5752069657598171E-2</v>
      </c>
      <c r="Q1965">
        <v>9.2155169223978259E-4</v>
      </c>
      <c r="R1965">
        <v>1.5650046754115258E-3</v>
      </c>
      <c r="S1965">
        <v>0.12571123224232156</v>
      </c>
      <c r="T1965">
        <v>0.81383673446710514</v>
      </c>
      <c r="U1965">
        <v>0</v>
      </c>
      <c r="V1965">
        <v>0.20474808035875533</v>
      </c>
      <c r="W1965">
        <v>9.7816866747049258E-2</v>
      </c>
      <c r="X1965">
        <v>2.8177512114008429E-2</v>
      </c>
      <c r="Y1965">
        <v>4.2594268228175773E-3</v>
      </c>
    </row>
    <row r="1966" spans="1:25" x14ac:dyDescent="0.25">
      <c r="A1966" s="1098"/>
      <c r="B1966" s="1457">
        <v>1716</v>
      </c>
      <c r="C1966" s="1102">
        <v>1.0011866317658042</v>
      </c>
      <c r="D1966" s="1102">
        <v>0.99857822601275315</v>
      </c>
      <c r="E1966" s="1102">
        <v>1.0027212237868421</v>
      </c>
      <c r="F1966" s="1102">
        <v>0.98264664847058791</v>
      </c>
      <c r="G1966" s="1102">
        <v>1.0046746935403317</v>
      </c>
      <c r="H1966" s="1102">
        <v>1.0024178954442085</v>
      </c>
      <c r="I1966" s="1102">
        <v>1.0153934233749042</v>
      </c>
      <c r="K1966">
        <v>1.5439553336242713</v>
      </c>
      <c r="L1966">
        <v>0</v>
      </c>
      <c r="M1966">
        <v>1.5527532190057023E-3</v>
      </c>
      <c r="N1966">
        <v>0.14405849502094437</v>
      </c>
      <c r="O1966">
        <v>0.12014312412052672</v>
      </c>
      <c r="P1966">
        <v>1.5535386652529336E-2</v>
      </c>
      <c r="Q1966">
        <v>9.0077761883472051E-4</v>
      </c>
      <c r="R1966">
        <v>1.5492283459816387E-3</v>
      </c>
      <c r="S1966">
        <v>0.12142115296928115</v>
      </c>
      <c r="T1966">
        <v>0.81075230791371034</v>
      </c>
      <c r="U1966">
        <v>0</v>
      </c>
      <c r="V1966">
        <v>0.20486946182498006</v>
      </c>
      <c r="W1966">
        <v>9.4483865748170914E-2</v>
      </c>
      <c r="X1966">
        <v>2.7577797773541489E-2</v>
      </c>
      <c r="Y1966">
        <v>4.2164888547750225E-3</v>
      </c>
    </row>
    <row r="1967" spans="1:25" x14ac:dyDescent="0.25">
      <c r="A1967" s="1098"/>
      <c r="B1967" s="1457">
        <v>1717</v>
      </c>
      <c r="C1967" s="1102">
        <v>1.0075099604685398</v>
      </c>
      <c r="D1967" s="1102">
        <v>0.99096439489627153</v>
      </c>
      <c r="E1967" s="1102">
        <v>0.98556498810323012</v>
      </c>
      <c r="F1967" s="1102">
        <v>1.0008987724894554</v>
      </c>
      <c r="G1967" s="1102">
        <v>1.0043443567626729</v>
      </c>
      <c r="H1967" s="1102">
        <v>1.0230288820348798</v>
      </c>
      <c r="I1967" s="1102">
        <v>1.0098996815012751</v>
      </c>
      <c r="K1967">
        <v>1.564846976841938</v>
      </c>
      <c r="L1967">
        <v>0</v>
      </c>
      <c r="M1967">
        <v>1.6419068002486413E-3</v>
      </c>
      <c r="N1967">
        <v>0.14463971422428545</v>
      </c>
      <c r="O1967">
        <v>0.12149238241413249</v>
      </c>
      <c r="P1967">
        <v>1.5575319189281733E-2</v>
      </c>
      <c r="Q1967">
        <v>8.8198989485221068E-4</v>
      </c>
      <c r="R1967">
        <v>1.6382661411699305E-3</v>
      </c>
      <c r="S1967">
        <v>0.12231979582643721</v>
      </c>
      <c r="T1967">
        <v>0.82694840663352287</v>
      </c>
      <c r="U1967">
        <v>0</v>
      </c>
      <c r="V1967">
        <v>0.2054753432688437</v>
      </c>
      <c r="W1967">
        <v>9.5841873923617746E-2</v>
      </c>
      <c r="X1967">
        <v>2.7216971744064976E-2</v>
      </c>
      <c r="Y1967">
        <v>4.4588203819762567E-3</v>
      </c>
    </row>
    <row r="1968" spans="1:25" x14ac:dyDescent="0.25">
      <c r="A1968" s="1098"/>
      <c r="B1968" s="1457">
        <v>1718</v>
      </c>
      <c r="C1968" s="1102">
        <v>1.028516129902932</v>
      </c>
      <c r="D1968" s="1102">
        <v>0.95730991583715019</v>
      </c>
      <c r="E1968" s="1102">
        <v>0.97874249819469272</v>
      </c>
      <c r="F1968" s="1102">
        <v>1.0192237251143059</v>
      </c>
      <c r="G1968" s="1102">
        <v>1.0012675885795093</v>
      </c>
      <c r="H1968" s="1102">
        <v>0.990410217011372</v>
      </c>
      <c r="I1968" s="1102">
        <v>0.96823803516615037</v>
      </c>
      <c r="K1968">
        <v>1.5666422311349111</v>
      </c>
      <c r="L1968">
        <v>0</v>
      </c>
      <c r="M1968">
        <v>1.6152376172548003E-3</v>
      </c>
      <c r="N1968">
        <v>0.13937626856640892</v>
      </c>
      <c r="O1968">
        <v>0.12326774419165458</v>
      </c>
      <c r="P1968">
        <v>1.5607352575154511E-2</v>
      </c>
      <c r="Q1968">
        <v>8.6976635744955087E-4</v>
      </c>
      <c r="R1968">
        <v>1.6115702927676123E-3</v>
      </c>
      <c r="S1968">
        <v>0.11498830643658778</v>
      </c>
      <c r="T1968">
        <v>0.84255163303193381</v>
      </c>
      <c r="U1968">
        <v>0</v>
      </c>
      <c r="V1968">
        <v>0.20559539628909279</v>
      </c>
      <c r="W1968">
        <v>9.2734778031833082E-2</v>
      </c>
      <c r="X1968">
        <v>2.7268489896372712E-2</v>
      </c>
      <c r="Y1968">
        <v>4.3861630829092075E-3</v>
      </c>
    </row>
    <row r="1969" spans="1:25" x14ac:dyDescent="0.25">
      <c r="A1969" s="1098"/>
      <c r="B1969" s="1457">
        <v>1719</v>
      </c>
      <c r="C1969" s="1102">
        <v>1.0084324488250926</v>
      </c>
      <c r="D1969" s="1102">
        <v>0.97881580095613385</v>
      </c>
      <c r="E1969" s="1102">
        <v>1.0157669722359903</v>
      </c>
      <c r="F1969" s="1102">
        <v>1.0015090899232086</v>
      </c>
      <c r="G1969" s="1102">
        <v>0.98757703200253322</v>
      </c>
      <c r="H1969" s="1102">
        <v>0.98215881872137889</v>
      </c>
      <c r="I1969" s="1102">
        <v>0.99923669013550487</v>
      </c>
      <c r="K1969">
        <v>1.5577258506418383</v>
      </c>
      <c r="L1969">
        <v>0</v>
      </c>
      <c r="M1969">
        <v>1.4897729782070877E-3</v>
      </c>
      <c r="N1969">
        <v>0.14376301739097297</v>
      </c>
      <c r="O1969">
        <v>0.12194603880195244</v>
      </c>
      <c r="P1969">
        <v>1.5853565506914073E-2</v>
      </c>
      <c r="Q1969">
        <v>9.1370011882324447E-4</v>
      </c>
      <c r="R1969">
        <v>1.4863396523826335E-3</v>
      </c>
      <c r="S1969">
        <v>0.11862660733114982</v>
      </c>
      <c r="T1969">
        <v>0.82545654220754883</v>
      </c>
      <c r="U1969">
        <v>0</v>
      </c>
      <c r="V1969">
        <v>0.20509934992142281</v>
      </c>
      <c r="W1969">
        <v>9.3567068914334264E-2</v>
      </c>
      <c r="X1969">
        <v>2.845806721249295E-2</v>
      </c>
      <c r="Y1969">
        <v>4.0453265620508036E-3</v>
      </c>
    </row>
    <row r="1970" spans="1:25" x14ac:dyDescent="0.25">
      <c r="A1970" s="1098"/>
      <c r="B1970" s="1457">
        <v>1720</v>
      </c>
      <c r="C1970" s="1102">
        <v>0.97283433923578599</v>
      </c>
      <c r="D1970" s="1102">
        <v>0.97320065608260631</v>
      </c>
      <c r="E1970" s="1102">
        <v>0.97183377408345983</v>
      </c>
      <c r="F1970" s="1102">
        <v>1.0018583969937063</v>
      </c>
      <c r="G1970" s="1102">
        <v>0.99780133330339604</v>
      </c>
      <c r="H1970" s="1102">
        <v>0.97943600231235917</v>
      </c>
      <c r="I1970" s="1102">
        <v>1.0122635244027247</v>
      </c>
      <c r="K1970">
        <v>1.5721477660747465</v>
      </c>
      <c r="L1970">
        <v>0</v>
      </c>
      <c r="M1970">
        <v>1.6877324297952688E-3</v>
      </c>
      <c r="N1970">
        <v>0.14261171477301987</v>
      </c>
      <c r="O1970">
        <v>0.12421716582279371</v>
      </c>
      <c r="P1970">
        <v>1.5508495727237262E-2</v>
      </c>
      <c r="Q1970">
        <v>9.0690681696303972E-4</v>
      </c>
      <c r="R1970">
        <v>1.6838252701152404E-3</v>
      </c>
      <c r="S1970">
        <v>0.12446143644377904</v>
      </c>
      <c r="T1970">
        <v>0.82865884781971233</v>
      </c>
      <c r="U1970">
        <v>0</v>
      </c>
      <c r="V1970">
        <v>0.20874452691873635</v>
      </c>
      <c r="W1970">
        <v>9.5285653018016628E-2</v>
      </c>
      <c r="X1970">
        <v>2.7174108581764809E-2</v>
      </c>
      <c r="Y1970">
        <v>4.5828173124025703E-3</v>
      </c>
    </row>
    <row r="1971" spans="1:25" x14ac:dyDescent="0.25">
      <c r="A1971" s="1098"/>
      <c r="B1971" s="1457">
        <v>1721</v>
      </c>
      <c r="C1971" s="1102">
        <v>0.99924511570501806</v>
      </c>
      <c r="D1971" s="1102">
        <v>1.0005708014353523</v>
      </c>
      <c r="E1971" s="1102">
        <v>0.9659590680544119</v>
      </c>
      <c r="F1971" s="1102">
        <v>1.0192605904406395</v>
      </c>
      <c r="G1971" s="1102">
        <v>1.0029849368865675</v>
      </c>
      <c r="H1971" s="1102">
        <v>0.99326454717168633</v>
      </c>
      <c r="I1971" s="1102">
        <v>1.0261261193250615</v>
      </c>
      <c r="K1971">
        <v>1.5739375652083596</v>
      </c>
      <c r="L1971">
        <v>0</v>
      </c>
      <c r="M1971">
        <v>1.6659439988939812E-3</v>
      </c>
      <c r="N1971">
        <v>0.13829260164145321</v>
      </c>
      <c r="O1971">
        <v>0.12283008477793907</v>
      </c>
      <c r="P1971">
        <v>1.5578331795596955E-2</v>
      </c>
      <c r="Q1971">
        <v>8.6780412099976187E-4</v>
      </c>
      <c r="R1971">
        <v>1.662136181850472E-3</v>
      </c>
      <c r="S1971">
        <v>0.12219522123813448</v>
      </c>
      <c r="T1971">
        <v>0.84345387036874231</v>
      </c>
      <c r="U1971">
        <v>0</v>
      </c>
      <c r="V1971">
        <v>0.20673415933047171</v>
      </c>
      <c r="W1971">
        <v>9.2731110573847697E-2</v>
      </c>
      <c r="X1971">
        <v>2.6734402414263298E-2</v>
      </c>
      <c r="Y1971">
        <v>4.5237867639518958E-3</v>
      </c>
    </row>
    <row r="1972" spans="1:25" x14ac:dyDescent="0.25">
      <c r="A1972" s="1098"/>
      <c r="B1972" s="1457">
        <v>1722</v>
      </c>
      <c r="C1972" s="1102">
        <v>1.0034629984938679</v>
      </c>
      <c r="D1972" s="1102">
        <v>0.98757064700275665</v>
      </c>
      <c r="E1972" s="1102">
        <v>0.99195493045036776</v>
      </c>
      <c r="F1972" s="1102">
        <v>0.98706269183439976</v>
      </c>
      <c r="G1972" s="1102">
        <v>1.0372464842705591</v>
      </c>
      <c r="H1972" s="1102">
        <v>1.008754072290345</v>
      </c>
      <c r="I1972" s="1102">
        <v>0.99274794657318288</v>
      </c>
      <c r="K1972">
        <v>1.5497064840154793</v>
      </c>
      <c r="L1972">
        <v>0</v>
      </c>
      <c r="M1972">
        <v>1.6050652281945725E-3</v>
      </c>
      <c r="N1972">
        <v>0.14414794133627384</v>
      </c>
      <c r="O1972">
        <v>0.12085339390325901</v>
      </c>
      <c r="P1972">
        <v>1.5471595573097923E-2</v>
      </c>
      <c r="Q1972">
        <v>8.9269296041138036E-4</v>
      </c>
      <c r="R1972">
        <v>1.6014529796724709E-3</v>
      </c>
      <c r="S1972">
        <v>0.11974912184015836</v>
      </c>
      <c r="T1972">
        <v>0.81509829848125104</v>
      </c>
      <c r="U1972">
        <v>0</v>
      </c>
      <c r="V1972">
        <v>0.20668922538234721</v>
      </c>
      <c r="W1972">
        <v>9.5150722010661576E-2</v>
      </c>
      <c r="X1972">
        <v>2.7298477684705828E-2</v>
      </c>
      <c r="Y1972">
        <v>4.3586270918355994E-3</v>
      </c>
    </row>
    <row r="1973" spans="1:25" x14ac:dyDescent="0.25">
      <c r="A1973" s="1098"/>
      <c r="B1973" s="1457">
        <v>1723</v>
      </c>
      <c r="C1973" s="1102">
        <v>1.0146048016747622</v>
      </c>
      <c r="D1973" s="1102">
        <v>1.028993618931749</v>
      </c>
      <c r="E1973" s="1102">
        <v>0.97286365309735245</v>
      </c>
      <c r="F1973" s="1102">
        <v>0.99982182532997976</v>
      </c>
      <c r="G1973" s="1102">
        <v>0.96893225133192573</v>
      </c>
      <c r="H1973" s="1102">
        <v>0.98743672947287109</v>
      </c>
      <c r="I1973" s="1102">
        <v>0.98445615305659462</v>
      </c>
      <c r="K1973">
        <v>1.5318590463982391</v>
      </c>
      <c r="L1973">
        <v>0</v>
      </c>
      <c r="M1973">
        <v>1.5820847989445107E-3</v>
      </c>
      <c r="N1973">
        <v>0.13410261657024072</v>
      </c>
      <c r="O1973">
        <v>0.11945068171251763</v>
      </c>
      <c r="P1973">
        <v>1.5256363900385978E-2</v>
      </c>
      <c r="Q1973">
        <v>8.5131673396668633E-4</v>
      </c>
      <c r="R1973">
        <v>1.5784288905988681E-3</v>
      </c>
      <c r="S1973">
        <v>0.11308637410898036</v>
      </c>
      <c r="T1973">
        <v>0.82690546218944794</v>
      </c>
      <c r="U1973">
        <v>0</v>
      </c>
      <c r="V1973">
        <v>0.20209794250695748</v>
      </c>
      <c r="W1973">
        <v>8.9544279808315461E-2</v>
      </c>
      <c r="X1973">
        <v>2.6271701664506802E-2</v>
      </c>
      <c r="Y1973">
        <v>4.295963111266175E-3</v>
      </c>
    </row>
    <row r="1974" spans="1:25" x14ac:dyDescent="0.25">
      <c r="A1974" s="1098"/>
      <c r="B1974" s="1457">
        <v>1724</v>
      </c>
      <c r="C1974" s="1102">
        <v>0.99269430335306874</v>
      </c>
      <c r="D1974" s="1102">
        <v>1.0184111813040713</v>
      </c>
      <c r="E1974" s="1102">
        <v>1.0407439868263182</v>
      </c>
      <c r="F1974" s="1102">
        <v>1.0214544693439982</v>
      </c>
      <c r="G1974" s="1102">
        <v>1.0187404256616026</v>
      </c>
      <c r="H1974" s="1102">
        <v>0.99580926042104512</v>
      </c>
      <c r="I1974" s="1102">
        <v>0.98330688268136601</v>
      </c>
      <c r="K1974">
        <v>1.5813541565547273</v>
      </c>
      <c r="L1974">
        <v>0</v>
      </c>
      <c r="M1974">
        <v>1.4247312641964647E-3</v>
      </c>
      <c r="N1974">
        <v>0.14824223993943425</v>
      </c>
      <c r="O1974">
        <v>0.12232261290491596</v>
      </c>
      <c r="P1974">
        <v>1.6365230112169993E-2</v>
      </c>
      <c r="Q1974">
        <v>9.3718524783144687E-4</v>
      </c>
      <c r="R1974">
        <v>1.4214724480797029E-3</v>
      </c>
      <c r="S1974">
        <v>0.11694533083332567</v>
      </c>
      <c r="T1974">
        <v>0.84023486439130712</v>
      </c>
      <c r="U1974">
        <v>0</v>
      </c>
      <c r="V1974">
        <v>0.20771660462648747</v>
      </c>
      <c r="W1974">
        <v>9.5091658063276172E-2</v>
      </c>
      <c r="X1974">
        <v>2.9632909836689821E-2</v>
      </c>
      <c r="Y1974">
        <v>3.8687794154063774E-3</v>
      </c>
    </row>
    <row r="1975" spans="1:25" x14ac:dyDescent="0.25">
      <c r="A1975" s="1098"/>
      <c r="B1975" s="1457">
        <v>1725</v>
      </c>
      <c r="C1975" s="1102">
        <v>0.98399058472021683</v>
      </c>
      <c r="D1975" s="1102">
        <v>0.96477572620633489</v>
      </c>
      <c r="E1975" s="1102">
        <v>0.98156686632939105</v>
      </c>
      <c r="F1975" s="1102">
        <v>0.97147720339979615</v>
      </c>
      <c r="G1975" s="1102">
        <v>1.0078692691891833</v>
      </c>
      <c r="H1975" s="1102">
        <v>1.0137001138278348</v>
      </c>
      <c r="I1975" s="1102">
        <v>1.0040930459594373</v>
      </c>
      <c r="K1975">
        <v>1.5507687738736691</v>
      </c>
      <c r="L1975">
        <v>0</v>
      </c>
      <c r="M1975">
        <v>1.6981743430736279E-3</v>
      </c>
      <c r="N1975">
        <v>0.14779523287178711</v>
      </c>
      <c r="O1975">
        <v>0.12179362706403739</v>
      </c>
      <c r="P1975">
        <v>1.5265403085837854E-2</v>
      </c>
      <c r="Q1975">
        <v>9.0898884094805339E-4</v>
      </c>
      <c r="R1975">
        <v>1.6943752183226613E-3</v>
      </c>
      <c r="S1975">
        <v>0.12539876952140119</v>
      </c>
      <c r="T1975">
        <v>0.80289859909460526</v>
      </c>
      <c r="U1975">
        <v>0</v>
      </c>
      <c r="V1975">
        <v>0.20689142531751217</v>
      </c>
      <c r="W1975">
        <v>9.816884153417553E-2</v>
      </c>
      <c r="X1975">
        <v>2.7040154874480749E-2</v>
      </c>
      <c r="Y1975">
        <v>4.611530793633677E-3</v>
      </c>
    </row>
    <row r="1976" spans="1:25" x14ac:dyDescent="0.25">
      <c r="A1976" s="1098"/>
      <c r="B1976" s="1457">
        <v>1726</v>
      </c>
      <c r="C1976" s="1102">
        <v>1.0275377182281356</v>
      </c>
      <c r="D1976" s="1102">
        <v>1.0070505531096197</v>
      </c>
      <c r="E1976" s="1102">
        <v>1.0214381178592378</v>
      </c>
      <c r="F1976" s="1102">
        <v>0.99941683706376905</v>
      </c>
      <c r="G1976" s="1102">
        <v>1.0042769612269864</v>
      </c>
      <c r="H1976" s="1102">
        <v>0.98960112585573634</v>
      </c>
      <c r="I1976" s="1102">
        <v>1.023585038158773</v>
      </c>
      <c r="K1976">
        <v>1.5452082302769827</v>
      </c>
      <c r="L1976">
        <v>0</v>
      </c>
      <c r="M1976">
        <v>1.4342991753920572E-3</v>
      </c>
      <c r="N1976">
        <v>0.1407997145768799</v>
      </c>
      <c r="O1976">
        <v>0.11958578046187214</v>
      </c>
      <c r="P1976">
        <v>1.5856830454108656E-2</v>
      </c>
      <c r="Q1976">
        <v>8.9174581080218743E-4</v>
      </c>
      <c r="R1976">
        <v>1.4310068673863249E-3</v>
      </c>
      <c r="S1976">
        <v>0.11793816840516258</v>
      </c>
      <c r="T1976">
        <v>0.8233613303391365</v>
      </c>
      <c r="U1976">
        <v>0</v>
      </c>
      <c r="V1976">
        <v>0.20334451056740691</v>
      </c>
      <c r="W1976">
        <v>9.1334547016100137E-2</v>
      </c>
      <c r="X1976">
        <v>2.8204165991781945E-2</v>
      </c>
      <c r="Y1976">
        <v>3.8947289617385227E-3</v>
      </c>
    </row>
    <row r="1977" spans="1:25" x14ac:dyDescent="0.25">
      <c r="A1977" s="1098"/>
      <c r="B1977" s="1457">
        <v>1727</v>
      </c>
      <c r="C1977" s="1102">
        <v>1.0013596639483873</v>
      </c>
      <c r="D1977" s="1102">
        <v>1.0067881411703528</v>
      </c>
      <c r="E1977" s="1102">
        <v>0.97518165461042638</v>
      </c>
      <c r="F1977" s="1102">
        <v>1.0264096179248534</v>
      </c>
      <c r="G1977" s="1102">
        <v>0.99157408736658248</v>
      </c>
      <c r="H1977" s="1102">
        <v>1.0071445926166436</v>
      </c>
      <c r="I1977" s="1102">
        <v>0.99559529249705558</v>
      </c>
      <c r="K1977">
        <v>1.5797511727482021</v>
      </c>
      <c r="L1977">
        <v>0</v>
      </c>
      <c r="M1977">
        <v>1.6491605119365908E-3</v>
      </c>
      <c r="N1977">
        <v>0.1407803267703043</v>
      </c>
      <c r="O1977">
        <v>0.12291301714576977</v>
      </c>
      <c r="P1977">
        <v>1.571054101328075E-2</v>
      </c>
      <c r="Q1977">
        <v>8.7226042757445514E-4</v>
      </c>
      <c r="R1977">
        <v>1.6454416306078354E-3</v>
      </c>
      <c r="S1977">
        <v>0.11903323756965045</v>
      </c>
      <c r="T1977">
        <v>0.84873591504190415</v>
      </c>
      <c r="U1977">
        <v>0</v>
      </c>
      <c r="V1977">
        <v>0.20623658780929954</v>
      </c>
      <c r="W1977">
        <v>9.3871079079329553E-2</v>
      </c>
      <c r="X1977">
        <v>2.712357707359233E-2</v>
      </c>
      <c r="Y1977">
        <v>4.4783496988267772E-3</v>
      </c>
    </row>
    <row r="1978" spans="1:25" x14ac:dyDescent="0.25">
      <c r="A1978" s="1098"/>
      <c r="B1978" s="1457">
        <v>1728</v>
      </c>
      <c r="C1978" s="1102">
        <v>1.0257409674588187</v>
      </c>
      <c r="D1978" s="1102">
        <v>0.9897339080953228</v>
      </c>
      <c r="E1978" s="1102">
        <v>0.9868760270159781</v>
      </c>
      <c r="F1978" s="1102">
        <v>1.0083838156929081</v>
      </c>
      <c r="G1978" s="1102">
        <v>1.0385410630754499</v>
      </c>
      <c r="H1978" s="1102">
        <v>0.97747718982394938</v>
      </c>
      <c r="I1978" s="1102">
        <v>1.0323884850362959</v>
      </c>
      <c r="K1978">
        <v>1.5538848482380307</v>
      </c>
      <c r="L1978">
        <v>0</v>
      </c>
      <c r="M1978">
        <v>1.5407122565213453E-3</v>
      </c>
      <c r="N1978">
        <v>0.13625099102498617</v>
      </c>
      <c r="O1978">
        <v>0.12115080365260122</v>
      </c>
      <c r="P1978">
        <v>1.5640052863583238E-2</v>
      </c>
      <c r="Q1978">
        <v>8.6793217350372915E-4</v>
      </c>
      <c r="R1978">
        <v>1.5371442225091221E-3</v>
      </c>
      <c r="S1978">
        <v>0.1194050791935707</v>
      </c>
      <c r="T1978">
        <v>0.83304473233168996</v>
      </c>
      <c r="U1978">
        <v>0</v>
      </c>
      <c r="V1978">
        <v>0.20594907723833034</v>
      </c>
      <c r="W1978">
        <v>9.0212204998561377E-2</v>
      </c>
      <c r="X1978">
        <v>2.7183942941003566E-2</v>
      </c>
      <c r="Y1978">
        <v>4.1835998542130636E-3</v>
      </c>
    </row>
    <row r="1979" spans="1:25" x14ac:dyDescent="0.25">
      <c r="A1979" s="1098"/>
      <c r="B1979" s="1457">
        <v>1729</v>
      </c>
      <c r="C1979" s="1102">
        <v>1.0234397435828764</v>
      </c>
      <c r="D1979" s="1102">
        <v>1.0168067400002307</v>
      </c>
      <c r="E1979" s="1102">
        <v>1.037925378381066</v>
      </c>
      <c r="F1979" s="1102">
        <v>0.9564991575835633</v>
      </c>
      <c r="G1979" s="1102">
        <v>0.98195046193065549</v>
      </c>
      <c r="H1979" s="1102">
        <v>1.0415707171648627</v>
      </c>
      <c r="I1979" s="1102">
        <v>1.0050328158826807</v>
      </c>
      <c r="K1979">
        <v>1.5173650277260207</v>
      </c>
      <c r="L1979">
        <v>0</v>
      </c>
      <c r="M1979">
        <v>1.451276009038902E-3</v>
      </c>
      <c r="N1979">
        <v>0.14974170510144216</v>
      </c>
      <c r="O1979">
        <v>0.1163334071550499</v>
      </c>
      <c r="P1979">
        <v>1.5513837848098211E-2</v>
      </c>
      <c r="Q1979">
        <v>9.0700485361530398E-4</v>
      </c>
      <c r="R1979">
        <v>1.4480944404604158E-3</v>
      </c>
      <c r="S1979">
        <v>0.11935675916013362</v>
      </c>
      <c r="T1979">
        <v>0.78697803499101948</v>
      </c>
      <c r="U1979">
        <v>0</v>
      </c>
      <c r="V1979">
        <v>0.20019347829210332</v>
      </c>
      <c r="W1979">
        <v>9.6209644310654249E-2</v>
      </c>
      <c r="X1979">
        <v>2.8193101879753057E-2</v>
      </c>
      <c r="Y1979">
        <v>3.9412357027292493E-3</v>
      </c>
    </row>
    <row r="1980" spans="1:25" x14ac:dyDescent="0.25">
      <c r="A1980" s="1098"/>
      <c r="B1980" s="1457">
        <v>1730</v>
      </c>
      <c r="C1980" s="1102">
        <v>0.99981162656656386</v>
      </c>
      <c r="D1980" s="1102">
        <v>1.0145560302675871</v>
      </c>
      <c r="E1980" s="1102">
        <v>1.005718917389514</v>
      </c>
      <c r="F1980" s="1102">
        <v>1.0069120474724422</v>
      </c>
      <c r="G1980" s="1102">
        <v>0.98806254513554703</v>
      </c>
      <c r="H1980" s="1102">
        <v>1.0196441997542549</v>
      </c>
      <c r="I1980" s="1102">
        <v>1.0079455040681635</v>
      </c>
      <c r="K1980">
        <v>1.5686016348871907</v>
      </c>
      <c r="L1980">
        <v>0</v>
      </c>
      <c r="M1980">
        <v>1.5604856751678712E-3</v>
      </c>
      <c r="N1980">
        <v>0.14609794669021467</v>
      </c>
      <c r="O1980">
        <v>0.12121524588448611</v>
      </c>
      <c r="P1980">
        <v>1.5838821398128568E-2</v>
      </c>
      <c r="Q1980">
        <v>8.9909097075054729E-4</v>
      </c>
      <c r="R1980">
        <v>1.5570000515216116E-3</v>
      </c>
      <c r="S1980">
        <v>0.12107105638163485</v>
      </c>
      <c r="T1980">
        <v>0.83057411521185098</v>
      </c>
      <c r="U1980">
        <v>0</v>
      </c>
      <c r="V1980">
        <v>0.20503073947674036</v>
      </c>
      <c r="W1980">
        <v>9.565148080611946E-2</v>
      </c>
      <c r="X1980">
        <v>2.7988982815597089E-2</v>
      </c>
      <c r="Y1980">
        <v>4.2376408753127858E-3</v>
      </c>
    </row>
    <row r="1981" spans="1:25" x14ac:dyDescent="0.25">
      <c r="A1981" s="1098"/>
      <c r="B1981" s="1457">
        <v>1731</v>
      </c>
      <c r="C1981" s="1102">
        <v>0.97206224824831944</v>
      </c>
      <c r="D1981" s="1102">
        <v>1.041002277589347</v>
      </c>
      <c r="E1981" s="1102">
        <v>0.9871219957085019</v>
      </c>
      <c r="F1981" s="1102">
        <v>0.96382306499233317</v>
      </c>
      <c r="G1981" s="1102">
        <v>1.004265736370203</v>
      </c>
      <c r="H1981" s="1102">
        <v>0.99644580678972761</v>
      </c>
      <c r="I1981" s="1102">
        <v>1.0184234713542637</v>
      </c>
      <c r="K1981">
        <v>1.5234948207998982</v>
      </c>
      <c r="L1981">
        <v>0</v>
      </c>
      <c r="M1981">
        <v>1.5980588755011816E-3</v>
      </c>
      <c r="N1981">
        <v>0.14142867673451087</v>
      </c>
      <c r="O1981">
        <v>0.1185462706093126</v>
      </c>
      <c r="P1981">
        <v>1.5163534724444049E-2</v>
      </c>
      <c r="Q1981">
        <v>8.9777528508653886E-4</v>
      </c>
      <c r="R1981">
        <v>1.5943709835759246E-3</v>
      </c>
      <c r="S1981">
        <v>0.12155622059741014</v>
      </c>
      <c r="T1981">
        <v>0.79621651317825537</v>
      </c>
      <c r="U1981">
        <v>0</v>
      </c>
      <c r="V1981">
        <v>0.2051100511493037</v>
      </c>
      <c r="W1981">
        <v>9.3626537101989746E-2</v>
      </c>
      <c r="X1981">
        <v>2.6613577078469685E-2</v>
      </c>
      <c r="Y1981">
        <v>4.3393522330401847E-3</v>
      </c>
    </row>
    <row r="1982" spans="1:25" x14ac:dyDescent="0.25">
      <c r="A1982" s="1098"/>
      <c r="B1982" s="1457">
        <v>1732</v>
      </c>
      <c r="C1982" s="1102">
        <v>1.0215955130795493</v>
      </c>
      <c r="D1982" s="1102">
        <v>1.0040392708474728</v>
      </c>
      <c r="E1982" s="1102">
        <v>0.97135184545453757</v>
      </c>
      <c r="F1982" s="1102">
        <v>0.98261048944492324</v>
      </c>
      <c r="G1982" s="1102">
        <v>1.0189682170005605</v>
      </c>
      <c r="H1982" s="1102">
        <v>1.0246551763890932</v>
      </c>
      <c r="I1982" s="1102">
        <v>1.0103228492935359</v>
      </c>
      <c r="K1982">
        <v>1.5351012338237455</v>
      </c>
      <c r="L1982">
        <v>0</v>
      </c>
      <c r="M1982">
        <v>1.6571932000686721E-3</v>
      </c>
      <c r="N1982">
        <v>0.1398404013490013</v>
      </c>
      <c r="O1982">
        <v>0.11897389111653142</v>
      </c>
      <c r="P1982">
        <v>1.5160265001997819E-2</v>
      </c>
      <c r="Q1982">
        <v>8.524775187777106E-4</v>
      </c>
      <c r="R1982">
        <v>1.6535150118051013E-3</v>
      </c>
      <c r="S1982">
        <v>0.11981238735979617</v>
      </c>
      <c r="T1982">
        <v>0.81277018009363533</v>
      </c>
      <c r="U1982">
        <v>0</v>
      </c>
      <c r="V1982">
        <v>0.20361657366342809</v>
      </c>
      <c r="W1982">
        <v>9.3461382256129391E-2</v>
      </c>
      <c r="X1982">
        <v>2.6117030871655456E-2</v>
      </c>
      <c r="Y1982">
        <v>4.5003227810563396E-3</v>
      </c>
    </row>
    <row r="1983" spans="1:25" x14ac:dyDescent="0.25">
      <c r="A1983" s="1098"/>
      <c r="B1983" s="1457">
        <v>1733</v>
      </c>
      <c r="C1983" s="1102">
        <v>1.0047754647052041</v>
      </c>
      <c r="D1983" s="1102">
        <v>1.0208193665825631</v>
      </c>
      <c r="E1983" s="1102">
        <v>1.0154717467966219</v>
      </c>
      <c r="F1983" s="1102">
        <v>0.9929669031920576</v>
      </c>
      <c r="G1983" s="1102">
        <v>1.0121659026970624</v>
      </c>
      <c r="H1983" s="1102">
        <v>0.99861370056528642</v>
      </c>
      <c r="I1983" s="1102">
        <v>1.0174948636542731</v>
      </c>
      <c r="K1983">
        <v>1.5473287576750299</v>
      </c>
      <c r="L1983">
        <v>0</v>
      </c>
      <c r="M1983">
        <v>1.4840253259990504E-3</v>
      </c>
      <c r="N1983">
        <v>0.14308370035746454</v>
      </c>
      <c r="O1983">
        <v>0.11969231143905974</v>
      </c>
      <c r="P1983">
        <v>1.5760893052072292E-2</v>
      </c>
      <c r="Q1983">
        <v>9.014683124000133E-4</v>
      </c>
      <c r="R1983">
        <v>1.4806348534410134E-3</v>
      </c>
      <c r="S1983">
        <v>0.11946287647775401</v>
      </c>
      <c r="T1983">
        <v>0.81843516718528397</v>
      </c>
      <c r="U1983">
        <v>0</v>
      </c>
      <c r="V1983">
        <v>0.20481297040827315</v>
      </c>
      <c r="W1983">
        <v>9.3141082277170967E-2</v>
      </c>
      <c r="X1983">
        <v>2.8011878658189465E-2</v>
      </c>
      <c r="Y1983">
        <v>4.0297999799181784E-3</v>
      </c>
    </row>
    <row r="1984" spans="1:25" x14ac:dyDescent="0.25">
      <c r="A1984" s="1098"/>
      <c r="B1984" s="1457">
        <v>1734</v>
      </c>
      <c r="C1984" s="1102">
        <v>1.0305583524502686</v>
      </c>
      <c r="D1984" s="1102">
        <v>1.0137314813482479</v>
      </c>
      <c r="E1984" s="1102">
        <v>0.99336395309896097</v>
      </c>
      <c r="F1984" s="1102">
        <v>0.99033608123695915</v>
      </c>
      <c r="G1984" s="1102">
        <v>1.0020064806542379</v>
      </c>
      <c r="H1984" s="1102">
        <v>1.0431968962137006</v>
      </c>
      <c r="I1984" s="1102">
        <v>0.99222247951967801</v>
      </c>
      <c r="K1984">
        <v>1.5418611415566377</v>
      </c>
      <c r="L1984">
        <v>0</v>
      </c>
      <c r="M1984">
        <v>1.5913084359955286E-3</v>
      </c>
      <c r="N1984">
        <v>0.14353247980533651</v>
      </c>
      <c r="O1984">
        <v>0.11860205882482681</v>
      </c>
      <c r="P1984">
        <v>1.5433371047406882E-2</v>
      </c>
      <c r="Q1984">
        <v>8.6144176287873935E-4</v>
      </c>
      <c r="R1984">
        <v>1.5878378995112037E-3</v>
      </c>
      <c r="S1984">
        <v>0.11751741135599976</v>
      </c>
      <c r="T1984">
        <v>0.8177089563419615</v>
      </c>
      <c r="U1984">
        <v>0</v>
      </c>
      <c r="V1984">
        <v>0.20229078039356188</v>
      </c>
      <c r="W1984">
        <v>9.4664690293071091E-2</v>
      </c>
      <c r="X1984">
        <v>2.6931850936231998E-2</v>
      </c>
      <c r="Y1984">
        <v>4.3215713318465977E-3</v>
      </c>
    </row>
    <row r="1985" spans="1:25" x14ac:dyDescent="0.25">
      <c r="A1985" s="1098"/>
      <c r="B1985" s="1457">
        <v>1735</v>
      </c>
      <c r="C1985" s="1102">
        <v>0.97040789538962779</v>
      </c>
      <c r="D1985" s="1102">
        <v>0.96624184323041862</v>
      </c>
      <c r="E1985" s="1102">
        <v>0.98404815724037475</v>
      </c>
      <c r="F1985" s="1102">
        <v>1.0008391992289729</v>
      </c>
      <c r="G1985" s="1102">
        <v>1.022691215498376</v>
      </c>
      <c r="H1985" s="1102">
        <v>1.0295177896659067</v>
      </c>
      <c r="I1985" s="1102">
        <v>1.0154554594401011</v>
      </c>
      <c r="K1985">
        <v>1.5948116993273806</v>
      </c>
      <c r="L1985">
        <v>0</v>
      </c>
      <c r="M1985">
        <v>1.7406823879744582E-3</v>
      </c>
      <c r="N1985">
        <v>0.15264180539789529</v>
      </c>
      <c r="O1985">
        <v>0.12456492317153113</v>
      </c>
      <c r="P1985">
        <v>1.5725490973028375E-2</v>
      </c>
      <c r="Q1985">
        <v>9.235469137784569E-4</v>
      </c>
      <c r="R1985">
        <v>1.7368521379690475E-3</v>
      </c>
      <c r="S1985">
        <v>0.12992999544370232</v>
      </c>
      <c r="T1985">
        <v>0.82700014760096263</v>
      </c>
      <c r="U1985">
        <v>0</v>
      </c>
      <c r="V1985">
        <v>0.21027578670075461</v>
      </c>
      <c r="W1985">
        <v>0.10123658649887969</v>
      </c>
      <c r="X1985">
        <v>2.7790107910454834E-2</v>
      </c>
      <c r="Y1985">
        <v>4.7271389663983438E-3</v>
      </c>
    </row>
    <row r="1986" spans="1:25" x14ac:dyDescent="0.25">
      <c r="A1986" s="1098"/>
      <c r="B1986" s="1457">
        <v>1736</v>
      </c>
      <c r="C1986" s="1102">
        <v>0.97450558513515806</v>
      </c>
      <c r="D1986" s="1102">
        <v>0.99183559546618272</v>
      </c>
      <c r="E1986" s="1102">
        <v>0.99934131263708781</v>
      </c>
      <c r="F1986" s="1102">
        <v>1.0245493757531228</v>
      </c>
      <c r="G1986" s="1102">
        <v>0.97797611417062702</v>
      </c>
      <c r="H1986" s="1102">
        <v>1.0160403882519717</v>
      </c>
      <c r="I1986" s="1102">
        <v>0.99421658044008976</v>
      </c>
      <c r="K1986">
        <v>1.6015446274757741</v>
      </c>
      <c r="L1986">
        <v>0</v>
      </c>
      <c r="M1986">
        <v>1.6365828460964183E-3</v>
      </c>
      <c r="N1986">
        <v>0.15029880574795662</v>
      </c>
      <c r="O1986">
        <v>0.12480900098083933</v>
      </c>
      <c r="P1986">
        <v>1.6050965272542239E-2</v>
      </c>
      <c r="Q1986">
        <v>9.2470709791684952E-4</v>
      </c>
      <c r="R1986">
        <v>1.6329260860749387E-3</v>
      </c>
      <c r="S1986">
        <v>0.12383833951544532</v>
      </c>
      <c r="T1986">
        <v>0.84555347661398639</v>
      </c>
      <c r="U1986">
        <v>0</v>
      </c>
      <c r="V1986">
        <v>0.208357870297908</v>
      </c>
      <c r="W1986">
        <v>9.8774769787635996E-2</v>
      </c>
      <c r="X1986">
        <v>2.8496062409208565E-2</v>
      </c>
      <c r="Y1986">
        <v>4.4442865123563782E-3</v>
      </c>
    </row>
    <row r="1987" spans="1:25" x14ac:dyDescent="0.25">
      <c r="A1987" s="1098"/>
      <c r="B1987" s="1457">
        <v>1737</v>
      </c>
      <c r="C1987" s="1102">
        <v>0.98868528515502629</v>
      </c>
      <c r="D1987" s="1102">
        <v>0.99836935939883098</v>
      </c>
      <c r="E1987" s="1102">
        <v>0.97805588357433304</v>
      </c>
      <c r="F1987" s="1102">
        <v>1.0152587968253013</v>
      </c>
      <c r="G1987" s="1102">
        <v>1.0111519807423957</v>
      </c>
      <c r="H1987" s="1102">
        <v>0.99806778355288106</v>
      </c>
      <c r="I1987" s="1102">
        <v>1.0303882588900624</v>
      </c>
      <c r="K1987">
        <v>1.5799627624279895</v>
      </c>
      <c r="L1987">
        <v>0</v>
      </c>
      <c r="M1987">
        <v>1.6504356243842416E-3</v>
      </c>
      <c r="N1987">
        <v>0.14211703299318099</v>
      </c>
      <c r="O1987">
        <v>0.1231675938497942</v>
      </c>
      <c r="P1987">
        <v>1.5714473065155748E-2</v>
      </c>
      <c r="Q1987">
        <v>8.8909344871503852E-4</v>
      </c>
      <c r="R1987">
        <v>1.646678778829202E-3</v>
      </c>
      <c r="S1987">
        <v>0.12451009652071887</v>
      </c>
      <c r="T1987">
        <v>0.83932048860753672</v>
      </c>
      <c r="U1987">
        <v>0</v>
      </c>
      <c r="V1987">
        <v>0.20788880020896522</v>
      </c>
      <c r="W1987">
        <v>9.459762219343E-2</v>
      </c>
      <c r="X1987">
        <v>2.727960157758896E-2</v>
      </c>
      <c r="Y1987">
        <v>4.4817168084595356E-3</v>
      </c>
    </row>
    <row r="1988" spans="1:25" x14ac:dyDescent="0.25">
      <c r="A1988" s="1098"/>
      <c r="B1988" s="1457">
        <v>1738</v>
      </c>
      <c r="C1988" s="1102">
        <v>0.9699368373003574</v>
      </c>
      <c r="D1988" s="1102">
        <v>0.99943196427233028</v>
      </c>
      <c r="E1988" s="1102">
        <v>0.98230050129121638</v>
      </c>
      <c r="F1988" s="1102">
        <v>1.0187115058295801</v>
      </c>
      <c r="G1988" s="1102">
        <v>1.0192448579225872</v>
      </c>
      <c r="H1988" s="1102">
        <v>1.0156816984113548</v>
      </c>
      <c r="I1988" s="1102">
        <v>1.0042499737679771</v>
      </c>
      <c r="K1988">
        <v>1.596185226748069</v>
      </c>
      <c r="L1988">
        <v>0</v>
      </c>
      <c r="M1988">
        <v>1.6940924207061335E-3</v>
      </c>
      <c r="N1988">
        <v>0.14776718558586413</v>
      </c>
      <c r="O1988">
        <v>0.12434800260916803</v>
      </c>
      <c r="P1988">
        <v>1.5835230565856145E-2</v>
      </c>
      <c r="Q1988">
        <v>9.0993178762724869E-4</v>
      </c>
      <c r="R1988">
        <v>1.6902980368032809E-3</v>
      </c>
      <c r="S1988">
        <v>0.12497746739193626</v>
      </c>
      <c r="T1988">
        <v>0.84188665001334984</v>
      </c>
      <c r="U1988">
        <v>0</v>
      </c>
      <c r="V1988">
        <v>0.21005467636569336</v>
      </c>
      <c r="W1988">
        <v>9.8106808923733746E-2</v>
      </c>
      <c r="X1988">
        <v>2.7702633839161245E-2</v>
      </c>
      <c r="Y1988">
        <v>4.6004340495804513E-3</v>
      </c>
    </row>
    <row r="1989" spans="1:25" x14ac:dyDescent="0.25">
      <c r="A1989" s="1098"/>
      <c r="B1989" s="1457">
        <v>1739</v>
      </c>
      <c r="C1989" s="1102">
        <v>0.99671749008269583</v>
      </c>
      <c r="D1989" s="1102">
        <v>1.0389555547284297</v>
      </c>
      <c r="E1989" s="1102">
        <v>1.016960970516176</v>
      </c>
      <c r="F1989" s="1102">
        <v>1.0354011686374411</v>
      </c>
      <c r="G1989" s="1102">
        <v>1.002954613562395</v>
      </c>
      <c r="H1989" s="1102">
        <v>1.0178207316911909</v>
      </c>
      <c r="I1989" s="1102">
        <v>1.0228447138430552</v>
      </c>
      <c r="K1989">
        <v>1.5950208934996086</v>
      </c>
      <c r="L1989">
        <v>0</v>
      </c>
      <c r="M1989">
        <v>1.5087002392789465E-3</v>
      </c>
      <c r="N1989">
        <v>0.14612408244678213</v>
      </c>
      <c r="O1989">
        <v>0.1222482707433674</v>
      </c>
      <c r="P1989">
        <v>1.6314596179084189E-2</v>
      </c>
      <c r="Q1989">
        <v>9.0375973892878087E-4</v>
      </c>
      <c r="R1989">
        <v>1.5053168417694951E-3</v>
      </c>
      <c r="S1989">
        <v>0.12152844113787571</v>
      </c>
      <c r="T1989">
        <v>0.85330986754515603</v>
      </c>
      <c r="U1989">
        <v>0</v>
      </c>
      <c r="V1989">
        <v>0.20672963036640798</v>
      </c>
      <c r="W1989">
        <v>9.5037148292517581E-2</v>
      </c>
      <c r="X1989">
        <v>2.8731504231265696E-2</v>
      </c>
      <c r="Y1989">
        <v>4.0969762157330412E-3</v>
      </c>
    </row>
    <row r="1990" spans="1:25" x14ac:dyDescent="0.25">
      <c r="A1990" s="1098"/>
      <c r="B1990" s="1457">
        <v>1740</v>
      </c>
      <c r="C1990" s="1102">
        <v>1.0168243663407279</v>
      </c>
      <c r="D1990" s="1102">
        <v>0.98177262035433988</v>
      </c>
      <c r="E1990" s="1102">
        <v>0.99398605359173964</v>
      </c>
      <c r="F1990" s="1102">
        <v>1.0417978182357461</v>
      </c>
      <c r="G1990" s="1102">
        <v>1.0079465219785291</v>
      </c>
      <c r="H1990" s="1102">
        <v>0.96842922010088428</v>
      </c>
      <c r="I1990" s="1102">
        <v>0.99641083713954426</v>
      </c>
      <c r="K1990">
        <v>1.5861174044101476</v>
      </c>
      <c r="L1990">
        <v>0</v>
      </c>
      <c r="M1990">
        <v>1.5270980771824891E-3</v>
      </c>
      <c r="N1990">
        <v>0.1379794759477182</v>
      </c>
      <c r="O1990">
        <v>0.12425773022087193</v>
      </c>
      <c r="P1990">
        <v>1.6067203883301587E-2</v>
      </c>
      <c r="Q1990">
        <v>8.8490864351171365E-4</v>
      </c>
      <c r="R1990">
        <v>1.5235398949148622E-3</v>
      </c>
      <c r="S1990">
        <v>0.11625883512338955</v>
      </c>
      <c r="T1990">
        <v>0.86015739632710475</v>
      </c>
      <c r="U1990">
        <v>0</v>
      </c>
      <c r="V1990">
        <v>0.20727497722216218</v>
      </c>
      <c r="W1990">
        <v>9.0968480364925927E-2</v>
      </c>
      <c r="X1990">
        <v>2.8125381500260775E-2</v>
      </c>
      <c r="Y1990">
        <v>4.1465733591668739E-3</v>
      </c>
    </row>
    <row r="1991" spans="1:25" x14ac:dyDescent="0.25">
      <c r="A1991" s="1098"/>
      <c r="B1991" s="1457">
        <v>1741</v>
      </c>
      <c r="C1991" s="1102">
        <v>0.96881333394483438</v>
      </c>
      <c r="D1991" s="1102">
        <v>1.0039849589998089</v>
      </c>
      <c r="E1991" s="1102">
        <v>1.0292722561174836</v>
      </c>
      <c r="F1991" s="1102">
        <v>0.99556040516902289</v>
      </c>
      <c r="G1991" s="1102">
        <v>1.006036251181218</v>
      </c>
      <c r="H1991" s="1102">
        <v>0.96195235779832033</v>
      </c>
      <c r="I1991" s="1102">
        <v>0.98747570945566887</v>
      </c>
      <c r="K1991">
        <v>1.5586145309263313</v>
      </c>
      <c r="L1991">
        <v>0</v>
      </c>
      <c r="M1991">
        <v>1.4506331034051208E-3</v>
      </c>
      <c r="N1991">
        <v>0.14579637164935733</v>
      </c>
      <c r="O1991">
        <v>0.12243224246869527</v>
      </c>
      <c r="P1991">
        <v>1.5970782228942996E-2</v>
      </c>
      <c r="Q1991">
        <v>9.545721315038293E-4</v>
      </c>
      <c r="R1991">
        <v>1.4471935427757697E-3</v>
      </c>
      <c r="S1991">
        <v>0.11831811372795008</v>
      </c>
      <c r="T1991">
        <v>0.81967576357794991</v>
      </c>
      <c r="U1991">
        <v>0</v>
      </c>
      <c r="V1991">
        <v>0.20829641783631517</v>
      </c>
      <c r="W1991">
        <v>9.4145125059577284E-2</v>
      </c>
      <c r="X1991">
        <v>2.9089798050453395E-2</v>
      </c>
      <c r="Y1991">
        <v>3.9387837562124836E-3</v>
      </c>
    </row>
    <row r="1992" spans="1:25" x14ac:dyDescent="0.25">
      <c r="A1992" s="1098"/>
      <c r="B1992" s="1457">
        <v>1742</v>
      </c>
      <c r="C1992" s="1102">
        <v>1.007461036064373</v>
      </c>
      <c r="D1992" s="1102">
        <v>1.0065346595853641</v>
      </c>
      <c r="E1992" s="1102">
        <v>0.99047122190362724</v>
      </c>
      <c r="F1992" s="1102">
        <v>0.99948426343981778</v>
      </c>
      <c r="G1992" s="1102">
        <v>1.0046321701185847</v>
      </c>
      <c r="H1992" s="1102">
        <v>1.0244743918200996</v>
      </c>
      <c r="I1992" s="1102">
        <v>1.0079043285994578</v>
      </c>
      <c r="K1992">
        <v>1.5598100833067914</v>
      </c>
      <c r="L1992">
        <v>0</v>
      </c>
      <c r="M1992">
        <v>1.6131866705677766E-3</v>
      </c>
      <c r="N1992">
        <v>0.14423330248578323</v>
      </c>
      <c r="O1992">
        <v>0.12069737977170861</v>
      </c>
      <c r="P1992">
        <v>1.5588959292288715E-2</v>
      </c>
      <c r="Q1992">
        <v>8.8104840474922063E-4</v>
      </c>
      <c r="R1992">
        <v>1.6096050359215553E-3</v>
      </c>
      <c r="S1992">
        <v>0.12106859898083563</v>
      </c>
      <c r="T1992">
        <v>0.82545412073661384</v>
      </c>
      <c r="U1992">
        <v>0</v>
      </c>
      <c r="V1992">
        <v>0.20496153052967114</v>
      </c>
      <c r="W1992">
        <v>9.5291647568280194E-2</v>
      </c>
      <c r="X1992">
        <v>2.7256262869884525E-2</v>
      </c>
      <c r="Y1992">
        <v>4.3808143016209845E-3</v>
      </c>
    </row>
    <row r="1993" spans="1:25" x14ac:dyDescent="0.25">
      <c r="A1993" s="1098"/>
      <c r="B1993" s="1457">
        <v>1743</v>
      </c>
      <c r="C1993" s="1102">
        <v>1.0186872705132606</v>
      </c>
      <c r="D1993" s="1102">
        <v>0.98183911478841157</v>
      </c>
      <c r="E1993" s="1102">
        <v>0.99110547811056482</v>
      </c>
      <c r="F1993" s="1102">
        <v>0.97955374886763025</v>
      </c>
      <c r="G1993" s="1102">
        <v>1.0101445293187947</v>
      </c>
      <c r="H1993" s="1102">
        <v>0.96780003239919676</v>
      </c>
      <c r="I1993" s="1102">
        <v>1.025835954539291</v>
      </c>
      <c r="K1993">
        <v>1.5260157700641974</v>
      </c>
      <c r="L1993">
        <v>0</v>
      </c>
      <c r="M1993">
        <v>1.5253806995931605E-3</v>
      </c>
      <c r="N1993">
        <v>0.13662771893885564</v>
      </c>
      <c r="O1993">
        <v>0.11981263364013948</v>
      </c>
      <c r="P1993">
        <v>1.5332461735686427E-2</v>
      </c>
      <c r="Q1993">
        <v>8.8062195580966476E-4</v>
      </c>
      <c r="R1993">
        <v>1.5218078604039393E-3</v>
      </c>
      <c r="S1993">
        <v>0.11905403921169617</v>
      </c>
      <c r="T1993">
        <v>0.80895270768407135</v>
      </c>
      <c r="U1993">
        <v>0</v>
      </c>
      <c r="V1993">
        <v>0.2039879115013718</v>
      </c>
      <c r="W1993">
        <v>9.0232542573530625E-2</v>
      </c>
      <c r="X1993">
        <v>2.6996846330029901E-2</v>
      </c>
      <c r="Y1993">
        <v>4.1418593321931657E-3</v>
      </c>
    </row>
    <row r="1994" spans="1:25" x14ac:dyDescent="0.25">
      <c r="A1994" s="1098"/>
      <c r="B1994" s="1457">
        <v>1744</v>
      </c>
      <c r="C1994" s="1102">
        <v>1.0427132910970789</v>
      </c>
      <c r="D1994" s="1102">
        <v>0.96551736998112736</v>
      </c>
      <c r="E1994" s="1102">
        <v>0.9924644688339751</v>
      </c>
      <c r="F1994" s="1102">
        <v>0.98476487404460067</v>
      </c>
      <c r="G1994" s="1102">
        <v>1.0119743896292079</v>
      </c>
      <c r="H1994" s="1102">
        <v>1.0011663505904147</v>
      </c>
      <c r="I1994" s="1102">
        <v>0.98182069360467772</v>
      </c>
      <c r="K1994">
        <v>1.5306438789998253</v>
      </c>
      <c r="L1994">
        <v>0</v>
      </c>
      <c r="M1994">
        <v>1.5553073895202474E-3</v>
      </c>
      <c r="N1994">
        <v>0.13989424925945296</v>
      </c>
      <c r="O1994">
        <v>0.11972855984801577</v>
      </c>
      <c r="P1994">
        <v>1.5337799921389235E-2</v>
      </c>
      <c r="Q1994">
        <v>8.6734561240416541E-4</v>
      </c>
      <c r="R1994">
        <v>1.55180327054341E-3</v>
      </c>
      <c r="S1994">
        <v>0.11514860010954185</v>
      </c>
      <c r="T1994">
        <v>0.81316755216050707</v>
      </c>
      <c r="U1994">
        <v>0</v>
      </c>
      <c r="V1994">
        <v>0.20292142590392717</v>
      </c>
      <c r="W1994">
        <v>9.2314765581397548E-2</v>
      </c>
      <c r="X1994">
        <v>2.7043587771556563E-2</v>
      </c>
      <c r="Y1994">
        <v>4.2234969506085105E-3</v>
      </c>
    </row>
    <row r="1995" spans="1:25" x14ac:dyDescent="0.25">
      <c r="A1995" s="1098"/>
      <c r="B1995" s="1457">
        <v>1745</v>
      </c>
      <c r="C1995" s="1102">
        <v>0.96873925141216211</v>
      </c>
      <c r="D1995" s="1102">
        <v>0.96750782104284538</v>
      </c>
      <c r="E1995" s="1102">
        <v>1.0422676539282667</v>
      </c>
      <c r="F1995" s="1102">
        <v>0.9968970968500056</v>
      </c>
      <c r="G1995" s="1102">
        <v>0.97381772742462391</v>
      </c>
      <c r="H1995" s="1102">
        <v>0.99421900295760068</v>
      </c>
      <c r="I1995" s="1102">
        <v>0.98605664078385957</v>
      </c>
      <c r="K1995">
        <v>1.5825279581810878</v>
      </c>
      <c r="L1995">
        <v>0</v>
      </c>
      <c r="M1995">
        <v>1.4902075514510928E-3</v>
      </c>
      <c r="N1995">
        <v>0.15576936634203664</v>
      </c>
      <c r="O1995">
        <v>0.12414572839890531</v>
      </c>
      <c r="P1995">
        <v>1.6194799769943445E-2</v>
      </c>
      <c r="Q1995">
        <v>9.8177665697029453E-4</v>
      </c>
      <c r="R1995">
        <v>1.4868097754965615E-3</v>
      </c>
      <c r="S1995">
        <v>0.1234718460690569</v>
      </c>
      <c r="T1995">
        <v>0.81993606255221396</v>
      </c>
      <c r="U1995">
        <v>0</v>
      </c>
      <c r="V1995">
        <v>0.20808195707212984</v>
      </c>
      <c r="W1995">
        <v>9.9832475510757177E-2</v>
      </c>
      <c r="X1995">
        <v>3.0070737502834649E-2</v>
      </c>
      <c r="Y1995">
        <v>4.0466060821908725E-3</v>
      </c>
    </row>
    <row r="1996" spans="1:25" x14ac:dyDescent="0.25">
      <c r="A1996" s="1098"/>
      <c r="B1996" s="1457">
        <v>1746</v>
      </c>
      <c r="C1996" s="1102">
        <v>0.97957377531416445</v>
      </c>
      <c r="D1996" s="1102">
        <v>1.0235186541487458</v>
      </c>
      <c r="E1996" s="1102">
        <v>1.0011665982130773</v>
      </c>
      <c r="F1996" s="1102">
        <v>1.0156995717145911</v>
      </c>
      <c r="G1996" s="1102">
        <v>0.98058170298411407</v>
      </c>
      <c r="H1996" s="1102">
        <v>1.0053408418161942</v>
      </c>
      <c r="I1996" s="1102">
        <v>0.99081692387456566</v>
      </c>
      <c r="K1996">
        <v>1.5771061296704112</v>
      </c>
      <c r="L1996">
        <v>0</v>
      </c>
      <c r="M1996">
        <v>1.5761211119260355E-3</v>
      </c>
      <c r="N1996">
        <v>0.145541300488255</v>
      </c>
      <c r="O1996">
        <v>0.12250371605187811</v>
      </c>
      <c r="P1996">
        <v>1.5890229887029466E-2</v>
      </c>
      <c r="Q1996">
        <v>9.1014527937820732E-4</v>
      </c>
      <c r="R1996">
        <v>1.572542316917815E-3</v>
      </c>
      <c r="S1996">
        <v>0.11963067799689645</v>
      </c>
      <c r="T1996">
        <v>0.83812742380840388</v>
      </c>
      <c r="U1996">
        <v>0</v>
      </c>
      <c r="V1996">
        <v>0.2066127999438537</v>
      </c>
      <c r="W1996">
        <v>9.5544501262866288E-2</v>
      </c>
      <c r="X1996">
        <v>2.8068971948642149E-2</v>
      </c>
      <c r="Y1996">
        <v>4.2799417982148395E-3</v>
      </c>
    </row>
    <row r="1997" spans="1:25" x14ac:dyDescent="0.25">
      <c r="A1997" s="1098"/>
      <c r="B1997" s="1457">
        <v>1747</v>
      </c>
      <c r="C1997" s="1102">
        <v>1.0076109109078044</v>
      </c>
      <c r="D1997" s="1102">
        <v>1.0188490269441721</v>
      </c>
      <c r="E1997" s="1102">
        <v>0.98141032608692613</v>
      </c>
      <c r="F1997" s="1102">
        <v>1.0257663699088466</v>
      </c>
      <c r="G1997" s="1102">
        <v>1.0076942897200705</v>
      </c>
      <c r="H1997" s="1102">
        <v>1.0259714348975191</v>
      </c>
      <c r="I1997" s="1102">
        <v>1.0057251805744087</v>
      </c>
      <c r="K1997">
        <v>1.5814278774451909</v>
      </c>
      <c r="L1997">
        <v>0</v>
      </c>
      <c r="M1997">
        <v>1.6377126688319299E-3</v>
      </c>
      <c r="N1997">
        <v>0.1424685051336301</v>
      </c>
      <c r="O1997">
        <v>0.1219994358154145</v>
      </c>
      <c r="P1997">
        <v>1.5785251690477412E-2</v>
      </c>
      <c r="Q1997">
        <v>8.6838449227418782E-4</v>
      </c>
      <c r="R1997">
        <v>1.6340814797826382E-3</v>
      </c>
      <c r="S1997">
        <v>0.12016992087357975</v>
      </c>
      <c r="T1997">
        <v>0.84777776513395087</v>
      </c>
      <c r="U1997">
        <v>0</v>
      </c>
      <c r="V1997">
        <v>0.20605892053034763</v>
      </c>
      <c r="W1997">
        <v>9.4639646535105745E-2</v>
      </c>
      <c r="X1997">
        <v>2.721624731630537E-2</v>
      </c>
      <c r="Y1997">
        <v>4.4474311131533027E-3</v>
      </c>
    </row>
    <row r="1998" spans="1:25" x14ac:dyDescent="0.25">
      <c r="A1998" s="1098"/>
      <c r="B1998" s="1457">
        <v>1748</v>
      </c>
      <c r="C1998" s="1102">
        <v>0.97707656761427275</v>
      </c>
      <c r="D1998" s="1102">
        <v>1.004100456974595</v>
      </c>
      <c r="E1998" s="1102">
        <v>0.98109170696016057</v>
      </c>
      <c r="F1998" s="1102">
        <v>0.99828809371427851</v>
      </c>
      <c r="G1998" s="1102">
        <v>1.0051421014839657</v>
      </c>
      <c r="H1998" s="1102">
        <v>0.97895554141834928</v>
      </c>
      <c r="I1998" s="1102">
        <v>1.0116230160756652</v>
      </c>
      <c r="K1998">
        <v>1.5586804326963943</v>
      </c>
      <c r="L1998">
        <v>0</v>
      </c>
      <c r="M1998">
        <v>1.6190403212890596E-3</v>
      </c>
      <c r="N1998">
        <v>0.14069283848129191</v>
      </c>
      <c r="O1998">
        <v>0.12232153310469025</v>
      </c>
      <c r="P1998">
        <v>1.5515424058476031E-2</v>
      </c>
      <c r="Q1998">
        <v>9.0046011198096287E-4</v>
      </c>
      <c r="R1998">
        <v>1.6152712671340572E-3</v>
      </c>
      <c r="S1998">
        <v>0.12154087541618473</v>
      </c>
      <c r="T1998">
        <v>0.82508864559361761</v>
      </c>
      <c r="U1998">
        <v>0</v>
      </c>
      <c r="V1998">
        <v>0.20757832013653629</v>
      </c>
      <c r="W1998">
        <v>9.3478063031639344E-2</v>
      </c>
      <c r="X1998">
        <v>2.7171805901023093E-2</v>
      </c>
      <c r="Y1998">
        <v>4.3962359151087987E-3</v>
      </c>
    </row>
    <row r="1999" spans="1:25" x14ac:dyDescent="0.25">
      <c r="A1999" s="1098"/>
      <c r="B1999" s="1457">
        <v>1749</v>
      </c>
      <c r="C1999" s="1102">
        <v>1.0158238756314073</v>
      </c>
      <c r="D1999" s="1102">
        <v>1.0322323458072338</v>
      </c>
      <c r="E1999" s="1102">
        <v>0.99779242189874073</v>
      </c>
      <c r="F1999" s="1102">
        <v>0.99316107731879277</v>
      </c>
      <c r="G1999" s="1102">
        <v>0.97244664239540268</v>
      </c>
      <c r="H1999" s="1102">
        <v>0.99450093139439877</v>
      </c>
      <c r="I1999" s="1102">
        <v>0.99157453152542341</v>
      </c>
      <c r="K1999">
        <v>1.5303824647540905</v>
      </c>
      <c r="L1999">
        <v>0</v>
      </c>
      <c r="M1999">
        <v>1.5081614132716292E-3</v>
      </c>
      <c r="N1999">
        <v>0.13784969071241163</v>
      </c>
      <c r="O1999">
        <v>0.11872579719950446</v>
      </c>
      <c r="P1999">
        <v>1.5458873240899711E-2</v>
      </c>
      <c r="Q1999">
        <v>8.7163976124857634E-4</v>
      </c>
      <c r="R1999">
        <v>1.5046978566641001E-3</v>
      </c>
      <c r="S1999">
        <v>0.11410628938231382</v>
      </c>
      <c r="T1999">
        <v>0.81975055267122421</v>
      </c>
      <c r="U1999">
        <v>0</v>
      </c>
      <c r="V1999">
        <v>0.20176756434134632</v>
      </c>
      <c r="W1999">
        <v>9.0676875317387703E-2</v>
      </c>
      <c r="X1999">
        <v>2.7083354142038375E-2</v>
      </c>
      <c r="Y1999">
        <v>4.0952915423245412E-3</v>
      </c>
    </row>
    <row r="2000" spans="1:25" x14ac:dyDescent="0.25">
      <c r="A2000" s="1098"/>
      <c r="B2000" s="1457">
        <v>1750</v>
      </c>
      <c r="C2000" s="1102">
        <v>1.0147400148723311</v>
      </c>
      <c r="D2000" s="1102">
        <v>1.0122027398383133</v>
      </c>
      <c r="E2000" s="1102">
        <v>1.0073603065638581</v>
      </c>
      <c r="F2000" s="1102">
        <v>1.0237046668966414</v>
      </c>
      <c r="G2000" s="1102">
        <v>1.020324030138708</v>
      </c>
      <c r="H2000" s="1102">
        <v>0.99092005389239279</v>
      </c>
      <c r="I2000" s="1102">
        <v>1.0309520570668633</v>
      </c>
      <c r="K2000">
        <v>1.573991050631242</v>
      </c>
      <c r="L2000">
        <v>0</v>
      </c>
      <c r="M2000">
        <v>1.4944882332542883E-3</v>
      </c>
      <c r="N2000">
        <v>0.14060602480418979</v>
      </c>
      <c r="O2000">
        <v>0.12171226261147233</v>
      </c>
      <c r="P2000">
        <v>1.6048382191122181E-2</v>
      </c>
      <c r="Q2000">
        <v>8.8819220583928658E-4</v>
      </c>
      <c r="R2000">
        <v>1.4910623927121744E-3</v>
      </c>
      <c r="S2000">
        <v>0.12006665088560639</v>
      </c>
      <c r="T2000">
        <v>0.84431531776657598</v>
      </c>
      <c r="U2000">
        <v>0</v>
      </c>
      <c r="V2000">
        <v>0.20617543242227657</v>
      </c>
      <c r="W2000">
        <v>9.1966576342657133E-2</v>
      </c>
      <c r="X2000">
        <v>2.8157456937668905E-2</v>
      </c>
      <c r="Y2000">
        <v>4.0581803043768811E-3</v>
      </c>
    </row>
    <row r="2001" spans="1:25" x14ac:dyDescent="0.25">
      <c r="A2001" s="1098"/>
      <c r="B2001" s="1457">
        <v>1751</v>
      </c>
      <c r="C2001" s="1102">
        <v>0.97026120889167622</v>
      </c>
      <c r="D2001" s="1102">
        <v>0.99359589339854004</v>
      </c>
      <c r="E2001" s="1102">
        <v>1.0361027296938332</v>
      </c>
      <c r="F2001" s="1102">
        <v>0.98513760624582924</v>
      </c>
      <c r="G2001" s="1102">
        <v>0.96058542420546533</v>
      </c>
      <c r="H2001" s="1102">
        <v>1.0390153995381457</v>
      </c>
      <c r="I2001" s="1102">
        <v>0.9725129116234712</v>
      </c>
      <c r="K2001">
        <v>1.5737385946816089</v>
      </c>
      <c r="L2001">
        <v>0</v>
      </c>
      <c r="M2001">
        <v>1.5503387908549124E-3</v>
      </c>
      <c r="N2001">
        <v>0.15908675110474449</v>
      </c>
      <c r="O2001">
        <v>0.1220523348466175</v>
      </c>
      <c r="P2001">
        <v>1.595813219829989E-2</v>
      </c>
      <c r="Q2001">
        <v>9.6380664528015548E-4</v>
      </c>
      <c r="R2001">
        <v>1.5469388018612654E-3</v>
      </c>
      <c r="S2001">
        <v>0.1231605338187638</v>
      </c>
      <c r="T2001">
        <v>0.81065725240527142</v>
      </c>
      <c r="U2001">
        <v>0</v>
      </c>
      <c r="V2001">
        <v>0.20589914637311113</v>
      </c>
      <c r="W2001">
        <v>0.1023214798443579</v>
      </c>
      <c r="X2001">
        <v>2.9432299963726379E-2</v>
      </c>
      <c r="Y2001">
        <v>4.210257470427383E-3</v>
      </c>
    </row>
    <row r="2002" spans="1:25" x14ac:dyDescent="0.25">
      <c r="A2002" s="1098"/>
      <c r="B2002" s="1457">
        <v>1752</v>
      </c>
      <c r="C2002" s="1102">
        <v>1.0152888050933704</v>
      </c>
      <c r="D2002" s="1102">
        <v>1.0015667574144622</v>
      </c>
      <c r="E2002" s="1102">
        <v>0.99832503899992941</v>
      </c>
      <c r="F2002" s="1102">
        <v>1.0106984137664277</v>
      </c>
      <c r="G2002" s="1102">
        <v>1.0110684879707441</v>
      </c>
      <c r="H2002" s="1102">
        <v>0.99552298725058319</v>
      </c>
      <c r="I2002" s="1102">
        <v>1.012730441403985</v>
      </c>
      <c r="K2002">
        <v>1.5614410124798788</v>
      </c>
      <c r="L2002">
        <v>0</v>
      </c>
      <c r="M2002">
        <v>1.5368450940864999E-3</v>
      </c>
      <c r="N2002">
        <v>0.14070007740795892</v>
      </c>
      <c r="O2002">
        <v>0.12127632859020759</v>
      </c>
      <c r="P2002">
        <v>1.5775743642231166E-2</v>
      </c>
      <c r="Q2002">
        <v>8.8317130676549786E-4</v>
      </c>
      <c r="R2002">
        <v>1.5333415267811102E-3</v>
      </c>
      <c r="S2002">
        <v>0.11890431778985194</v>
      </c>
      <c r="T2002">
        <v>0.83419021880219524</v>
      </c>
      <c r="U2002">
        <v>0</v>
      </c>
      <c r="V2002">
        <v>0.20534383232402748</v>
      </c>
      <c r="W2002">
        <v>9.2522507857607864E-2</v>
      </c>
      <c r="X2002">
        <v>2.7675068156338713E-2</v>
      </c>
      <c r="Y2002">
        <v>4.1732501699997251E-3</v>
      </c>
    </row>
    <row r="2003" spans="1:25" x14ac:dyDescent="0.25">
      <c r="A2003" s="1098"/>
      <c r="B2003" s="1457">
        <v>1753</v>
      </c>
      <c r="C2003" s="1102">
        <v>1.0032818026306367</v>
      </c>
      <c r="D2003" s="1102">
        <v>0.96831532459186742</v>
      </c>
      <c r="E2003" s="1102">
        <v>1.0302378392103915</v>
      </c>
      <c r="F2003" s="1102">
        <v>1.0445259565511933</v>
      </c>
      <c r="G2003" s="1102">
        <v>0.97317377656109605</v>
      </c>
      <c r="H2003" s="1102">
        <v>1.0117679635329015</v>
      </c>
      <c r="I2003" s="1102">
        <v>0.98245866085678257</v>
      </c>
      <c r="K2003">
        <v>1.6157503574770362</v>
      </c>
      <c r="L2003">
        <v>0</v>
      </c>
      <c r="M2003">
        <v>1.5103077090645727E-3</v>
      </c>
      <c r="N2003">
        <v>0.15225851365848217</v>
      </c>
      <c r="O2003">
        <v>0.12566927117962259</v>
      </c>
      <c r="P2003">
        <v>1.6563298139352416E-2</v>
      </c>
      <c r="Q2003">
        <v>9.3613407828544565E-4</v>
      </c>
      <c r="R2003">
        <v>1.5069446808868019E-3</v>
      </c>
      <c r="S2003">
        <v>0.12059366787003685</v>
      </c>
      <c r="T2003">
        <v>0.85992501049785219</v>
      </c>
      <c r="U2003">
        <v>0</v>
      </c>
      <c r="V2003">
        <v>0.20747521886834536</v>
      </c>
      <c r="W2003">
        <v>9.8262823428919024E-2</v>
      </c>
      <c r="X2003">
        <v>2.9968376127125145E-2</v>
      </c>
      <c r="Y2003">
        <v>4.1014066571933286E-3</v>
      </c>
    </row>
    <row r="2004" spans="1:25" x14ac:dyDescent="0.25">
      <c r="A2004" s="1098"/>
      <c r="B2004" s="1457">
        <v>1754</v>
      </c>
      <c r="C2004" s="1102">
        <v>0.98118012614352945</v>
      </c>
      <c r="D2004" s="1102">
        <v>1.0189118207017032</v>
      </c>
      <c r="E2004" s="1102">
        <v>1.0272501265956009</v>
      </c>
      <c r="F2004" s="1102">
        <v>0.97179815965855598</v>
      </c>
      <c r="G2004" s="1102">
        <v>1.0020865413817188</v>
      </c>
      <c r="H2004" s="1102">
        <v>0.97239633030974193</v>
      </c>
      <c r="I2004" s="1102">
        <v>0.99594614161744854</v>
      </c>
      <c r="K2004">
        <v>1.5283600417216394</v>
      </c>
      <c r="L2004">
        <v>0</v>
      </c>
      <c r="M2004">
        <v>1.4406364002565854E-3</v>
      </c>
      <c r="N2004">
        <v>0.1439141353575121</v>
      </c>
      <c r="O2004">
        <v>0.1194576474835445</v>
      </c>
      <c r="P2004">
        <v>1.5625138688787669E-2</v>
      </c>
      <c r="Q2004">
        <v>9.3505980860889612E-4</v>
      </c>
      <c r="R2004">
        <v>1.43724592891714E-3</v>
      </c>
      <c r="S2004">
        <v>0.11755223217877066</v>
      </c>
      <c r="T2004">
        <v>0.8002394994384403</v>
      </c>
      <c r="U2004">
        <v>0</v>
      </c>
      <c r="V2004">
        <v>0.20533964674099864</v>
      </c>
      <c r="W2004">
        <v>9.3039001976483029E-2</v>
      </c>
      <c r="X2004">
        <v>2.8349360889311892E-2</v>
      </c>
      <c r="Y2004">
        <v>3.911709630519321E-3</v>
      </c>
    </row>
    <row r="2005" spans="1:25" x14ac:dyDescent="0.25">
      <c r="A2005" s="1098"/>
      <c r="B2005" s="1457">
        <v>1755</v>
      </c>
      <c r="C2005" s="1102">
        <v>1.0393774040138073</v>
      </c>
      <c r="D2005" s="1102">
        <v>0.97519670458781871</v>
      </c>
      <c r="E2005" s="1102">
        <v>1.004482423695624</v>
      </c>
      <c r="F2005" s="1102">
        <v>1.0057866965773603</v>
      </c>
      <c r="G2005" s="1102">
        <v>0.95621055737478711</v>
      </c>
      <c r="H2005" s="1102">
        <v>1.0074948980627731</v>
      </c>
      <c r="I2005" s="1102">
        <v>1.023170717361112</v>
      </c>
      <c r="K2005">
        <v>1.5564408481571295</v>
      </c>
      <c r="L2005">
        <v>0</v>
      </c>
      <c r="M2005">
        <v>1.5249702645786362E-3</v>
      </c>
      <c r="N2005">
        <v>0.14223987842474808</v>
      </c>
      <c r="O2005">
        <v>0.12089723860738145</v>
      </c>
      <c r="P2005">
        <v>1.5753659431374332E-2</v>
      </c>
      <c r="Q2005">
        <v>8.7753978626516809E-4</v>
      </c>
      <c r="R2005">
        <v>1.5215550836556256E-3</v>
      </c>
      <c r="S2005">
        <v>0.1203031688512598</v>
      </c>
      <c r="T2005">
        <v>0.82972773758719842</v>
      </c>
      <c r="U2005">
        <v>0</v>
      </c>
      <c r="V2005">
        <v>0.20148643356005688</v>
      </c>
      <c r="W2005">
        <v>9.3193761432123129E-2</v>
      </c>
      <c r="X2005">
        <v>2.7823674300433615E-2</v>
      </c>
      <c r="Y2005">
        <v>4.1411713572120888E-3</v>
      </c>
    </row>
    <row r="2006" spans="1:25" x14ac:dyDescent="0.25">
      <c r="A2006" s="1098"/>
      <c r="B2006" s="1457">
        <v>1756</v>
      </c>
      <c r="C2006" s="1102">
        <v>0.9838944395137561</v>
      </c>
      <c r="D2006" s="1102">
        <v>1.0344149732757293</v>
      </c>
      <c r="E2006" s="1102">
        <v>0.98816934855727445</v>
      </c>
      <c r="F2006" s="1102">
        <v>0.96593900569088242</v>
      </c>
      <c r="G2006" s="1102">
        <v>0.99472534536622614</v>
      </c>
      <c r="H2006" s="1102">
        <v>0.99694090031434468</v>
      </c>
      <c r="I2006" s="1102">
        <v>1.0327640892743915</v>
      </c>
      <c r="K2006">
        <v>1.5231832418294513</v>
      </c>
      <c r="L2006">
        <v>0</v>
      </c>
      <c r="M2006">
        <v>1.5835171468264382E-3</v>
      </c>
      <c r="N2006">
        <v>0.14058712340054461</v>
      </c>
      <c r="O2006">
        <v>0.11835989704268228</v>
      </c>
      <c r="P2006">
        <v>1.5193641252968491E-2</v>
      </c>
      <c r="Q2006">
        <v>8.9020635203198098E-4</v>
      </c>
      <c r="R2006">
        <v>1.5798722535721472E-3</v>
      </c>
      <c r="S2006">
        <v>0.12237353414049525</v>
      </c>
      <c r="T2006">
        <v>0.79789730825052119</v>
      </c>
      <c r="U2006">
        <v>0</v>
      </c>
      <c r="V2006">
        <v>0.20395280731953341</v>
      </c>
      <c r="W2006">
        <v>9.3010939443193483E-2</v>
      </c>
      <c r="X2006">
        <v>2.6621538051258782E-2</v>
      </c>
      <c r="Y2006">
        <v>4.299891469474966E-3</v>
      </c>
    </row>
    <row r="2007" spans="1:25" x14ac:dyDescent="0.25">
      <c r="A2007" s="1098"/>
      <c r="B2007" s="1457">
        <v>1757</v>
      </c>
      <c r="C2007" s="1102">
        <v>1.0206321644186391</v>
      </c>
      <c r="D2007" s="1102">
        <v>1.0053426764610272</v>
      </c>
      <c r="E2007" s="1102">
        <v>0.96937081336109221</v>
      </c>
      <c r="F2007" s="1102">
        <v>0.98578337233988</v>
      </c>
      <c r="G2007" s="1102">
        <v>0.98272579782979419</v>
      </c>
      <c r="H2007" s="1102">
        <v>0.97745700767084009</v>
      </c>
      <c r="I2007" s="1102">
        <v>0.97870803960483543</v>
      </c>
      <c r="K2007">
        <v>1.5179772132615705</v>
      </c>
      <c r="L2007">
        <v>0</v>
      </c>
      <c r="M2007">
        <v>1.5879503685825118E-3</v>
      </c>
      <c r="N2007">
        <v>0.13318176799641362</v>
      </c>
      <c r="O2007">
        <v>0.11919475694923766</v>
      </c>
      <c r="P2007">
        <v>1.5057558397590641E-2</v>
      </c>
      <c r="Q2007">
        <v>8.5106165246293683E-4</v>
      </c>
      <c r="R2007">
        <v>1.5842555375738044E-3</v>
      </c>
      <c r="S2007">
        <v>0.11251629533114885</v>
      </c>
      <c r="T2007">
        <v>0.81552542675136586</v>
      </c>
      <c r="U2007">
        <v>0</v>
      </c>
      <c r="V2007">
        <v>0.20218407764259405</v>
      </c>
      <c r="W2007">
        <v>8.9118486477505671E-2</v>
      </c>
      <c r="X2007">
        <v>2.603965557068106E-2</v>
      </c>
      <c r="Y2007">
        <v>4.3118213235782922E-3</v>
      </c>
    </row>
    <row r="2008" spans="1:25" x14ac:dyDescent="0.25">
      <c r="A2008" s="1098"/>
      <c r="B2008" s="1457">
        <v>1758</v>
      </c>
      <c r="C2008" s="1102">
        <v>1.0013404652570919</v>
      </c>
      <c r="D2008" s="1102">
        <v>0.99010794749046682</v>
      </c>
      <c r="E2008" s="1102">
        <v>1.0153573648496759</v>
      </c>
      <c r="F2008" s="1102">
        <v>0.99775179124350211</v>
      </c>
      <c r="G2008" s="1102">
        <v>1.0270818625100218</v>
      </c>
      <c r="H2008" s="1102">
        <v>0.98700377732485733</v>
      </c>
      <c r="I2008" s="1102">
        <v>1.0033268676986205</v>
      </c>
      <c r="K2008">
        <v>1.5578958987575093</v>
      </c>
      <c r="L2008">
        <v>0</v>
      </c>
      <c r="M2008">
        <v>1.4980216390665249E-3</v>
      </c>
      <c r="N2008">
        <v>0.14438116695724951</v>
      </c>
      <c r="O2008">
        <v>0.12154246072297345</v>
      </c>
      <c r="P2008">
        <v>1.5843279400621097E-2</v>
      </c>
      <c r="Q2008">
        <v>9.1557342479364247E-4</v>
      </c>
      <c r="R2008">
        <v>1.4945768921802043E-3</v>
      </c>
      <c r="S2008">
        <v>0.11945941765937719</v>
      </c>
      <c r="T2008">
        <v>0.82238650238074917</v>
      </c>
      <c r="U2008">
        <v>0</v>
      </c>
      <c r="V2008">
        <v>0.20693479324470018</v>
      </c>
      <c r="W2008">
        <v>9.3991987353998455E-2</v>
      </c>
      <c r="X2008">
        <v>2.8376416746557425E-2</v>
      </c>
      <c r="Y2008">
        <v>4.0677456133744209E-3</v>
      </c>
    </row>
    <row r="2009" spans="1:25" x14ac:dyDescent="0.25">
      <c r="A2009" s="1098"/>
      <c r="B2009" s="1457">
        <v>1759</v>
      </c>
      <c r="C2009" s="1102">
        <v>1.0377618492984977</v>
      </c>
      <c r="D2009" s="1102">
        <v>0.96295155474597749</v>
      </c>
      <c r="E2009" s="1102">
        <v>0.95460356252387846</v>
      </c>
      <c r="F2009" s="1102">
        <v>0.96701236953640957</v>
      </c>
      <c r="G2009" s="1102">
        <v>1.0096503320706443</v>
      </c>
      <c r="H2009" s="1102">
        <v>1.0334714437202128</v>
      </c>
      <c r="I2009" s="1102">
        <v>0.95764711689715043</v>
      </c>
      <c r="K2009">
        <v>1.5174277543666181</v>
      </c>
      <c r="L2009">
        <v>0</v>
      </c>
      <c r="M2009">
        <v>1.7438921052052229E-3</v>
      </c>
      <c r="N2009">
        <v>0.13988097104245348</v>
      </c>
      <c r="O2009">
        <v>0.11893092541797151</v>
      </c>
      <c r="P2009">
        <v>1.4732190918973889E-2</v>
      </c>
      <c r="Q2009">
        <v>8.3835951837525971E-4</v>
      </c>
      <c r="R2009">
        <v>1.7400808081536744E-3</v>
      </c>
      <c r="S2009">
        <v>0.11523942763247964</v>
      </c>
      <c r="T2009">
        <v>0.80095661780389094</v>
      </c>
      <c r="U2009">
        <v>0</v>
      </c>
      <c r="V2009">
        <v>0.2022941975974582</v>
      </c>
      <c r="W2009">
        <v>9.4451748173449118E-2</v>
      </c>
      <c r="X2009">
        <v>2.5371201216306542E-2</v>
      </c>
      <c r="Y2009">
        <v>4.7359263423100567E-3</v>
      </c>
    </row>
    <row r="2010" spans="1:25" x14ac:dyDescent="0.25">
      <c r="A2010" s="1098"/>
      <c r="B2010" s="1457">
        <v>1760</v>
      </c>
      <c r="C2010" s="1102">
        <v>0.99661705443390936</v>
      </c>
      <c r="D2010" s="1102">
        <v>0.99028302553056646</v>
      </c>
      <c r="E2010" s="1102">
        <v>0.98374025572979129</v>
      </c>
      <c r="F2010" s="1102">
        <v>1.0192541636487511</v>
      </c>
      <c r="G2010" s="1102">
        <v>0.99560179425218864</v>
      </c>
      <c r="H2010" s="1102">
        <v>1.0289066177868014</v>
      </c>
      <c r="I2010" s="1102">
        <v>1.0155035567481516</v>
      </c>
      <c r="K2010">
        <v>1.5907681544592052</v>
      </c>
      <c r="L2010">
        <v>0</v>
      </c>
      <c r="M2010">
        <v>1.6773596202568975E-3</v>
      </c>
      <c r="N2010">
        <v>0.14695166309651056</v>
      </c>
      <c r="O2010">
        <v>0.12338019910698519</v>
      </c>
      <c r="P2010">
        <v>1.5814893474912283E-2</v>
      </c>
      <c r="Q2010">
        <v>8.9017569346911904E-4</v>
      </c>
      <c r="R2010">
        <v>1.6736642291739316E-3</v>
      </c>
      <c r="S2010">
        <v>0.12491781897570042</v>
      </c>
      <c r="T2010">
        <v>0.84223743663450878</v>
      </c>
      <c r="U2010">
        <v>0</v>
      </c>
      <c r="V2010">
        <v>0.20697222880279714</v>
      </c>
      <c r="W2010">
        <v>9.748078077627477E-2</v>
      </c>
      <c r="X2010">
        <v>2.7571490980583205E-2</v>
      </c>
      <c r="Y2010">
        <v>4.5551623085465752E-3</v>
      </c>
    </row>
    <row r="2011" spans="1:25" x14ac:dyDescent="0.25">
      <c r="A2011" s="1098"/>
      <c r="B2011" s="1457">
        <v>1761</v>
      </c>
      <c r="C2011" s="1102">
        <v>1.039656061856927</v>
      </c>
      <c r="D2011" s="1102">
        <v>0.98841931699145591</v>
      </c>
      <c r="E2011" s="1102">
        <v>0.98912493690709158</v>
      </c>
      <c r="F2011" s="1102">
        <v>0.99928238999003371</v>
      </c>
      <c r="G2011" s="1102">
        <v>0.97168613918175994</v>
      </c>
      <c r="H2011" s="1102">
        <v>1.0269209613062662</v>
      </c>
      <c r="I2011" s="1102">
        <v>0.99229881103361195</v>
      </c>
      <c r="K2011">
        <v>1.546817311367461</v>
      </c>
      <c r="L2011">
        <v>0</v>
      </c>
      <c r="M2011">
        <v>1.5912219448276871E-3</v>
      </c>
      <c r="N2011">
        <v>0.14169395027283552</v>
      </c>
      <c r="O2011">
        <v>0.11988290431636921</v>
      </c>
      <c r="P2011">
        <v>1.5470458783825625E-2</v>
      </c>
      <c r="Q2011">
        <v>8.587837733932416E-4</v>
      </c>
      <c r="R2011">
        <v>1.5877161561331211E-3</v>
      </c>
      <c r="S2011">
        <v>0.11712360146089816</v>
      </c>
      <c r="T2011">
        <v>0.82537665057681942</v>
      </c>
      <c r="U2011">
        <v>0</v>
      </c>
      <c r="V2011">
        <v>0.20139671389040908</v>
      </c>
      <c r="W2011">
        <v>9.36894983824684E-2</v>
      </c>
      <c r="X2011">
        <v>2.7007015712632674E-2</v>
      </c>
      <c r="Y2011">
        <v>4.3212399865041502E-3</v>
      </c>
    </row>
    <row r="2012" spans="1:25" x14ac:dyDescent="0.25">
      <c r="A2012" s="1098"/>
      <c r="B2012" s="1457">
        <v>1762</v>
      </c>
      <c r="C2012" s="1102">
        <v>0.99257794492465112</v>
      </c>
      <c r="D2012" s="1102">
        <v>0.99821253121046216</v>
      </c>
      <c r="E2012" s="1102">
        <v>0.97659083737898156</v>
      </c>
      <c r="F2012" s="1102">
        <v>0.98805279076873664</v>
      </c>
      <c r="G2012" s="1102">
        <v>1.0077130239359191</v>
      </c>
      <c r="H2012" s="1102">
        <v>1.0378972434615918</v>
      </c>
      <c r="I2012" s="1102">
        <v>1.0446651257697068</v>
      </c>
      <c r="K2012">
        <v>1.5651697876004225</v>
      </c>
      <c r="L2012">
        <v>0</v>
      </c>
      <c r="M2012">
        <v>1.7118188365879859E-3</v>
      </c>
      <c r="N2012">
        <v>0.14676286546559467</v>
      </c>
      <c r="O2012">
        <v>0.12105935907713014</v>
      </c>
      <c r="P2012">
        <v>1.5430634200565004E-2</v>
      </c>
      <c r="Q2012">
        <v>8.8430163554241643E-4</v>
      </c>
      <c r="R2012">
        <v>1.7080651399589476E-3</v>
      </c>
      <c r="S2012">
        <v>0.12891938069972406</v>
      </c>
      <c r="T2012">
        <v>0.8169257389616591</v>
      </c>
      <c r="U2012">
        <v>0</v>
      </c>
      <c r="V2012">
        <v>0.20598594892028976</v>
      </c>
      <c r="W2012">
        <v>9.7776677657562719E-2</v>
      </c>
      <c r="X2012">
        <v>2.677984443153528E-2</v>
      </c>
      <c r="Y2012">
        <v>4.6487902474461945E-3</v>
      </c>
    </row>
    <row r="2013" spans="1:25" x14ac:dyDescent="0.25">
      <c r="A2013" s="1098"/>
      <c r="B2013" s="1457">
        <v>1763</v>
      </c>
      <c r="C2013" s="1102">
        <v>0.97464774253785003</v>
      </c>
      <c r="D2013" s="1102">
        <v>0.99518346180062278</v>
      </c>
      <c r="E2013" s="1102">
        <v>0.96671099262686866</v>
      </c>
      <c r="F2013" s="1102">
        <v>1.0118477414899298</v>
      </c>
      <c r="G2013" s="1102">
        <v>1.0041988617743216</v>
      </c>
      <c r="H2013" s="1102">
        <v>0.95541398928366883</v>
      </c>
      <c r="I2013" s="1102">
        <v>0.98176418083276373</v>
      </c>
      <c r="K2013">
        <v>1.5626431252145776</v>
      </c>
      <c r="L2013">
        <v>0</v>
      </c>
      <c r="M2013">
        <v>1.6414552138533124E-3</v>
      </c>
      <c r="N2013">
        <v>0.13655753571904614</v>
      </c>
      <c r="O2013">
        <v>0.1238459099186358</v>
      </c>
      <c r="P2013">
        <v>1.5462661030906433E-2</v>
      </c>
      <c r="Q2013">
        <v>8.9233650904716551E-4</v>
      </c>
      <c r="R2013">
        <v>1.6375489233901271E-3</v>
      </c>
      <c r="S2013">
        <v>0.11703538829245254</v>
      </c>
      <c r="T2013">
        <v>0.83726857166985069</v>
      </c>
      <c r="U2013">
        <v>0</v>
      </c>
      <c r="V2013">
        <v>0.20870167998751929</v>
      </c>
      <c r="W2013">
        <v>9.152565642446929E-2</v>
      </c>
      <c r="X2013">
        <v>2.6900423601502535E-2</v>
      </c>
      <c r="Y2013">
        <v>4.4568683516104093E-3</v>
      </c>
    </row>
    <row r="2014" spans="1:25" x14ac:dyDescent="0.25">
      <c r="A2014" s="1098"/>
      <c r="B2014" s="1457">
        <v>1764</v>
      </c>
      <c r="C2014" s="1102">
        <v>1.0147768858576949</v>
      </c>
      <c r="D2014" s="1102">
        <v>1.0255921739978704</v>
      </c>
      <c r="E2014" s="1102">
        <v>1.0339195210205505</v>
      </c>
      <c r="F2014" s="1102">
        <v>0.98799618180166204</v>
      </c>
      <c r="G2014" s="1102">
        <v>0.96324990388661025</v>
      </c>
      <c r="H2014" s="1102">
        <v>0.99857276091637426</v>
      </c>
      <c r="I2014" s="1102">
        <v>0.99662282294207649</v>
      </c>
      <c r="K2014">
        <v>1.5341731687285673</v>
      </c>
      <c r="L2014">
        <v>0</v>
      </c>
      <c r="M2014">
        <v>1.4107081915438061E-3</v>
      </c>
      <c r="N2014">
        <v>0.14379606654576893</v>
      </c>
      <c r="O2014">
        <v>0.1185957780365313</v>
      </c>
      <c r="P2014">
        <v>1.5799293137288412E-2</v>
      </c>
      <c r="Q2014">
        <v>9.0789804634411168E-4</v>
      </c>
      <c r="R2014">
        <v>1.4074836582674793E-3</v>
      </c>
      <c r="S2014">
        <v>0.1155939254704096</v>
      </c>
      <c r="T2014">
        <v>0.81314948983739177</v>
      </c>
      <c r="U2014">
        <v>0</v>
      </c>
      <c r="V2014">
        <v>0.20142422094500301</v>
      </c>
      <c r="W2014">
        <v>9.2603633771793065E-2</v>
      </c>
      <c r="X2014">
        <v>2.8475380930372302E-2</v>
      </c>
      <c r="Y2014">
        <v>3.8307065409408265E-3</v>
      </c>
    </row>
    <row r="2015" spans="1:25" x14ac:dyDescent="0.25">
      <c r="A2015" s="1098"/>
      <c r="B2015" s="1457">
        <v>1765</v>
      </c>
      <c r="C2015" s="1102">
        <v>0.9929246276355036</v>
      </c>
      <c r="D2015" s="1102">
        <v>1.0431274611399695</v>
      </c>
      <c r="E2015" s="1102">
        <v>0.959032016909381</v>
      </c>
      <c r="F2015" s="1102">
        <v>0.98386345256086694</v>
      </c>
      <c r="G2015" s="1102">
        <v>1.0232274542790827</v>
      </c>
      <c r="H2015" s="1102">
        <v>0.97963622758610658</v>
      </c>
      <c r="I2015" s="1102">
        <v>0.97425156635255206</v>
      </c>
      <c r="K2015">
        <v>1.519212129026563</v>
      </c>
      <c r="L2015">
        <v>0</v>
      </c>
      <c r="M2015">
        <v>1.6331450603474683E-3</v>
      </c>
      <c r="N2015">
        <v>0.13274715500819609</v>
      </c>
      <c r="O2015">
        <v>0.1188810681837844</v>
      </c>
      <c r="P2015">
        <v>1.4965898675161906E-2</v>
      </c>
      <c r="Q2015">
        <v>8.5262735199752434E-4</v>
      </c>
      <c r="R2015">
        <v>1.6293221060637709E-3</v>
      </c>
      <c r="S2015">
        <v>0.11261131206977805</v>
      </c>
      <c r="T2015">
        <v>0.81462033828847236</v>
      </c>
      <c r="U2015">
        <v>0</v>
      </c>
      <c r="V2015">
        <v>0.20510581008132284</v>
      </c>
      <c r="W2015">
        <v>8.9390978795021003E-2</v>
      </c>
      <c r="X2015">
        <v>2.5606285860293954E-2</v>
      </c>
      <c r="Y2015">
        <v>4.4344776668176723E-3</v>
      </c>
    </row>
    <row r="2016" spans="1:25" x14ac:dyDescent="0.25">
      <c r="A2016" s="1098"/>
      <c r="B2016" s="1457">
        <v>1766</v>
      </c>
      <c r="C2016" s="1102">
        <v>0.98480876126399708</v>
      </c>
      <c r="D2016" s="1102">
        <v>0.95218859277015411</v>
      </c>
      <c r="E2016" s="1102">
        <v>0.98690679614445875</v>
      </c>
      <c r="F2016" s="1102">
        <v>1.002772226887958</v>
      </c>
      <c r="G2016" s="1102">
        <v>0.99655299598839819</v>
      </c>
      <c r="H2016" s="1102">
        <v>1.0423136180909003</v>
      </c>
      <c r="I2016" s="1102">
        <v>1.0125430874592194</v>
      </c>
      <c r="K2016">
        <v>1.596899247498202</v>
      </c>
      <c r="L2016">
        <v>0</v>
      </c>
      <c r="M2016">
        <v>1.7428913468072751E-3</v>
      </c>
      <c r="N2016">
        <v>0.1541680372362027</v>
      </c>
      <c r="O2016">
        <v>0.12458259524577814</v>
      </c>
      <c r="P2016">
        <v>1.5753489308973787E-2</v>
      </c>
      <c r="Q2016">
        <v>9.1812904661576469E-4</v>
      </c>
      <c r="R2016">
        <v>1.7391173171246669E-3</v>
      </c>
      <c r="S2016">
        <v>0.12996943262154284</v>
      </c>
      <c r="T2016">
        <v>0.82840684396993436</v>
      </c>
      <c r="U2016">
        <v>0</v>
      </c>
      <c r="V2016">
        <v>0.20838375805321308</v>
      </c>
      <c r="W2016">
        <v>0.10207325090557291</v>
      </c>
      <c r="X2016">
        <v>2.7914181102708234E-2</v>
      </c>
      <c r="Y2016">
        <v>4.733304037343831E-3</v>
      </c>
    </row>
    <row r="2017" spans="1:25" x14ac:dyDescent="0.25">
      <c r="A2017" s="1098"/>
      <c r="B2017" s="1457">
        <v>1767</v>
      </c>
      <c r="C2017" s="1102">
        <v>0.97596274957374896</v>
      </c>
      <c r="D2017" s="1102">
        <v>0.97643089260299709</v>
      </c>
      <c r="E2017" s="1102">
        <v>0.9738532302375098</v>
      </c>
      <c r="F2017" s="1102">
        <v>1.0314442255166272</v>
      </c>
      <c r="G2017" s="1102">
        <v>0.98973255137945271</v>
      </c>
      <c r="H2017" s="1102">
        <v>1.006444116291688</v>
      </c>
      <c r="I2017" s="1102">
        <v>0.96711051697895012</v>
      </c>
      <c r="K2017">
        <v>1.6024647935949614</v>
      </c>
      <c r="L2017">
        <v>0</v>
      </c>
      <c r="M2017">
        <v>1.722674704396151E-3</v>
      </c>
      <c r="N2017">
        <v>0.14646670130811376</v>
      </c>
      <c r="O2017">
        <v>0.12600062191995548</v>
      </c>
      <c r="P2017">
        <v>1.5817473279915003E-2</v>
      </c>
      <c r="Q2017">
        <v>9.0472228503607715E-4</v>
      </c>
      <c r="R2017">
        <v>1.7188014170449659E-3</v>
      </c>
      <c r="S2017">
        <v>0.12064735500554059</v>
      </c>
      <c r="T2017">
        <v>0.85299060003491667</v>
      </c>
      <c r="U2017">
        <v>0</v>
      </c>
      <c r="V2017">
        <v>0.20955578787110252</v>
      </c>
      <c r="W2017">
        <v>9.7741415030504583E-2</v>
      </c>
      <c r="X2017">
        <v>2.7665979292765722E-2</v>
      </c>
      <c r="Y2017">
        <v>4.6780108544615473E-3</v>
      </c>
    </row>
    <row r="2018" spans="1:25" x14ac:dyDescent="0.25">
      <c r="A2018" s="1098"/>
      <c r="B2018" s="1457">
        <v>1768</v>
      </c>
      <c r="C2018" s="1102">
        <v>1.0340716227429456</v>
      </c>
      <c r="D2018" s="1102">
        <v>0.99722724457472878</v>
      </c>
      <c r="E2018" s="1102">
        <v>1.0317554369122672</v>
      </c>
      <c r="F2018" s="1102">
        <v>1.0125508377534913</v>
      </c>
      <c r="G2018" s="1102">
        <v>1.0217058766459211</v>
      </c>
      <c r="H2018" s="1102">
        <v>0.98735047520609853</v>
      </c>
      <c r="I2018" s="1102">
        <v>0.99613097217681912</v>
      </c>
      <c r="K2018">
        <v>1.5564000844933175</v>
      </c>
      <c r="L2018">
        <v>0</v>
      </c>
      <c r="M2018">
        <v>1.4015394059021919E-3</v>
      </c>
      <c r="N2018">
        <v>0.14193159079194373</v>
      </c>
      <c r="O2018">
        <v>0.12056955501376393</v>
      </c>
      <c r="P2018">
        <v>1.6089878976850859E-2</v>
      </c>
      <c r="Q2018">
        <v>8.990247240984624E-4</v>
      </c>
      <c r="R2018">
        <v>1.3983248698636319E-3</v>
      </c>
      <c r="S2018">
        <v>0.11467509219070772</v>
      </c>
      <c r="T2018">
        <v>0.83350101089611739</v>
      </c>
      <c r="U2018">
        <v>0</v>
      </c>
      <c r="V2018">
        <v>0.20459072028046582</v>
      </c>
      <c r="W2018">
        <v>9.1517561528924249E-2</v>
      </c>
      <c r="X2018">
        <v>2.8823085288384495E-2</v>
      </c>
      <c r="Y2018">
        <v>3.8057793380993402E-3</v>
      </c>
    </row>
    <row r="2019" spans="1:25" x14ac:dyDescent="0.25">
      <c r="A2019" s="1098"/>
      <c r="B2019" s="1457">
        <v>1769</v>
      </c>
      <c r="C2019" s="1102">
        <v>1.0253403061986583</v>
      </c>
      <c r="D2019" s="1102">
        <v>0.98655726958846446</v>
      </c>
      <c r="E2019" s="1102">
        <v>0.9944889210526271</v>
      </c>
      <c r="F2019" s="1102">
        <v>1.0151334795317055</v>
      </c>
      <c r="G2019" s="1102">
        <v>1.0130464223152345</v>
      </c>
      <c r="H2019" s="1102">
        <v>1.0095741406764618</v>
      </c>
      <c r="I2019" s="1102">
        <v>1.0145723927316632</v>
      </c>
      <c r="K2019">
        <v>1.5697720502171797</v>
      </c>
      <c r="L2019">
        <v>0</v>
      </c>
      <c r="M2019">
        <v>1.5706318889374224E-3</v>
      </c>
      <c r="N2019">
        <v>0.14214162651926654</v>
      </c>
      <c r="O2019">
        <v>0.12175835829729766</v>
      </c>
      <c r="P2019">
        <v>1.5800684476314716E-2</v>
      </c>
      <c r="Q2019">
        <v>8.7631233600503811E-4</v>
      </c>
      <c r="R2019">
        <v>1.5671137827349077E-3</v>
      </c>
      <c r="S2019">
        <v>0.12021209824921637</v>
      </c>
      <c r="T2019">
        <v>0.83810826745535183</v>
      </c>
      <c r="U2019">
        <v>0</v>
      </c>
      <c r="V2019">
        <v>0.20528829899538062</v>
      </c>
      <c r="W2019">
        <v>9.3684412287277585E-2</v>
      </c>
      <c r="X2019">
        <v>2.7640342589587599E-2</v>
      </c>
      <c r="Y2019">
        <v>4.2651671176847789E-3</v>
      </c>
    </row>
    <row r="2020" spans="1:25" x14ac:dyDescent="0.25">
      <c r="A2020" s="1098"/>
      <c r="B2020" s="1457">
        <v>1770</v>
      </c>
      <c r="C2020" s="1102">
        <v>0.98570693967142375</v>
      </c>
      <c r="D2020" s="1102">
        <v>1.041378503445157</v>
      </c>
      <c r="E2020" s="1102">
        <v>0.97891293201409479</v>
      </c>
      <c r="F2020" s="1102">
        <v>1.021179790971166</v>
      </c>
      <c r="G2020" s="1102">
        <v>1.0041654140853595</v>
      </c>
      <c r="H2020" s="1102">
        <v>1.0126154068561497</v>
      </c>
      <c r="I2020" s="1102">
        <v>1.0278170538809561</v>
      </c>
      <c r="K2020">
        <v>1.5791109134927481</v>
      </c>
      <c r="L2020">
        <v>0</v>
      </c>
      <c r="M2020">
        <v>1.6373037799013322E-3</v>
      </c>
      <c r="N2020">
        <v>0.14135483122186279</v>
      </c>
      <c r="O2020">
        <v>0.12185741941775552</v>
      </c>
      <c r="P2020">
        <v>1.5751177503685158E-2</v>
      </c>
      <c r="Q2020">
        <v>8.7764946677264363E-4</v>
      </c>
      <c r="R2020">
        <v>1.6336051814364611E-3</v>
      </c>
      <c r="S2020">
        <v>0.12267127208972058</v>
      </c>
      <c r="T2020">
        <v>0.84415702647707647</v>
      </c>
      <c r="U2020">
        <v>0</v>
      </c>
      <c r="V2020">
        <v>0.20686587574678425</v>
      </c>
      <c r="W2020">
        <v>9.4041538242966877E-2</v>
      </c>
      <c r="X2020">
        <v>2.709168713852066E-2</v>
      </c>
      <c r="Y2020">
        <v>4.4461347860667161E-3</v>
      </c>
    </row>
    <row r="2021" spans="1:25" x14ac:dyDescent="0.25">
      <c r="A2021" s="1098"/>
      <c r="B2021" s="1457">
        <v>1771</v>
      </c>
      <c r="C2021" s="1102">
        <v>0.96239498228049569</v>
      </c>
      <c r="D2021" s="1102">
        <v>0.99496523554594352</v>
      </c>
      <c r="E2021" s="1102">
        <v>0.96399228495999911</v>
      </c>
      <c r="F2021" s="1102">
        <v>1.0291846818326682</v>
      </c>
      <c r="G2021" s="1102">
        <v>1.001032495896635</v>
      </c>
      <c r="H2021" s="1102">
        <v>0.99622219536654322</v>
      </c>
      <c r="I2021" s="1102">
        <v>1.0427434743746558</v>
      </c>
      <c r="K2021">
        <v>1.6067993775077858</v>
      </c>
      <c r="L2021">
        <v>0</v>
      </c>
      <c r="M2021">
        <v>1.7439828755615695E-3</v>
      </c>
      <c r="N2021">
        <v>0.14391146259033447</v>
      </c>
      <c r="O2021">
        <v>0.12575829547594658</v>
      </c>
      <c r="P2021">
        <v>1.5812572998039166E-2</v>
      </c>
      <c r="Q2021">
        <v>9.0118509326366316E-4</v>
      </c>
      <c r="R2021">
        <v>1.7400042536235834E-3</v>
      </c>
      <c r="S2021">
        <v>0.12944037870762287</v>
      </c>
      <c r="T2021">
        <v>0.85180212009163192</v>
      </c>
      <c r="U2021">
        <v>0</v>
      </c>
      <c r="V2021">
        <v>0.21056716023685829</v>
      </c>
      <c r="W2021">
        <v>9.6614843076272397E-2</v>
      </c>
      <c r="X2021">
        <v>2.7259619873635735E-2</v>
      </c>
      <c r="Y2021">
        <v>4.7357179861153434E-3</v>
      </c>
    </row>
    <row r="2022" spans="1:25" x14ac:dyDescent="0.25">
      <c r="A2022" s="1098"/>
      <c r="B2022" s="1457">
        <v>1772</v>
      </c>
      <c r="C2022" s="1102">
        <v>1.0144965280881386</v>
      </c>
      <c r="D2022" s="1102">
        <v>0.98739751126861064</v>
      </c>
      <c r="E2022" s="1102">
        <v>1.0272123122204604</v>
      </c>
      <c r="F2022" s="1102">
        <v>0.9963982600329695</v>
      </c>
      <c r="G2022" s="1102">
        <v>1.0091299987621263</v>
      </c>
      <c r="H2022" s="1102">
        <v>1.0116005975869973</v>
      </c>
      <c r="I2022" s="1102">
        <v>0.97466113438960267</v>
      </c>
      <c r="K2022">
        <v>1.5564531772748607</v>
      </c>
      <c r="L2022">
        <v>0</v>
      </c>
      <c r="M2022">
        <v>1.4820798160828774E-3</v>
      </c>
      <c r="N2022">
        <v>0.14805403129213199</v>
      </c>
      <c r="O2022">
        <v>0.12086246973356561</v>
      </c>
      <c r="P2022">
        <v>1.5890774380602161E-2</v>
      </c>
      <c r="Q2022">
        <v>9.1575355736792455E-4</v>
      </c>
      <c r="R2022">
        <v>1.4787589581919198E-3</v>
      </c>
      <c r="S2022">
        <v>0.11670518783147744</v>
      </c>
      <c r="T2022">
        <v>0.82049921771111611</v>
      </c>
      <c r="U2022">
        <v>0</v>
      </c>
      <c r="V2022">
        <v>0.20505956147895915</v>
      </c>
      <c r="W2022">
        <v>9.5717507513990607E-2</v>
      </c>
      <c r="X2022">
        <v>2.8727300222102313E-2</v>
      </c>
      <c r="Y2022">
        <v>4.0246944114388497E-3</v>
      </c>
    </row>
    <row r="2023" spans="1:25" x14ac:dyDescent="0.25">
      <c r="A2023" s="1098"/>
      <c r="B2023" s="1457">
        <v>1773</v>
      </c>
      <c r="C2023" s="1102">
        <v>1.0067953425982348</v>
      </c>
      <c r="D2023" s="1102">
        <v>1.0323022163283806</v>
      </c>
      <c r="E2023" s="1102">
        <v>1.002509328576346</v>
      </c>
      <c r="F2023" s="1102">
        <v>0.97455797766646701</v>
      </c>
      <c r="G2023" s="1102">
        <v>1.0349609272918039</v>
      </c>
      <c r="H2023" s="1102">
        <v>0.97555194118800215</v>
      </c>
      <c r="I2023" s="1102">
        <v>1.0089520555418869</v>
      </c>
      <c r="K2023">
        <v>1.5156047702594952</v>
      </c>
      <c r="L2023">
        <v>0</v>
      </c>
      <c r="M2023">
        <v>1.4751004435368349E-3</v>
      </c>
      <c r="N2023">
        <v>0.13675620268377747</v>
      </c>
      <c r="O2023">
        <v>0.1178655550537188</v>
      </c>
      <c r="P2023">
        <v>1.5354479197013247E-2</v>
      </c>
      <c r="Q2023">
        <v>8.8374352543057902E-4</v>
      </c>
      <c r="R2023">
        <v>1.4716399473144145E-3</v>
      </c>
      <c r="S2023">
        <v>0.11551730751121778</v>
      </c>
      <c r="T2023">
        <v>0.80409220272349347</v>
      </c>
      <c r="U2023">
        <v>0</v>
      </c>
      <c r="V2023">
        <v>0.2043738139332395</v>
      </c>
      <c r="W2023">
        <v>8.9705773532529523E-2</v>
      </c>
      <c r="X2023">
        <v>2.7053833784684917E-2</v>
      </c>
      <c r="Y2023">
        <v>4.0053188106115847E-3</v>
      </c>
    </row>
    <row r="2024" spans="1:25" x14ac:dyDescent="0.25">
      <c r="A2024" s="1098"/>
      <c r="B2024" s="1457">
        <v>1774</v>
      </c>
      <c r="C2024" s="1102">
        <v>1.0015227765863164</v>
      </c>
      <c r="D2024" s="1102">
        <v>1.0409725042953932</v>
      </c>
      <c r="E2024" s="1102">
        <v>0.96572803118078154</v>
      </c>
      <c r="F2024" s="1102">
        <v>0.99827491652886446</v>
      </c>
      <c r="G2024" s="1102">
        <v>1.0004681244340781</v>
      </c>
      <c r="H2024" s="1102">
        <v>0.97676116188180073</v>
      </c>
      <c r="I2024" s="1102">
        <v>1.0282416122109461</v>
      </c>
      <c r="K2024">
        <v>1.5354295629205863</v>
      </c>
      <c r="L2024">
        <v>0</v>
      </c>
      <c r="M2024">
        <v>1.5967744611692664E-3</v>
      </c>
      <c r="N2024">
        <v>0.13245039745366197</v>
      </c>
      <c r="O2024">
        <v>0.11951390171949029</v>
      </c>
      <c r="P2024">
        <v>1.525377193021411E-2</v>
      </c>
      <c r="Q2024">
        <v>8.5202117493041684E-4</v>
      </c>
      <c r="R2024">
        <v>1.5930332027422134E-3</v>
      </c>
      <c r="S2024">
        <v>0.11789142980449901</v>
      </c>
      <c r="T2024">
        <v>0.82610338074502088</v>
      </c>
      <c r="U2024">
        <v>0</v>
      </c>
      <c r="V2024">
        <v>0.20416760431995276</v>
      </c>
      <c r="W2024">
        <v>8.8826193404743667E-2</v>
      </c>
      <c r="X2024">
        <v>2.6038892391889584E-2</v>
      </c>
      <c r="Y2024">
        <v>4.3357112346101559E-3</v>
      </c>
    </row>
    <row r="2025" spans="1:25" x14ac:dyDescent="0.25">
      <c r="A2025" s="1098"/>
      <c r="B2025" s="1457">
        <v>1775</v>
      </c>
      <c r="C2025" s="1102">
        <v>1.0155280395863449</v>
      </c>
      <c r="D2025" s="1102">
        <v>0.99153369488065146</v>
      </c>
      <c r="E2025" s="1102">
        <v>0.96919567951056806</v>
      </c>
      <c r="F2025" s="1102">
        <v>1.0333787705539446</v>
      </c>
      <c r="G2025" s="1102">
        <v>1.0082070597890878</v>
      </c>
      <c r="H2025" s="1102">
        <v>0.99396195477680138</v>
      </c>
      <c r="I2025" s="1102">
        <v>1.0036885564284306</v>
      </c>
      <c r="K2025">
        <v>1.5810889519980644</v>
      </c>
      <c r="L2025">
        <v>0</v>
      </c>
      <c r="M2025">
        <v>1.6414874233048075E-3</v>
      </c>
      <c r="N2025">
        <v>0.13760600517760285</v>
      </c>
      <c r="O2025">
        <v>0.12336922822878242</v>
      </c>
      <c r="P2025">
        <v>1.571862838024669E-2</v>
      </c>
      <c r="Q2025">
        <v>8.5992553399102738E-4</v>
      </c>
      <c r="R2025">
        <v>1.6377520709762558E-3</v>
      </c>
      <c r="S2025">
        <v>0.11848008845920435</v>
      </c>
      <c r="T2025">
        <v>0.85491259096040118</v>
      </c>
      <c r="U2025">
        <v>0</v>
      </c>
      <c r="V2025">
        <v>0.20661591581668293</v>
      </c>
      <c r="W2025">
        <v>9.2088782698267743E-2</v>
      </c>
      <c r="X2025">
        <v>2.6984100842840229E-2</v>
      </c>
      <c r="Y2025">
        <v>4.4574212523722677E-3</v>
      </c>
    </row>
    <row r="2026" spans="1:25" x14ac:dyDescent="0.25">
      <c r="A2026" s="1098"/>
      <c r="B2026" s="1457">
        <v>1776</v>
      </c>
      <c r="C2026" s="1102">
        <v>1.0038485647856252</v>
      </c>
      <c r="D2026" s="1102">
        <v>1.0117130169625601</v>
      </c>
      <c r="E2026" s="1102">
        <v>0.97058255876643107</v>
      </c>
      <c r="F2026" s="1102">
        <v>1.0266809515508479</v>
      </c>
      <c r="G2026" s="1102">
        <v>1.0046555222492264</v>
      </c>
      <c r="H2026" s="1102">
        <v>1.006515658258518</v>
      </c>
      <c r="I2026" s="1102">
        <v>0.98442916617505727</v>
      </c>
      <c r="K2026">
        <v>1.5758023097509155</v>
      </c>
      <c r="L2026">
        <v>0</v>
      </c>
      <c r="M2026">
        <v>1.6554623273505702E-3</v>
      </c>
      <c r="N2026">
        <v>0.13936400259419426</v>
      </c>
      <c r="O2026">
        <v>0.12260210719473527</v>
      </c>
      <c r="P2026">
        <v>1.5638929369454324E-2</v>
      </c>
      <c r="Q2026">
        <v>8.6420990502860675E-4</v>
      </c>
      <c r="R2026">
        <v>1.6517245630471905E-3</v>
      </c>
      <c r="S2026">
        <v>0.11702235541276453</v>
      </c>
      <c r="T2026">
        <v>0.84927611678601111</v>
      </c>
      <c r="U2026">
        <v>0</v>
      </c>
      <c r="V2026">
        <v>0.20647792594045991</v>
      </c>
      <c r="W2026">
        <v>9.3186571896232098E-2</v>
      </c>
      <c r="X2026">
        <v>2.68783786465796E-2</v>
      </c>
      <c r="Y2026">
        <v>4.4954497697585792E-3</v>
      </c>
    </row>
    <row r="2027" spans="1:25" x14ac:dyDescent="0.25">
      <c r="A2027" s="1098"/>
      <c r="B2027" s="1457">
        <v>1777</v>
      </c>
      <c r="C2027" s="1102">
        <v>1.001795066307404</v>
      </c>
      <c r="D2027" s="1102">
        <v>1.0089407779801012</v>
      </c>
      <c r="E2027" s="1102">
        <v>1.0024122478613544</v>
      </c>
      <c r="F2027" s="1102">
        <v>0.96358887297604168</v>
      </c>
      <c r="G2027" s="1102">
        <v>1.0020583021510212</v>
      </c>
      <c r="H2027" s="1102">
        <v>0.9923022790149354</v>
      </c>
      <c r="I2027" s="1102">
        <v>0.98223424225776779</v>
      </c>
      <c r="K2027">
        <v>1.514139163326367</v>
      </c>
      <c r="L2027">
        <v>0</v>
      </c>
      <c r="M2027">
        <v>1.5259639057128543E-3</v>
      </c>
      <c r="N2027">
        <v>0.14143670454147497</v>
      </c>
      <c r="O2027">
        <v>0.11832231305653593</v>
      </c>
      <c r="P2027">
        <v>1.5220053743712892E-2</v>
      </c>
      <c r="Q2027">
        <v>8.9623391046224484E-4</v>
      </c>
      <c r="R2027">
        <v>1.5224534406744774E-3</v>
      </c>
      <c r="S2027">
        <v>0.1157710211355673</v>
      </c>
      <c r="T2027">
        <v>0.79504793776761329</v>
      </c>
      <c r="U2027">
        <v>0</v>
      </c>
      <c r="V2027">
        <v>0.20340192337111299</v>
      </c>
      <c r="W2027">
        <v>9.2781310179020873E-2</v>
      </c>
      <c r="X2027">
        <v>2.712155969703077E-2</v>
      </c>
      <c r="Y2027">
        <v>4.1436163888740919E-3</v>
      </c>
    </row>
    <row r="2028" spans="1:25" x14ac:dyDescent="0.25">
      <c r="A2028" s="1098"/>
      <c r="B2028" s="1457">
        <v>1778</v>
      </c>
      <c r="C2028" s="1102">
        <v>1.0096231396689368</v>
      </c>
      <c r="D2028" s="1102">
        <v>1.026269255826141</v>
      </c>
      <c r="E2028" s="1102">
        <v>1.0122035392295587</v>
      </c>
      <c r="F2028" s="1102">
        <v>1.0019901985763724</v>
      </c>
      <c r="G2028" s="1102">
        <v>1.0044854010193882</v>
      </c>
      <c r="H2028" s="1102">
        <v>1.0186746689649469</v>
      </c>
      <c r="I2028" s="1102">
        <v>1.035900856384935</v>
      </c>
      <c r="K2028">
        <v>1.5602743763042428</v>
      </c>
      <c r="L2028">
        <v>0</v>
      </c>
      <c r="M2028">
        <v>1.5138008965899573E-3</v>
      </c>
      <c r="N2028">
        <v>0.14452848907965496</v>
      </c>
      <c r="O2028">
        <v>0.11985420467840205</v>
      </c>
      <c r="P2028">
        <v>1.5861710719040908E-2</v>
      </c>
      <c r="Q2028">
        <v>8.9222504267657307E-4</v>
      </c>
      <c r="R2028">
        <v>1.510410929703091E-3</v>
      </c>
      <c r="S2028">
        <v>0.12234021551465123</v>
      </c>
      <c r="T2028">
        <v>0.82608716973931107</v>
      </c>
      <c r="U2028">
        <v>0</v>
      </c>
      <c r="V2028">
        <v>0.20436844264161705</v>
      </c>
      <c r="W2028">
        <v>9.4262514193704197E-2</v>
      </c>
      <c r="X2028">
        <v>2.797195401824857E-2</v>
      </c>
      <c r="Y2028">
        <v>4.1108406438226533E-3</v>
      </c>
    </row>
    <row r="2029" spans="1:25" x14ac:dyDescent="0.25">
      <c r="A2029" s="1098"/>
      <c r="B2029" s="1457">
        <v>1779</v>
      </c>
      <c r="C2029" s="1102">
        <v>0.97850990744421551</v>
      </c>
      <c r="D2029" s="1102">
        <v>1.0236530035740432</v>
      </c>
      <c r="E2029" s="1102">
        <v>0.98823567266718726</v>
      </c>
      <c r="F2029" s="1102">
        <v>0.9929327718202372</v>
      </c>
      <c r="G2029" s="1102">
        <v>1.0010818644266291</v>
      </c>
      <c r="H2029" s="1102">
        <v>1.0078801276118976</v>
      </c>
      <c r="I2029" s="1102">
        <v>1.0159288078896174</v>
      </c>
      <c r="K2029">
        <v>1.5577748733921986</v>
      </c>
      <c r="L2029">
        <v>0</v>
      </c>
      <c r="M2029">
        <v>1.6217614449067299E-3</v>
      </c>
      <c r="N2029">
        <v>0.14401611828053298</v>
      </c>
      <c r="O2029">
        <v>0.12099813535197163</v>
      </c>
      <c r="P2029">
        <v>1.5535076492155808E-2</v>
      </c>
      <c r="Q2029">
        <v>8.9891956715382399E-4</v>
      </c>
      <c r="R2029">
        <v>1.6180816359881839E-3</v>
      </c>
      <c r="S2029">
        <v>0.12282070448400237</v>
      </c>
      <c r="T2029">
        <v>0.82019067219336783</v>
      </c>
      <c r="U2029">
        <v>0</v>
      </c>
      <c r="V2029">
        <v>0.20642359387180262</v>
      </c>
      <c r="W2029">
        <v>9.5275734860583744E-2</v>
      </c>
      <c r="X2029">
        <v>2.7215713286854126E-2</v>
      </c>
      <c r="Y2029">
        <v>4.403884812691888E-3</v>
      </c>
    </row>
    <row r="2030" spans="1:25" x14ac:dyDescent="0.25">
      <c r="A2030" s="1098"/>
      <c r="B2030" s="1457">
        <v>1780</v>
      </c>
      <c r="C2030" s="1102">
        <v>1.0018128601247833</v>
      </c>
      <c r="D2030" s="1102">
        <v>0.99044140035633166</v>
      </c>
      <c r="E2030" s="1102">
        <v>1.0025025345710366</v>
      </c>
      <c r="F2030" s="1102">
        <v>1.0426804166253139</v>
      </c>
      <c r="G2030" s="1102">
        <v>0.9994021114234396</v>
      </c>
      <c r="H2030" s="1102">
        <v>1.0021901646371811</v>
      </c>
      <c r="I2030" s="1102">
        <v>0.9683651664450047</v>
      </c>
      <c r="K2030">
        <v>1.5999760143303461</v>
      </c>
      <c r="L2030">
        <v>0</v>
      </c>
      <c r="M2030">
        <v>1.5664859323657144E-3</v>
      </c>
      <c r="N2030">
        <v>0.1452384709111974</v>
      </c>
      <c r="O2030">
        <v>0.12467442945232578</v>
      </c>
      <c r="P2030">
        <v>1.618588654948316E-2</v>
      </c>
      <c r="Q2030">
        <v>9.0296104596410565E-4</v>
      </c>
      <c r="R2030">
        <v>1.5629501109045998E-3</v>
      </c>
      <c r="S2030">
        <v>0.11662681774165608</v>
      </c>
      <c r="T2030">
        <v>0.86029940479693567</v>
      </c>
      <c r="U2030">
        <v>0</v>
      </c>
      <c r="V2030">
        <v>0.20793743330594194</v>
      </c>
      <c r="W2030">
        <v>9.5270134955835542E-2</v>
      </c>
      <c r="X2030">
        <v>2.8590176416950049E-2</v>
      </c>
      <c r="Y2030">
        <v>4.2538349755167305E-3</v>
      </c>
    </row>
    <row r="2031" spans="1:25" x14ac:dyDescent="0.25">
      <c r="A2031" s="1098"/>
      <c r="B2031" s="1457">
        <v>1781</v>
      </c>
      <c r="C2031" s="1102">
        <v>1.0193392164826673</v>
      </c>
      <c r="D2031" s="1102">
        <v>1.0036104015037226</v>
      </c>
      <c r="E2031" s="1102">
        <v>0.98579347066694289</v>
      </c>
      <c r="F2031" s="1102">
        <v>1.0016152315122822</v>
      </c>
      <c r="G2031" s="1102">
        <v>0.99457923429598893</v>
      </c>
      <c r="H2031" s="1102">
        <v>1.0202409091006883</v>
      </c>
      <c r="I2031" s="1102">
        <v>0.9607354448280736</v>
      </c>
      <c r="K2031">
        <v>1.548893166395199</v>
      </c>
      <c r="L2031">
        <v>0</v>
      </c>
      <c r="M2031">
        <v>1.6075206711749172E-3</v>
      </c>
      <c r="N2031">
        <v>0.14170719758350678</v>
      </c>
      <c r="O2031">
        <v>0.12039194138481439</v>
      </c>
      <c r="P2031">
        <v>1.5449879598864852E-2</v>
      </c>
      <c r="Q2031">
        <v>8.6755107821822773E-4</v>
      </c>
      <c r="R2031">
        <v>1.6039421596730017E-3</v>
      </c>
      <c r="S2031">
        <v>0.11400855176588186</v>
      </c>
      <c r="T2031">
        <v>0.82752513603800837</v>
      </c>
      <c r="U2031">
        <v>0</v>
      </c>
      <c r="V2031">
        <v>0.20372076293009644</v>
      </c>
      <c r="W2031">
        <v>9.3885819902539122E-2</v>
      </c>
      <c r="X2031">
        <v>2.6974502805530237E-2</v>
      </c>
      <c r="Y2031">
        <v>4.3654018192390781E-3</v>
      </c>
    </row>
    <row r="2032" spans="1:25" x14ac:dyDescent="0.25">
      <c r="A2032" s="1098"/>
      <c r="B2032" s="1457">
        <v>1782</v>
      </c>
      <c r="C2032" s="1102">
        <v>0.98675765405501814</v>
      </c>
      <c r="D2032" s="1102">
        <v>1.0307856645688735</v>
      </c>
      <c r="E2032" s="1102">
        <v>0.98283911098789123</v>
      </c>
      <c r="F2032" s="1102">
        <v>0.96633636637293352</v>
      </c>
      <c r="G2032" s="1102">
        <v>0.98931481963745871</v>
      </c>
      <c r="H2032" s="1102">
        <v>1.0148902579334773</v>
      </c>
      <c r="I2032" s="1102">
        <v>0.98549466292772769</v>
      </c>
      <c r="K2032">
        <v>1.5221736818048863</v>
      </c>
      <c r="L2032">
        <v>0</v>
      </c>
      <c r="M2032">
        <v>1.6287999391713485E-3</v>
      </c>
      <c r="N2032">
        <v>0.14230095050702599</v>
      </c>
      <c r="O2032">
        <v>0.11840899032425442</v>
      </c>
      <c r="P2032">
        <v>1.5078618358217765E-2</v>
      </c>
      <c r="Q2032">
        <v>8.8393539676518882E-4</v>
      </c>
      <c r="R2032">
        <v>1.625120138616543E-3</v>
      </c>
      <c r="S2032">
        <v>0.11807775278889468</v>
      </c>
      <c r="T2032">
        <v>0.79856797683878344</v>
      </c>
      <c r="U2032">
        <v>0</v>
      </c>
      <c r="V2032">
        <v>0.20357876765461538</v>
      </c>
      <c r="W2032">
        <v>9.444696202219767E-2</v>
      </c>
      <c r="X2032">
        <v>2.6410366418079933E-2</v>
      </c>
      <c r="Y2032">
        <v>4.4230412966045126E-3</v>
      </c>
    </row>
    <row r="2033" spans="1:25" x14ac:dyDescent="0.25">
      <c r="A2033" s="1098"/>
      <c r="B2033" s="1457">
        <v>1783</v>
      </c>
      <c r="C2033" s="1102">
        <v>1.005203346909205</v>
      </c>
      <c r="D2033" s="1102">
        <v>0.99655912943991276</v>
      </c>
      <c r="E2033" s="1102">
        <v>0.98965964475159163</v>
      </c>
      <c r="F2033" s="1102">
        <v>1.0008913368448822</v>
      </c>
      <c r="G2033" s="1102">
        <v>1.0176199940233674</v>
      </c>
      <c r="H2033" s="1102">
        <v>1.0170651770791828</v>
      </c>
      <c r="I2033" s="1102">
        <v>0.96100701470001049</v>
      </c>
      <c r="K2033">
        <v>1.5576059130102036</v>
      </c>
      <c r="L2033">
        <v>0</v>
      </c>
      <c r="M2033">
        <v>1.6168352401763253E-3</v>
      </c>
      <c r="N2033">
        <v>0.14420342272579748</v>
      </c>
      <c r="O2033">
        <v>0.12135325612585132</v>
      </c>
      <c r="P2033">
        <v>1.5540252188647581E-2</v>
      </c>
      <c r="Q2033">
        <v>8.8580267814787009E-4</v>
      </c>
      <c r="R2033">
        <v>1.613225168182852E-3</v>
      </c>
      <c r="S2033">
        <v>0.11581563849729226</v>
      </c>
      <c r="T2033">
        <v>0.8266700784126042</v>
      </c>
      <c r="U2033">
        <v>0</v>
      </c>
      <c r="V2033">
        <v>0.20610693172311992</v>
      </c>
      <c r="W2033">
        <v>9.5318235242257299E-2</v>
      </c>
      <c r="X2033">
        <v>2.7325238380218421E-2</v>
      </c>
      <c r="Y2033">
        <v>4.3906671082599548E-3</v>
      </c>
    </row>
    <row r="2034" spans="1:25" x14ac:dyDescent="0.25">
      <c r="A2034" s="1098"/>
      <c r="B2034" s="1457">
        <v>1784</v>
      </c>
      <c r="C2034" s="1102">
        <v>0.95390896573700013</v>
      </c>
      <c r="D2034" s="1102">
        <v>1.002600041549496</v>
      </c>
      <c r="E2034" s="1102">
        <v>1.0088759118354094</v>
      </c>
      <c r="F2034" s="1102">
        <v>0.98772608520913852</v>
      </c>
      <c r="G2034" s="1102">
        <v>1.009970983660704</v>
      </c>
      <c r="H2034" s="1102">
        <v>1.006983090741308</v>
      </c>
      <c r="I2034" s="1102">
        <v>1.0078812104813795</v>
      </c>
      <c r="K2034">
        <v>1.5738226380161657</v>
      </c>
      <c r="L2034">
        <v>0</v>
      </c>
      <c r="M2034">
        <v>1.6074872648774992E-3</v>
      </c>
      <c r="N2034">
        <v>0.15193461675066255</v>
      </c>
      <c r="O2034">
        <v>0.12279933705691777</v>
      </c>
      <c r="P2034">
        <v>1.5788295618030728E-2</v>
      </c>
      <c r="Q2034">
        <v>9.4992700083424775E-4</v>
      </c>
      <c r="R2034">
        <v>1.6038405327992267E-3</v>
      </c>
      <c r="S2034">
        <v>0.12631669282514715</v>
      </c>
      <c r="T2034">
        <v>0.81454302837561621</v>
      </c>
      <c r="U2034">
        <v>0</v>
      </c>
      <c r="V2034">
        <v>0.20941682247606846</v>
      </c>
      <c r="W2034">
        <v>9.9287393961890319E-2</v>
      </c>
      <c r="X2034">
        <v>2.842504545868724E-2</v>
      </c>
      <c r="Y2034">
        <v>4.3651252243899511E-3</v>
      </c>
    </row>
    <row r="2035" spans="1:25" x14ac:dyDescent="0.25">
      <c r="A2035" s="1098"/>
      <c r="B2035" s="1457">
        <v>1785</v>
      </c>
      <c r="C2035" s="1102">
        <v>1.0204654065288044</v>
      </c>
      <c r="D2035" s="1102">
        <v>0.98812571670329652</v>
      </c>
      <c r="E2035" s="1102">
        <v>0.97292654664614864</v>
      </c>
      <c r="F2035" s="1102">
        <v>0.95717528605319213</v>
      </c>
      <c r="G2035" s="1102">
        <v>1.0282460827270077</v>
      </c>
      <c r="H2035" s="1102">
        <v>0.99422533593152873</v>
      </c>
      <c r="I2035" s="1102">
        <v>0.97959814408826529</v>
      </c>
      <c r="K2035">
        <v>1.5021166509892694</v>
      </c>
      <c r="L2035">
        <v>0</v>
      </c>
      <c r="M2035">
        <v>1.6156817873311431E-3</v>
      </c>
      <c r="N2035">
        <v>0.13697985703986448</v>
      </c>
      <c r="O2035">
        <v>0.11791198335276512</v>
      </c>
      <c r="P2035">
        <v>1.4826203210565641E-2</v>
      </c>
      <c r="Q2035">
        <v>8.6031742937433175E-4</v>
      </c>
      <c r="R2035">
        <v>1.6119879505473804E-3</v>
      </c>
      <c r="S2035">
        <v>0.11492106344046635</v>
      </c>
      <c r="T2035">
        <v>0.79163049482953229</v>
      </c>
      <c r="U2035">
        <v>0</v>
      </c>
      <c r="V2035">
        <v>0.20326978108204516</v>
      </c>
      <c r="W2035">
        <v>9.1462005180177414E-2</v>
      </c>
      <c r="X2035">
        <v>2.5871339451555453E-2</v>
      </c>
      <c r="Y2035">
        <v>4.3872998097048846E-3</v>
      </c>
    </row>
    <row r="2036" spans="1:25" x14ac:dyDescent="0.25">
      <c r="A2036" s="1098"/>
      <c r="B2036" s="1457">
        <v>1786</v>
      </c>
      <c r="C2036" s="1102">
        <v>1.0364779455235362</v>
      </c>
      <c r="D2036" s="1102">
        <v>1.013601080540079</v>
      </c>
      <c r="E2036" s="1102">
        <v>1.0013461677725402</v>
      </c>
      <c r="F2036" s="1102">
        <v>0.9782775462747354</v>
      </c>
      <c r="G2036" s="1102">
        <v>1.0044950056835149</v>
      </c>
      <c r="H2036" s="1102">
        <v>0.99843824604196374</v>
      </c>
      <c r="I2036" s="1102">
        <v>1.0111293534452492</v>
      </c>
      <c r="K2036">
        <v>1.5166737984293051</v>
      </c>
      <c r="L2036">
        <v>0</v>
      </c>
      <c r="M2036">
        <v>1.4888305834851415E-3</v>
      </c>
      <c r="N2036">
        <v>0.13755410141128513</v>
      </c>
      <c r="O2036">
        <v>0.11745912700155367</v>
      </c>
      <c r="P2036">
        <v>1.5343853811262034E-2</v>
      </c>
      <c r="Q2036">
        <v>8.6369436570464617E-4</v>
      </c>
      <c r="R2036">
        <v>1.4854363353523311E-3</v>
      </c>
      <c r="S2036">
        <v>0.11561826717346348</v>
      </c>
      <c r="T2036">
        <v>0.80723620548901154</v>
      </c>
      <c r="U2036">
        <v>0</v>
      </c>
      <c r="V2036">
        <v>0.20132824739333305</v>
      </c>
      <c r="W2036">
        <v>9.0291462165381545E-2</v>
      </c>
      <c r="X2036">
        <v>2.6939365835570307E-2</v>
      </c>
      <c r="Y2036">
        <v>4.0428680308726992E-3</v>
      </c>
    </row>
    <row r="2037" spans="1:25" x14ac:dyDescent="0.25">
      <c r="A2037" s="1098"/>
      <c r="B2037" s="1457">
        <v>1787</v>
      </c>
      <c r="C2037" s="1102">
        <v>0.96045499466391659</v>
      </c>
      <c r="D2037" s="1102">
        <v>1.002597926151735</v>
      </c>
      <c r="E2037" s="1102">
        <v>1.0198979198498184</v>
      </c>
      <c r="F2037" s="1102">
        <v>0.97260291815398026</v>
      </c>
      <c r="G2037" s="1102">
        <v>0.99674401041978344</v>
      </c>
      <c r="H2037" s="1102">
        <v>0.97976470327878884</v>
      </c>
      <c r="I2037" s="1102">
        <v>0.98086532716223152</v>
      </c>
      <c r="K2037">
        <v>1.5436374205763519</v>
      </c>
      <c r="L2037">
        <v>0</v>
      </c>
      <c r="M2037">
        <v>1.5171148268956043E-3</v>
      </c>
      <c r="N2037">
        <v>0.14823343546298795</v>
      </c>
      <c r="O2037">
        <v>0.1213231915786141</v>
      </c>
      <c r="P2037">
        <v>1.5618173833177169E-2</v>
      </c>
      <c r="Q2037">
        <v>9.5421375844207919E-4</v>
      </c>
      <c r="R2037">
        <v>1.5135749929146081E-3</v>
      </c>
      <c r="S2037">
        <v>0.1198677929305378</v>
      </c>
      <c r="T2037">
        <v>0.80136879284047913</v>
      </c>
      <c r="U2037">
        <v>0</v>
      </c>
      <c r="V2037">
        <v>0.20744140111608306</v>
      </c>
      <c r="W2037">
        <v>9.6243324207445649E-2</v>
      </c>
      <c r="X2037">
        <v>2.8471182501713318E-2</v>
      </c>
      <c r="Y2037">
        <v>4.1194521808512428E-3</v>
      </c>
    </row>
    <row r="2038" spans="1:25" x14ac:dyDescent="0.25">
      <c r="A2038" s="1098"/>
      <c r="B2038" s="1457">
        <v>1788</v>
      </c>
      <c r="C2038" s="1102">
        <v>1.0225850551537214</v>
      </c>
      <c r="D2038" s="1102">
        <v>0.95883634114136418</v>
      </c>
      <c r="E2038" s="1102">
        <v>1.0047394177946207</v>
      </c>
      <c r="F2038" s="1102">
        <v>1.0152921898858638</v>
      </c>
      <c r="G2038" s="1102">
        <v>0.99540318980901621</v>
      </c>
      <c r="H2038" s="1102">
        <v>1.0131088805091888</v>
      </c>
      <c r="I2038" s="1102">
        <v>1.0122189501153755</v>
      </c>
      <c r="K2038">
        <v>1.5812599577621786</v>
      </c>
      <c r="L2038">
        <v>0</v>
      </c>
      <c r="M2038">
        <v>1.5721301448486534E-3</v>
      </c>
      <c r="N2038">
        <v>0.1467551271146714</v>
      </c>
      <c r="O2038">
        <v>0.1231444668265845</v>
      </c>
      <c r="P2038">
        <v>1.5951783398498127E-2</v>
      </c>
      <c r="Q2038">
        <v>8.9824576097787977E-4</v>
      </c>
      <c r="R2038">
        <v>1.5686371740063411E-3</v>
      </c>
      <c r="S2038">
        <v>0.12261504667356841</v>
      </c>
      <c r="T2038">
        <v>0.83755214631141717</v>
      </c>
      <c r="U2038">
        <v>0</v>
      </c>
      <c r="V2038">
        <v>0.2056068441443055</v>
      </c>
      <c r="W2038">
        <v>9.6137462889685041E-2</v>
      </c>
      <c r="X2038">
        <v>2.8333014326772064E-2</v>
      </c>
      <c r="Y2038">
        <v>4.2693132865398243E-3</v>
      </c>
    </row>
    <row r="2039" spans="1:25" x14ac:dyDescent="0.25">
      <c r="A2039" s="1098"/>
      <c r="B2039" s="1457">
        <v>1789</v>
      </c>
      <c r="C2039" s="1102">
        <v>0.99156868770883677</v>
      </c>
      <c r="D2039" s="1102">
        <v>1.0178823205190533</v>
      </c>
      <c r="E2039" s="1102">
        <v>1.0014064131686398</v>
      </c>
      <c r="F2039" s="1102">
        <v>1.0106956967984646</v>
      </c>
      <c r="G2039" s="1102">
        <v>1.006547601868182</v>
      </c>
      <c r="H2039" s="1102">
        <v>1.010537665445489</v>
      </c>
      <c r="I2039" s="1102">
        <v>0.96285241735973803</v>
      </c>
      <c r="K2039">
        <v>1.5672342173247111</v>
      </c>
      <c r="L2039">
        <v>0</v>
      </c>
      <c r="M2039">
        <v>1.5700147283913748E-3</v>
      </c>
      <c r="N2039">
        <v>0.14508466186639543</v>
      </c>
      <c r="O2039">
        <v>0.12177024032217149</v>
      </c>
      <c r="P2039">
        <v>1.5782836888411367E-2</v>
      </c>
      <c r="Q2039">
        <v>9.0134748824175946E-4</v>
      </c>
      <c r="R2039">
        <v>1.5664731703594391E-3</v>
      </c>
      <c r="S2039">
        <v>0.11566191294316894</v>
      </c>
      <c r="T2039">
        <v>0.83398237307557632</v>
      </c>
      <c r="U2039">
        <v>0</v>
      </c>
      <c r="V2039">
        <v>0.20665292991192427</v>
      </c>
      <c r="W2039">
        <v>9.5231167797699717E-2</v>
      </c>
      <c r="X2039">
        <v>2.7906865007176766E-2</v>
      </c>
      <c r="Y2039">
        <v>4.2634235819765665E-3</v>
      </c>
    </row>
    <row r="2040" spans="1:25" x14ac:dyDescent="0.25">
      <c r="A2040" s="1098"/>
      <c r="B2040" s="1457">
        <v>1790</v>
      </c>
      <c r="C2040" s="1102">
        <v>0.97694956215783335</v>
      </c>
      <c r="D2040" s="1102">
        <v>0.98700166791629684</v>
      </c>
      <c r="E2040" s="1102">
        <v>1.0325815135445535</v>
      </c>
      <c r="F2040" s="1102">
        <v>0.96687389436264104</v>
      </c>
      <c r="G2040" s="1102">
        <v>0.98784494153765745</v>
      </c>
      <c r="H2040" s="1102">
        <v>1.0060475459822307</v>
      </c>
      <c r="I2040" s="1102">
        <v>0.98498844544051833</v>
      </c>
      <c r="K2040">
        <v>1.5450066984541608</v>
      </c>
      <c r="L2040">
        <v>0</v>
      </c>
      <c r="M2040">
        <v>1.5060341273641232E-3</v>
      </c>
      <c r="N2040">
        <v>0.15289824176894945</v>
      </c>
      <c r="O2040">
        <v>0.12068916289532954</v>
      </c>
      <c r="P2040">
        <v>1.5687661866765974E-2</v>
      </c>
      <c r="Q2040">
        <v>9.5632670734994041E-4</v>
      </c>
      <c r="R2040">
        <v>1.5026234592776604E-3</v>
      </c>
      <c r="S2040">
        <v>0.121645027491881</v>
      </c>
      <c r="T2040">
        <v>0.79584924636654719</v>
      </c>
      <c r="U2040">
        <v>0</v>
      </c>
      <c r="V2040">
        <v>0.20576379318196206</v>
      </c>
      <c r="W2040">
        <v>9.8541680198631743E-2</v>
      </c>
      <c r="X2040">
        <v>2.8889322928366351E-2</v>
      </c>
      <c r="Y2040">
        <v>4.089645716463565E-3</v>
      </c>
    </row>
    <row r="2041" spans="1:25" x14ac:dyDescent="0.25">
      <c r="A2041" s="1098"/>
      <c r="B2041" s="1457">
        <v>1791</v>
      </c>
      <c r="C2041" s="1102">
        <v>0.99249200470395227</v>
      </c>
      <c r="D2041" s="1102">
        <v>1.0025080024927733</v>
      </c>
      <c r="E2041" s="1102">
        <v>1.0245107997942746</v>
      </c>
      <c r="F2041" s="1102">
        <v>0.97267446346314168</v>
      </c>
      <c r="G2041" s="1102">
        <v>1.0085267086133705</v>
      </c>
      <c r="H2041" s="1102">
        <v>0.98496558359140995</v>
      </c>
      <c r="I2041" s="1102">
        <v>0.9844820029505158</v>
      </c>
      <c r="K2041">
        <v>1.5310285564685897</v>
      </c>
      <c r="L2041">
        <v>0</v>
      </c>
      <c r="M2041">
        <v>1.4655626767606572E-3</v>
      </c>
      <c r="N2041">
        <v>0.14520537969380645</v>
      </c>
      <c r="O2041">
        <v>0.11965125982512304</v>
      </c>
      <c r="P2041">
        <v>1.5597047735805022E-2</v>
      </c>
      <c r="Q2041">
        <v>9.2782055077965668E-4</v>
      </c>
      <c r="R2041">
        <v>1.4621697162688289E-3</v>
      </c>
      <c r="S2041">
        <v>0.1170400209758554</v>
      </c>
      <c r="T2041">
        <v>0.80113476729860877</v>
      </c>
      <c r="U2041">
        <v>0</v>
      </c>
      <c r="V2041">
        <v>0.20518127985404019</v>
      </c>
      <c r="W2041">
        <v>9.4023651009930084E-2</v>
      </c>
      <c r="X2041">
        <v>2.8291178521567557E-2</v>
      </c>
      <c r="Y2041">
        <v>3.979543963566326E-3</v>
      </c>
    </row>
    <row r="2042" spans="1:25" x14ac:dyDescent="0.25">
      <c r="A2042" s="1098"/>
      <c r="B2042" s="1457">
        <v>1792</v>
      </c>
      <c r="C2042" s="1102">
        <v>0.9833209619952924</v>
      </c>
      <c r="D2042" s="1102">
        <v>1.0335561459511644</v>
      </c>
      <c r="E2042" s="1102">
        <v>0.97346494520837967</v>
      </c>
      <c r="F2042" s="1102">
        <v>0.99704080221551106</v>
      </c>
      <c r="G2042" s="1102">
        <v>0.98513199806584562</v>
      </c>
      <c r="H2042" s="1102">
        <v>1.0005828997230559</v>
      </c>
      <c r="I2042" s="1102">
        <v>1.0291560911960447</v>
      </c>
      <c r="K2042">
        <v>1.5530381613440178</v>
      </c>
      <c r="L2042">
        <v>0</v>
      </c>
      <c r="M2042">
        <v>1.643972861271846E-3</v>
      </c>
      <c r="N2042">
        <v>0.13960556266544402</v>
      </c>
      <c r="O2042">
        <v>0.12065438778786798</v>
      </c>
      <c r="P2042">
        <v>1.5399822157400126E-2</v>
      </c>
      <c r="Q2042">
        <v>8.7740254800436942E-4</v>
      </c>
      <c r="R2042">
        <v>1.6402119856281929E-3</v>
      </c>
      <c r="S2042">
        <v>0.12253561890648401</v>
      </c>
      <c r="T2042">
        <v>0.82456531384007203</v>
      </c>
      <c r="U2042">
        <v>0</v>
      </c>
      <c r="V2042">
        <v>0.20518614460315918</v>
      </c>
      <c r="W2042">
        <v>9.3184736405572066E-2</v>
      </c>
      <c r="X2042">
        <v>2.6568816976512546E-2</v>
      </c>
      <c r="Y2042">
        <v>4.4641163291441943E-3</v>
      </c>
    </row>
    <row r="2043" spans="1:25" x14ac:dyDescent="0.25">
      <c r="A2043" s="1098"/>
      <c r="B2043" s="1457">
        <v>1793</v>
      </c>
      <c r="C2043" s="1102">
        <v>0.9918148910289829</v>
      </c>
      <c r="D2043" s="1102">
        <v>1.0046212281605218</v>
      </c>
      <c r="E2043" s="1102">
        <v>0.98734993774685476</v>
      </c>
      <c r="F2043" s="1102">
        <v>0.98509205092649899</v>
      </c>
      <c r="G2043" s="1102">
        <v>0.95926778511845134</v>
      </c>
      <c r="H2043" s="1102">
        <v>0.9574195493451696</v>
      </c>
      <c r="I2043" s="1102">
        <v>0.98493512359279944</v>
      </c>
      <c r="K2043">
        <v>1.5266707097662497</v>
      </c>
      <c r="L2043">
        <v>0</v>
      </c>
      <c r="M2043">
        <v>1.5394921409605988E-3</v>
      </c>
      <c r="N2043">
        <v>0.13632952898422968</v>
      </c>
      <c r="O2043">
        <v>0.12057451889343426</v>
      </c>
      <c r="P2043">
        <v>1.5291528004146427E-2</v>
      </c>
      <c r="Q2043">
        <v>8.9271774684640157E-4</v>
      </c>
      <c r="R2043">
        <v>1.5358276265348765E-3</v>
      </c>
      <c r="S2043">
        <v>0.11487000009949086</v>
      </c>
      <c r="T2043">
        <v>0.81377195717284245</v>
      </c>
      <c r="U2043">
        <v>0</v>
      </c>
      <c r="V2043">
        <v>0.20353631605775377</v>
      </c>
      <c r="W2043">
        <v>9.0238524139547319E-2</v>
      </c>
      <c r="X2043">
        <v>2.6989266668397231E-2</v>
      </c>
      <c r="Y2043">
        <v>4.1800165139869137E-3</v>
      </c>
    </row>
    <row r="2044" spans="1:25" x14ac:dyDescent="0.25">
      <c r="A2044" s="1098"/>
      <c r="B2044" s="1457">
        <v>1794</v>
      </c>
      <c r="C2044" s="1102">
        <v>1.0199500387008311</v>
      </c>
      <c r="D2044" s="1102">
        <v>0.99815371912951745</v>
      </c>
      <c r="E2044" s="1102">
        <v>1.0134338207891429</v>
      </c>
      <c r="F2044" s="1102">
        <v>0.99484176721264228</v>
      </c>
      <c r="G2044" s="1102">
        <v>0.97536274692464475</v>
      </c>
      <c r="H2044" s="1102">
        <v>0.98001125436140246</v>
      </c>
      <c r="I2044" s="1102">
        <v>0.98158848777834973</v>
      </c>
      <c r="K2044">
        <v>1.5362477007118378</v>
      </c>
      <c r="L2044">
        <v>0</v>
      </c>
      <c r="M2044">
        <v>1.4610561914241969E-3</v>
      </c>
      <c r="N2044">
        <v>0.14000089159893433</v>
      </c>
      <c r="O2044">
        <v>0.12004843296169246</v>
      </c>
      <c r="P2044">
        <v>1.5651747304647981E-2</v>
      </c>
      <c r="Q2044">
        <v>8.9419156142751669E-4</v>
      </c>
      <c r="R2044">
        <v>1.4576717195398773E-3</v>
      </c>
      <c r="S2044">
        <v>0.11373217328559161</v>
      </c>
      <c r="T2044">
        <v>0.82011338142850243</v>
      </c>
      <c r="U2044">
        <v>0</v>
      </c>
      <c r="V2044">
        <v>0.20266438741217035</v>
      </c>
      <c r="W2044">
        <v>9.1243511407588532E-2</v>
      </c>
      <c r="X2044">
        <v>2.7935066323930183E-2</v>
      </c>
      <c r="Y2044">
        <v>3.9673018992343418E-3</v>
      </c>
    </row>
    <row r="2045" spans="1:25" x14ac:dyDescent="0.25">
      <c r="A2045" s="1098"/>
      <c r="B2045" s="1457">
        <v>1795</v>
      </c>
      <c r="C2045" s="1102">
        <v>0.97118042813218319</v>
      </c>
      <c r="D2045" s="1102">
        <v>1.0336090507510682</v>
      </c>
      <c r="E2045" s="1102">
        <v>1.0224227812987507</v>
      </c>
      <c r="F2045" s="1102">
        <v>1.0053205670606926</v>
      </c>
      <c r="G2045" s="1102">
        <v>1.011555035987856</v>
      </c>
      <c r="H2045" s="1102">
        <v>1.0281185047742454</v>
      </c>
      <c r="I2045" s="1102">
        <v>0.97544084221774152</v>
      </c>
      <c r="K2045">
        <v>1.5783255287018083</v>
      </c>
      <c r="L2045">
        <v>0</v>
      </c>
      <c r="M2045">
        <v>1.544756565620473E-3</v>
      </c>
      <c r="N2045">
        <v>0.15210438583832464</v>
      </c>
      <c r="O2045">
        <v>0.12172897766268424</v>
      </c>
      <c r="P2045">
        <v>1.6024688569752379E-2</v>
      </c>
      <c r="Q2045">
        <v>9.3466322312641423E-4</v>
      </c>
      <c r="R2045">
        <v>1.5413163451484342E-3</v>
      </c>
      <c r="S2045">
        <v>0.11980877420093142</v>
      </c>
      <c r="T2045">
        <v>0.82816042365373455</v>
      </c>
      <c r="U2045">
        <v>0</v>
      </c>
      <c r="V2045">
        <v>0.20795441021524477</v>
      </c>
      <c r="W2045">
        <v>9.8610970375870466E-2</v>
      </c>
      <c r="X2045">
        <v>2.8806720185913969E-2</v>
      </c>
      <c r="Y2045">
        <v>4.1949549966974137E-3</v>
      </c>
    </row>
    <row r="2046" spans="1:25" x14ac:dyDescent="0.25">
      <c r="A2046" s="1098"/>
      <c r="B2046" s="1457">
        <v>1796</v>
      </c>
      <c r="C2046" s="1102">
        <v>0.99234918579897902</v>
      </c>
      <c r="D2046" s="1102">
        <v>0.95458235172294115</v>
      </c>
      <c r="E2046" s="1102">
        <v>0.97625194344333421</v>
      </c>
      <c r="F2046" s="1102">
        <v>0.97467003244126116</v>
      </c>
      <c r="G2046" s="1102">
        <v>1.0117332209595846</v>
      </c>
      <c r="H2046" s="1102">
        <v>1.0047914699830751</v>
      </c>
      <c r="I2046" s="1102">
        <v>1.0136566265018667</v>
      </c>
      <c r="K2046">
        <v>1.5505648300794825</v>
      </c>
      <c r="L2046">
        <v>0</v>
      </c>
      <c r="M2046">
        <v>1.6992103475258645E-3</v>
      </c>
      <c r="N2046">
        <v>0.14552404399240712</v>
      </c>
      <c r="O2046">
        <v>0.12207264204783849</v>
      </c>
      <c r="P2046">
        <v>1.5246256248770008E-2</v>
      </c>
      <c r="Q2046">
        <v>9.0013955474534861E-4</v>
      </c>
      <c r="R2046">
        <v>1.6953853841412954E-3</v>
      </c>
      <c r="S2046">
        <v>0.1256509762441787</v>
      </c>
      <c r="T2046">
        <v>0.80588288077715753</v>
      </c>
      <c r="U2046">
        <v>0</v>
      </c>
      <c r="V2046">
        <v>0.20682681480409235</v>
      </c>
      <c r="W2046">
        <v>9.6971245074528575E-2</v>
      </c>
      <c r="X2046">
        <v>2.6879376167156459E-2</v>
      </c>
      <c r="Y2046">
        <v>4.6142801319909279E-3</v>
      </c>
    </row>
    <row r="2047" spans="1:25" x14ac:dyDescent="0.25">
      <c r="A2047" s="1098"/>
      <c r="B2047" s="1457">
        <v>1797</v>
      </c>
      <c r="C2047" s="1102">
        <v>1.0183324344961349</v>
      </c>
      <c r="D2047" s="1102">
        <v>1.0171912096937308</v>
      </c>
      <c r="E2047" s="1102">
        <v>1.01429260325681</v>
      </c>
      <c r="F2047" s="1102">
        <v>1.0049996381076693</v>
      </c>
      <c r="G2047" s="1102">
        <v>1.0044921059080909</v>
      </c>
      <c r="H2047" s="1102">
        <v>0.98259101296646534</v>
      </c>
      <c r="I2047" s="1102">
        <v>0.97358054262680516</v>
      </c>
      <c r="K2047">
        <v>1.5430800313773827</v>
      </c>
      <c r="L2047">
        <v>0</v>
      </c>
      <c r="M2047">
        <v>1.449907344714576E-3</v>
      </c>
      <c r="N2047">
        <v>0.13929319123105507</v>
      </c>
      <c r="O2047">
        <v>0.12000554716110728</v>
      </c>
      <c r="P2047">
        <v>1.577117814855369E-2</v>
      </c>
      <c r="Q2047">
        <v>8.8965510029118957E-4</v>
      </c>
      <c r="R2047">
        <v>1.4465490185518E-3</v>
      </c>
      <c r="S2047">
        <v>0.11195674336833958</v>
      </c>
      <c r="T2047">
        <v>0.82843059267031416</v>
      </c>
      <c r="U2047">
        <v>0</v>
      </c>
      <c r="V2047">
        <v>0.20407304139966187</v>
      </c>
      <c r="W2047">
        <v>9.0736456920510092E-2</v>
      </c>
      <c r="X2047">
        <v>2.7989954129968148E-2</v>
      </c>
      <c r="Y2047">
        <v>3.9370295737421917E-3</v>
      </c>
    </row>
    <row r="2048" spans="1:25" x14ac:dyDescent="0.25">
      <c r="A2048" s="1098"/>
      <c r="B2048" s="1457">
        <v>1798</v>
      </c>
      <c r="C2048" s="1102">
        <v>1.0236172033520914</v>
      </c>
      <c r="D2048" s="1102">
        <v>0.98062270194871448</v>
      </c>
      <c r="E2048" s="1102">
        <v>0.99743850351781116</v>
      </c>
      <c r="F2048" s="1102">
        <v>1.0095133085695529</v>
      </c>
      <c r="G2048" s="1102">
        <v>0.97692125601898905</v>
      </c>
      <c r="H2048" s="1102">
        <v>0.99802771567546211</v>
      </c>
      <c r="I2048" s="1102">
        <v>1.006502720803143</v>
      </c>
      <c r="K2048">
        <v>1.5608325791243498</v>
      </c>
      <c r="L2048">
        <v>0</v>
      </c>
      <c r="M2048">
        <v>1.5502779005779684E-3</v>
      </c>
      <c r="N2048">
        <v>0.14155229149070872</v>
      </c>
      <c r="O2048">
        <v>0.1217122836357941</v>
      </c>
      <c r="P2048">
        <v>1.573082411262559E-2</v>
      </c>
      <c r="Q2048">
        <v>8.8260933558630605E-4</v>
      </c>
      <c r="R2048">
        <v>1.5467668907031119E-3</v>
      </c>
      <c r="S2048">
        <v>0.11893900621571214</v>
      </c>
      <c r="T2048">
        <v>0.83327122197367642</v>
      </c>
      <c r="U2048">
        <v>0</v>
      </c>
      <c r="V2048">
        <v>0.20369649971065179</v>
      </c>
      <c r="W2048">
        <v>9.3132053772662413E-2</v>
      </c>
      <c r="X2048">
        <v>2.770951030188129E-2</v>
      </c>
      <c r="Y2048">
        <v>4.209789584925387E-3</v>
      </c>
    </row>
    <row r="2049" spans="1:25" x14ac:dyDescent="0.25">
      <c r="A2049" s="1098"/>
      <c r="B2049" s="1457">
        <v>1799</v>
      </c>
      <c r="C2049" s="1102">
        <v>1.0256933490063116</v>
      </c>
      <c r="D2049" s="1102">
        <v>1.0033693532467145</v>
      </c>
      <c r="E2049" s="1102">
        <v>1.0244649884929382</v>
      </c>
      <c r="F2049" s="1102">
        <v>1.0132397683905578</v>
      </c>
      <c r="G2049" s="1102">
        <v>1.033697300425493</v>
      </c>
      <c r="H2049" s="1102">
        <v>1.0311438604789784</v>
      </c>
      <c r="I2049" s="1102">
        <v>1.0221209761961503</v>
      </c>
      <c r="K2049">
        <v>1.5759199484866515</v>
      </c>
      <c r="L2049">
        <v>0</v>
      </c>
      <c r="M2049">
        <v>1.4922234181550464E-3</v>
      </c>
      <c r="N2049">
        <v>0.14784356951295333</v>
      </c>
      <c r="O2049">
        <v>0.12078182118181473</v>
      </c>
      <c r="P2049">
        <v>1.6130083479715843E-2</v>
      </c>
      <c r="Q2049">
        <v>8.9743687475844726E-4</v>
      </c>
      <c r="R2049">
        <v>1.4889411012419442E-3</v>
      </c>
      <c r="S2049">
        <v>0.12160157688086183</v>
      </c>
      <c r="T2049">
        <v>0.83454905143599734</v>
      </c>
      <c r="U2049">
        <v>0</v>
      </c>
      <c r="V2049">
        <v>0.2056421108252359</v>
      </c>
      <c r="W2049">
        <v>9.5734493281574573E-2</v>
      </c>
      <c r="X2049">
        <v>2.8690680482373832E-2</v>
      </c>
      <c r="Y2049">
        <v>4.0524068482784619E-3</v>
      </c>
    </row>
    <row r="2050" spans="1:25" x14ac:dyDescent="0.25">
      <c r="A2050" s="1098"/>
      <c r="B2050" s="1457">
        <v>1800</v>
      </c>
      <c r="C2050" s="1102">
        <v>0.99526067902189042</v>
      </c>
      <c r="D2050" s="1102">
        <v>1.009536672271294</v>
      </c>
      <c r="E2050" s="1102">
        <v>1.0070097534906786</v>
      </c>
      <c r="F2050" s="1102">
        <v>0.99684460118225904</v>
      </c>
      <c r="G2050" s="1102">
        <v>1.0088159094550515</v>
      </c>
      <c r="H2050" s="1102">
        <v>0.96989126300812356</v>
      </c>
      <c r="I2050" s="1102">
        <v>0.99441245323914129</v>
      </c>
      <c r="K2050">
        <v>1.5455748461178784</v>
      </c>
      <c r="L2050">
        <v>0</v>
      </c>
      <c r="M2050">
        <v>1.4896936955164192E-3</v>
      </c>
      <c r="N2050">
        <v>0.13999872061183991</v>
      </c>
      <c r="O2050">
        <v>0.12095578209096421</v>
      </c>
      <c r="P2050">
        <v>1.5687198741996134E-2</v>
      </c>
      <c r="Q2050">
        <v>9.0620367189121103E-4</v>
      </c>
      <c r="R2050">
        <v>1.4861945709917957E-3</v>
      </c>
      <c r="S2050">
        <v>0.11634400288908281</v>
      </c>
      <c r="T2050">
        <v>0.82218507510003269</v>
      </c>
      <c r="U2050">
        <v>0</v>
      </c>
      <c r="V2050">
        <v>0.2059777494281074</v>
      </c>
      <c r="W2050">
        <v>9.1588327749941828E-2</v>
      </c>
      <c r="X2050">
        <v>2.7890353260214582E-2</v>
      </c>
      <c r="Y2050">
        <v>4.0449316983310109E-3</v>
      </c>
    </row>
    <row r="2051" spans="1:25" x14ac:dyDescent="0.25">
      <c r="A2051" s="1098"/>
      <c r="B2051" s="1457">
        <v>1801</v>
      </c>
      <c r="C2051" s="1102">
        <v>0.98157475034501329</v>
      </c>
      <c r="D2051" s="1102">
        <v>1.0080685713202864</v>
      </c>
      <c r="E2051" s="1102">
        <v>0.99282692020271146</v>
      </c>
      <c r="F2051" s="1102">
        <v>0.99907181272758849</v>
      </c>
      <c r="G2051" s="1102">
        <v>0.96051490876708168</v>
      </c>
      <c r="H2051" s="1102">
        <v>1.0022715481892048</v>
      </c>
      <c r="I2051" s="1102">
        <v>1.0053468506417438</v>
      </c>
      <c r="K2051">
        <v>1.5625805402097206</v>
      </c>
      <c r="L2051">
        <v>0</v>
      </c>
      <c r="M2051">
        <v>1.6074581483432129E-3</v>
      </c>
      <c r="N2051">
        <v>0.14474041965846829</v>
      </c>
      <c r="O2051">
        <v>0.12192726210068658</v>
      </c>
      <c r="P2051">
        <v>1.5623023784317182E-2</v>
      </c>
      <c r="Q2051">
        <v>9.0595279461916345E-4</v>
      </c>
      <c r="R2051">
        <v>1.6038021815891852E-3</v>
      </c>
      <c r="S2051">
        <v>0.12188651002327315</v>
      </c>
      <c r="T2051">
        <v>0.82495748643006228</v>
      </c>
      <c r="U2051">
        <v>0</v>
      </c>
      <c r="V2051">
        <v>0.20511163312995001</v>
      </c>
      <c r="W2051">
        <v>9.5492010090981821E-2</v>
      </c>
      <c r="X2051">
        <v>2.7574877319077651E-2</v>
      </c>
      <c r="Y2051">
        <v>4.3650208450386916E-3</v>
      </c>
    </row>
    <row r="2052" spans="1:25" x14ac:dyDescent="0.25">
      <c r="A2052" s="1098"/>
      <c r="B2052" s="1457">
        <v>1802</v>
      </c>
      <c r="C2052" s="1102">
        <v>1.0265108696161671</v>
      </c>
      <c r="D2052" s="1102">
        <v>0.98673727831074953</v>
      </c>
      <c r="E2052" s="1102">
        <v>0.97213571381887331</v>
      </c>
      <c r="F2052" s="1102">
        <v>0.96067354923910087</v>
      </c>
      <c r="G2052" s="1102">
        <v>1.0277096714220997</v>
      </c>
      <c r="H2052" s="1102">
        <v>1.0245246686429752</v>
      </c>
      <c r="I2052" s="1102">
        <v>0.96702593452685714</v>
      </c>
      <c r="K2052">
        <v>1.5110237151693822</v>
      </c>
      <c r="L2052">
        <v>0</v>
      </c>
      <c r="M2052">
        <v>1.6603492474291952E-3</v>
      </c>
      <c r="N2052">
        <v>0.14044003861894738</v>
      </c>
      <c r="O2052">
        <v>0.11792843030581857</v>
      </c>
      <c r="P2052">
        <v>1.4856432142894352E-2</v>
      </c>
      <c r="Q2052">
        <v>8.5502016641057104E-4</v>
      </c>
      <c r="R2052">
        <v>1.6566690930142566E-3</v>
      </c>
      <c r="S2052">
        <v>0.11520189499142758</v>
      </c>
      <c r="T2052">
        <v>0.79457455483962625</v>
      </c>
      <c r="U2052">
        <v>0</v>
      </c>
      <c r="V2052">
        <v>0.20298205741865066</v>
      </c>
      <c r="W2052">
        <v>9.3817437828764394E-2</v>
      </c>
      <c r="X2052">
        <v>2.5862621860890188E-2</v>
      </c>
      <c r="Y2052">
        <v>4.508907150365068E-3</v>
      </c>
    </row>
    <row r="2053" spans="1:25" x14ac:dyDescent="0.25">
      <c r="A2053" s="1098"/>
      <c r="B2053" s="1457">
        <v>1803</v>
      </c>
      <c r="C2053" s="1102">
        <v>1.027698976518626</v>
      </c>
      <c r="D2053" s="1102">
        <v>1.0184247730478233</v>
      </c>
      <c r="E2053" s="1102">
        <v>0.9623046279606402</v>
      </c>
      <c r="F2053" s="1102">
        <v>0.99602474210423009</v>
      </c>
      <c r="G2053" s="1102">
        <v>1.0162058452725677</v>
      </c>
      <c r="H2053" s="1102">
        <v>0.97687824342880869</v>
      </c>
      <c r="I2053" s="1102">
        <v>1.0001588479555732</v>
      </c>
      <c r="K2053">
        <v>1.5243392041280217</v>
      </c>
      <c r="L2053">
        <v>0</v>
      </c>
      <c r="M2053">
        <v>1.5895458470601112E-3</v>
      </c>
      <c r="N2053">
        <v>0.13049219680597682</v>
      </c>
      <c r="O2053">
        <v>0.11901776352178732</v>
      </c>
      <c r="P2053">
        <v>1.5119633588554775E-2</v>
      </c>
      <c r="Q2053">
        <v>8.3459916782217098E-4</v>
      </c>
      <c r="R2053">
        <v>1.5858417434962632E-3</v>
      </c>
      <c r="S2053">
        <v>0.11334923729914853</v>
      </c>
      <c r="T2053">
        <v>0.82447034291914778</v>
      </c>
      <c r="U2053">
        <v>0</v>
      </c>
      <c r="V2053">
        <v>0.20326042716372383</v>
      </c>
      <c r="W2053">
        <v>8.7696353558985446E-2</v>
      </c>
      <c r="X2053">
        <v>2.5786215753233199E-2</v>
      </c>
      <c r="Y2053">
        <v>4.3161384532065831E-3</v>
      </c>
    </row>
    <row r="2054" spans="1:25" x14ac:dyDescent="0.25">
      <c r="A2054" s="1098"/>
      <c r="B2054" s="1457">
        <v>1804</v>
      </c>
      <c r="C2054" s="1102">
        <v>0.97759873636353223</v>
      </c>
      <c r="D2054" s="1102">
        <v>1.0117771435069549</v>
      </c>
      <c r="E2054" s="1102">
        <v>0.9566669247073637</v>
      </c>
      <c r="F2054" s="1102">
        <v>0.97241591158425078</v>
      </c>
      <c r="G2054" s="1102">
        <v>0.98335720397991244</v>
      </c>
      <c r="H2054" s="1102">
        <v>0.98927392005504045</v>
      </c>
      <c r="I2054" s="1102">
        <v>1.0139960716578262</v>
      </c>
      <c r="K2054">
        <v>1.5293706430919072</v>
      </c>
      <c r="L2054">
        <v>0</v>
      </c>
      <c r="M2054">
        <v>1.7089885895792834E-3</v>
      </c>
      <c r="N2054">
        <v>0.13792394630878457</v>
      </c>
      <c r="O2054">
        <v>0.12018697096639522</v>
      </c>
      <c r="P2054">
        <v>1.4934972250604795E-2</v>
      </c>
      <c r="Q2054">
        <v>8.7443320840553467E-4</v>
      </c>
      <c r="R2054">
        <v>1.7050388172584429E-3</v>
      </c>
      <c r="S2054">
        <v>0.12184190095025368</v>
      </c>
      <c r="T2054">
        <v>0.80529693852547923</v>
      </c>
      <c r="U2054">
        <v>0</v>
      </c>
      <c r="V2054">
        <v>0.20492198082983287</v>
      </c>
      <c r="W2054">
        <v>9.3012082867779511E-2</v>
      </c>
      <c r="X2054">
        <v>2.574081336200847E-2</v>
      </c>
      <c r="Y2054">
        <v>4.6405535946824313E-3</v>
      </c>
    </row>
    <row r="2055" spans="1:25" x14ac:dyDescent="0.25">
      <c r="A2055" s="1098"/>
      <c r="B2055" s="1457">
        <v>1805</v>
      </c>
      <c r="C2055" s="1102">
        <v>1.0048305398585178</v>
      </c>
      <c r="D2055" s="1102">
        <v>0.98684383298127798</v>
      </c>
      <c r="E2055" s="1102">
        <v>0.99881752951792002</v>
      </c>
      <c r="F2055" s="1102">
        <v>0.96334417407517248</v>
      </c>
      <c r="G2055" s="1102">
        <v>1.0206073594068676</v>
      </c>
      <c r="H2055" s="1102">
        <v>0.99337541011420971</v>
      </c>
      <c r="I2055" s="1102">
        <v>0.98888607282490071</v>
      </c>
      <c r="K2055">
        <v>1.5202669413266221</v>
      </c>
      <c r="L2055">
        <v>0</v>
      </c>
      <c r="M2055">
        <v>1.5539884545288992E-3</v>
      </c>
      <c r="N2055">
        <v>0.14248008067176493</v>
      </c>
      <c r="O2055">
        <v>0.11911114942491023</v>
      </c>
      <c r="P2055">
        <v>1.522436911679295E-2</v>
      </c>
      <c r="Q2055">
        <v>8.9812386608999911E-4</v>
      </c>
      <c r="R2055">
        <v>1.5504310253907925E-3</v>
      </c>
      <c r="S2055">
        <v>0.11783772395271079</v>
      </c>
      <c r="T2055">
        <v>0.79507457381223745</v>
      </c>
      <c r="U2055">
        <v>0</v>
      </c>
      <c r="V2055">
        <v>0.20461556621259633</v>
      </c>
      <c r="W2055">
        <v>9.3665562675808445E-2</v>
      </c>
      <c r="X2055">
        <v>2.7143586871185153E-2</v>
      </c>
      <c r="Y2055">
        <v>4.219762151663576E-3</v>
      </c>
    </row>
    <row r="2056" spans="1:25" x14ac:dyDescent="0.25">
      <c r="A2056" s="1098"/>
      <c r="B2056" s="1457">
        <v>1806</v>
      </c>
      <c r="C2056" s="1102">
        <v>0.99873351175692382</v>
      </c>
      <c r="D2056" s="1102">
        <v>1.0014866903005812</v>
      </c>
      <c r="E2056" s="1102">
        <v>1.0048634447633411</v>
      </c>
      <c r="F2056" s="1102">
        <v>1.0255329693994768</v>
      </c>
      <c r="G2056" s="1102">
        <v>1.0152046579843093</v>
      </c>
      <c r="H2056" s="1102">
        <v>0.97145998290561253</v>
      </c>
      <c r="I2056" s="1102">
        <v>1.0176313807861506</v>
      </c>
      <c r="K2056">
        <v>1.5781284020687267</v>
      </c>
      <c r="L2056">
        <v>0</v>
      </c>
      <c r="M2056">
        <v>1.5039527622849049E-3</v>
      </c>
      <c r="N2056">
        <v>0.14042738267308341</v>
      </c>
      <c r="O2056">
        <v>0.12313968976193784</v>
      </c>
      <c r="P2056">
        <v>1.6054974935079739E-2</v>
      </c>
      <c r="Q2056">
        <v>9.0394169882379691E-4</v>
      </c>
      <c r="R2056">
        <v>1.5004389974931304E-3</v>
      </c>
      <c r="S2056">
        <v>0.11952620800465583</v>
      </c>
      <c r="T2056">
        <v>0.84599176792393793</v>
      </c>
      <c r="U2056">
        <v>0</v>
      </c>
      <c r="V2056">
        <v>0.20769304053741558</v>
      </c>
      <c r="W2056">
        <v>9.1985480717922341E-2</v>
      </c>
      <c r="X2056">
        <v>2.83257292490675E-2</v>
      </c>
      <c r="Y2056">
        <v>4.0837003315937074E-3</v>
      </c>
    </row>
    <row r="2057" spans="1:25" x14ac:dyDescent="0.25">
      <c r="A2057" s="1098"/>
      <c r="B2057" s="1457">
        <v>1807</v>
      </c>
      <c r="C2057" s="1102">
        <v>1.013887540903663</v>
      </c>
      <c r="D2057" s="1102">
        <v>0.98777893294499508</v>
      </c>
      <c r="E2057" s="1102">
        <v>0.99088457933269081</v>
      </c>
      <c r="F2057" s="1102">
        <v>1.0049841994538184</v>
      </c>
      <c r="G2057" s="1102">
        <v>0.99795037356403393</v>
      </c>
      <c r="H2057" s="1102">
        <v>1.0030239606162308</v>
      </c>
      <c r="I2057" s="1102">
        <v>1.0316772659418856</v>
      </c>
      <c r="K2057">
        <v>1.5634876160686175</v>
      </c>
      <c r="L2057">
        <v>0</v>
      </c>
      <c r="M2057">
        <v>1.586274252914036E-3</v>
      </c>
      <c r="N2057">
        <v>0.14199898339670008</v>
      </c>
      <c r="O2057">
        <v>0.12158293821953332</v>
      </c>
      <c r="P2057">
        <v>1.5679399344243058E-2</v>
      </c>
      <c r="Q2057">
        <v>8.8245564442440531E-4</v>
      </c>
      <c r="R2057">
        <v>1.5826915111232058E-3</v>
      </c>
      <c r="S2057">
        <v>0.12285856865690463</v>
      </c>
      <c r="T2057">
        <v>0.82996885976025803</v>
      </c>
      <c r="U2057">
        <v>0</v>
      </c>
      <c r="V2057">
        <v>0.20497661972031983</v>
      </c>
      <c r="W2057">
        <v>9.3792268145710789E-2</v>
      </c>
      <c r="X2057">
        <v>2.7443541363153544E-2</v>
      </c>
      <c r="Y2057">
        <v>4.3075645591609422E-3</v>
      </c>
    </row>
    <row r="2058" spans="1:25" x14ac:dyDescent="0.25">
      <c r="A2058" s="1098"/>
      <c r="B2058" s="1457">
        <v>1808</v>
      </c>
      <c r="C2058" s="1102">
        <v>1.0405765562713196</v>
      </c>
      <c r="D2058" s="1102">
        <v>0.99933831204331935</v>
      </c>
      <c r="E2058" s="1102">
        <v>1.0077564392057157</v>
      </c>
      <c r="F2058" s="1102">
        <v>1.0147126474140107</v>
      </c>
      <c r="G2058" s="1102">
        <v>1.0205336554282392</v>
      </c>
      <c r="H2058" s="1102">
        <v>1.0172151840020427</v>
      </c>
      <c r="I2058" s="1102">
        <v>0.98622763442739469</v>
      </c>
      <c r="K2058">
        <v>1.5597605712177112</v>
      </c>
      <c r="L2058">
        <v>0</v>
      </c>
      <c r="M2058">
        <v>1.5074486899255993E-3</v>
      </c>
      <c r="N2058">
        <v>0.14200460693367301</v>
      </c>
      <c r="O2058">
        <v>0.12037271190458923</v>
      </c>
      <c r="P2058">
        <v>1.5851152852186606E-2</v>
      </c>
      <c r="Q2058">
        <v>8.70938220093356E-4</v>
      </c>
      <c r="R2058">
        <v>1.5040935347909034E-3</v>
      </c>
      <c r="S2058">
        <v>0.11493666956711535</v>
      </c>
      <c r="T2058">
        <v>0.83687258194177605</v>
      </c>
      <c r="U2058">
        <v>0</v>
      </c>
      <c r="V2058">
        <v>0.20402666449107679</v>
      </c>
      <c r="W2058">
        <v>9.2859615476594035E-2</v>
      </c>
      <c r="X2058">
        <v>2.7875338208339904E-2</v>
      </c>
      <c r="Y2058">
        <v>4.0936467774003501E-3</v>
      </c>
    </row>
    <row r="2059" spans="1:25" x14ac:dyDescent="0.25">
      <c r="A2059" s="1098"/>
      <c r="B2059" s="1457">
        <v>1809</v>
      </c>
      <c r="C2059" s="1102">
        <v>0.99947130534792272</v>
      </c>
      <c r="D2059" s="1102">
        <v>0.98330388800773183</v>
      </c>
      <c r="E2059" s="1102">
        <v>1.0038103101926581</v>
      </c>
      <c r="F2059" s="1102">
        <v>0.95742240371256004</v>
      </c>
      <c r="G2059" s="1102">
        <v>1.004791580580505</v>
      </c>
      <c r="H2059" s="1102">
        <v>1.0304850962847465</v>
      </c>
      <c r="I2059" s="1102">
        <v>0.98396189062501449</v>
      </c>
      <c r="K2059">
        <v>1.5294569102713287</v>
      </c>
      <c r="L2059">
        <v>0</v>
      </c>
      <c r="M2059">
        <v>1.6057917506054858E-3</v>
      </c>
      <c r="N2059">
        <v>0.14947947141022272</v>
      </c>
      <c r="O2059">
        <v>0.11909826222182882</v>
      </c>
      <c r="P2059">
        <v>1.524681240163905E-2</v>
      </c>
      <c r="Q2059">
        <v>9.0892819056678006E-4</v>
      </c>
      <c r="R2059">
        <v>1.6022470112019645E-3</v>
      </c>
      <c r="S2059">
        <v>0.12098541898805981</v>
      </c>
      <c r="T2059">
        <v>0.78987181538826767</v>
      </c>
      <c r="U2059">
        <v>0</v>
      </c>
      <c r="V2059">
        <v>0.20415471259951809</v>
      </c>
      <c r="W2059">
        <v>9.79760534129238E-2</v>
      </c>
      <c r="X2059">
        <v>2.7378192213799123E-2</v>
      </c>
      <c r="Y2059">
        <v>4.3607881839064569E-3</v>
      </c>
    </row>
    <row r="2060" spans="1:25" x14ac:dyDescent="0.25">
      <c r="A2060" s="1098"/>
      <c r="B2060" s="1457">
        <v>1810</v>
      </c>
      <c r="C2060" s="1102">
        <v>0.99612675878636225</v>
      </c>
      <c r="D2060" s="1102">
        <v>1.0368784384944545</v>
      </c>
      <c r="E2060" s="1102">
        <v>1.0245163854075696</v>
      </c>
      <c r="F2060" s="1102">
        <v>1.0108218408688692</v>
      </c>
      <c r="G2060" s="1102">
        <v>1.0330945629357644</v>
      </c>
      <c r="H2060" s="1102">
        <v>1.0286274247927636</v>
      </c>
      <c r="I2060" s="1102">
        <v>0.99377863578181569</v>
      </c>
      <c r="K2060">
        <v>1.5739317539519508</v>
      </c>
      <c r="L2060">
        <v>0</v>
      </c>
      <c r="M2060">
        <v>1.5008773771188724E-3</v>
      </c>
      <c r="N2060">
        <v>0.14872065245195257</v>
      </c>
      <c r="O2060">
        <v>0.12066196148438763</v>
      </c>
      <c r="P2060">
        <v>1.6085093555547717E-2</v>
      </c>
      <c r="Q2060">
        <v>9.1205889301997729E-4</v>
      </c>
      <c r="R2060">
        <v>1.4975421135168478E-3</v>
      </c>
      <c r="S2060">
        <v>0.11899911523146151</v>
      </c>
      <c r="T2060">
        <v>0.83255415095108631</v>
      </c>
      <c r="U2060">
        <v>0</v>
      </c>
      <c r="V2060">
        <v>0.20695595263876676</v>
      </c>
      <c r="W2060">
        <v>9.6299553225003429E-2</v>
      </c>
      <c r="X2060">
        <v>2.8670734815959723E-2</v>
      </c>
      <c r="Y2060">
        <v>4.0758159683678147E-3</v>
      </c>
    </row>
    <row r="2061" spans="1:25" x14ac:dyDescent="0.25">
      <c r="A2061" s="1098"/>
      <c r="B2061" s="1457">
        <v>1811</v>
      </c>
      <c r="C2061" s="1102">
        <v>0.99684104136643337</v>
      </c>
      <c r="D2061" s="1102">
        <v>1.0327562500003291</v>
      </c>
      <c r="E2061" s="1102">
        <v>0.99303557874235138</v>
      </c>
      <c r="F2061" s="1102">
        <v>0.97150021569921263</v>
      </c>
      <c r="G2061" s="1102">
        <v>1.0311713539078102</v>
      </c>
      <c r="H2061" s="1102">
        <v>0.99702700804435462</v>
      </c>
      <c r="I2061" s="1102">
        <v>1.0070952059951424</v>
      </c>
      <c r="K2061">
        <v>1.5222338170515539</v>
      </c>
      <c r="L2061">
        <v>0</v>
      </c>
      <c r="M2061">
        <v>1.5509667654180349E-3</v>
      </c>
      <c r="N2061">
        <v>0.13973859914466014</v>
      </c>
      <c r="O2061">
        <v>0.11815351717637651</v>
      </c>
      <c r="P2061">
        <v>1.5260412083734786E-2</v>
      </c>
      <c r="Q2061">
        <v>8.8367840815426282E-4</v>
      </c>
      <c r="R2061">
        <v>1.5474030022252421E-3</v>
      </c>
      <c r="S2061">
        <v>0.1180193271676751</v>
      </c>
      <c r="T2061">
        <v>0.80217753134669079</v>
      </c>
      <c r="U2061">
        <v>0</v>
      </c>
      <c r="V2061">
        <v>0.204842654909931</v>
      </c>
      <c r="W2061">
        <v>9.2180579124163067E-2</v>
      </c>
      <c r="X2061">
        <v>2.6769560582564658E-2</v>
      </c>
      <c r="Y2061">
        <v>4.2115208707945162E-3</v>
      </c>
    </row>
    <row r="2062" spans="1:25" x14ac:dyDescent="0.25">
      <c r="A2062" s="1098"/>
      <c r="B2062" s="1457">
        <v>1812</v>
      </c>
      <c r="C2062" s="1102">
        <v>0.96532006544249538</v>
      </c>
      <c r="D2062" s="1102">
        <v>0.97142734531568986</v>
      </c>
      <c r="E2062" s="1102">
        <v>1.0045740489617137</v>
      </c>
      <c r="F2062" s="1102">
        <v>1.0056124709065393</v>
      </c>
      <c r="G2062" s="1102">
        <v>0.99235387877862391</v>
      </c>
      <c r="H2062" s="1102">
        <v>1.0134478200184531</v>
      </c>
      <c r="I2062" s="1102">
        <v>0.99701568899640802</v>
      </c>
      <c r="K2062">
        <v>1.5947079012891687</v>
      </c>
      <c r="L2062">
        <v>0</v>
      </c>
      <c r="M2062">
        <v>1.6457977642916918E-3</v>
      </c>
      <c r="N2062">
        <v>0.15355274878043693</v>
      </c>
      <c r="O2062">
        <v>0.12488685361709997</v>
      </c>
      <c r="P2062">
        <v>1.594772170547586E-2</v>
      </c>
      <c r="Q2062">
        <v>9.4641730126982979E-4</v>
      </c>
      <c r="R2062">
        <v>1.6421155775146381E-3</v>
      </c>
      <c r="S2062">
        <v>0.12654134716057736</v>
      </c>
      <c r="T2062">
        <v>0.82957794039800703</v>
      </c>
      <c r="U2062">
        <v>0</v>
      </c>
      <c r="V2062">
        <v>0.20949203374409225</v>
      </c>
      <c r="W2062">
        <v>0.10060035137463133</v>
      </c>
      <c r="X2062">
        <v>2.8696872115612265E-2</v>
      </c>
      <c r="Y2062">
        <v>4.4692972787402007E-3</v>
      </c>
    </row>
    <row r="2063" spans="1:25" x14ac:dyDescent="0.25">
      <c r="A2063" s="1098"/>
      <c r="B2063" s="1457">
        <v>1813</v>
      </c>
      <c r="C2063" s="1102">
        <v>0.97086270724392942</v>
      </c>
      <c r="D2063" s="1102">
        <v>1.0201531763580542</v>
      </c>
      <c r="E2063" s="1102">
        <v>0.99954914703259823</v>
      </c>
      <c r="F2063" s="1102">
        <v>0.99341483232189565</v>
      </c>
      <c r="G2063" s="1102">
        <v>0.99713106466972679</v>
      </c>
      <c r="H2063" s="1102">
        <v>0.98891746583019469</v>
      </c>
      <c r="I2063" s="1102">
        <v>0.98547498493968544</v>
      </c>
      <c r="K2063">
        <v>1.5546762464560866</v>
      </c>
      <c r="L2063">
        <v>0</v>
      </c>
      <c r="M2063">
        <v>1.5688044703215218E-3</v>
      </c>
      <c r="N2063">
        <v>0.14415346096320711</v>
      </c>
      <c r="O2063">
        <v>0.12155379519365214</v>
      </c>
      <c r="P2063">
        <v>1.5616738976638369E-2</v>
      </c>
      <c r="Q2063">
        <v>9.1798172868466437E-4</v>
      </c>
      <c r="R2063">
        <v>1.565176652402052E-3</v>
      </c>
      <c r="S2063">
        <v>0.11879648214893707</v>
      </c>
      <c r="T2063">
        <v>0.8198447210358174</v>
      </c>
      <c r="U2063">
        <v>0</v>
      </c>
      <c r="V2063">
        <v>0.20706649181234044</v>
      </c>
      <c r="W2063">
        <v>9.4724408115718514E-2</v>
      </c>
      <c r="X2063">
        <v>2.7745899411515309E-2</v>
      </c>
      <c r="Y2063">
        <v>4.2598948874935892E-3</v>
      </c>
    </row>
    <row r="2064" spans="1:25" x14ac:dyDescent="0.25">
      <c r="A2064" s="1098"/>
      <c r="B2064" s="1457">
        <v>1814</v>
      </c>
      <c r="C2064" s="1102">
        <v>0.98496959030597508</v>
      </c>
      <c r="D2064" s="1102">
        <v>1.0165114694702142</v>
      </c>
      <c r="E2064" s="1102">
        <v>1.0328627206602328</v>
      </c>
      <c r="F2064" s="1102">
        <v>1.0298679712847478</v>
      </c>
      <c r="G2064" s="1102">
        <v>1.0182346283844974</v>
      </c>
      <c r="H2064" s="1102">
        <v>0.99708686906099975</v>
      </c>
      <c r="I2064" s="1102">
        <v>1.002109333276417</v>
      </c>
      <c r="K2064">
        <v>1.5956746732136569</v>
      </c>
      <c r="L2064">
        <v>0</v>
      </c>
      <c r="M2064">
        <v>1.4632046531431007E-3</v>
      </c>
      <c r="N2064">
        <v>0.14867317540741254</v>
      </c>
      <c r="O2064">
        <v>0.12341441731154844</v>
      </c>
      <c r="P2064">
        <v>1.643938162711614E-2</v>
      </c>
      <c r="Q2064">
        <v>9.3769648726005578E-4</v>
      </c>
      <c r="R2064">
        <v>1.4598633457539715E-3</v>
      </c>
      <c r="S2064">
        <v>0.1203413564566554</v>
      </c>
      <c r="T2064">
        <v>0.84768185894524284</v>
      </c>
      <c r="U2064">
        <v>0</v>
      </c>
      <c r="V2064">
        <v>0.208834120972652</v>
      </c>
      <c r="W2064">
        <v>9.5803052882217993E-2</v>
      </c>
      <c r="X2064">
        <v>2.9579687647620957E-2</v>
      </c>
      <c r="Y2064">
        <v>3.9732667833197212E-3</v>
      </c>
    </row>
    <row r="2065" spans="1:25" x14ac:dyDescent="0.25">
      <c r="A2065" s="1098"/>
      <c r="B2065" s="1457">
        <v>1815</v>
      </c>
      <c r="C2065" s="1102">
        <v>1.0432200550562034</v>
      </c>
      <c r="D2065" s="1102">
        <v>1.0176764623149563</v>
      </c>
      <c r="E2065" s="1102">
        <v>0.97566350686210768</v>
      </c>
      <c r="F2065" s="1102">
        <v>1.0259452769488873</v>
      </c>
      <c r="G2065" s="1102">
        <v>1.0151562655617494</v>
      </c>
      <c r="H2065" s="1102">
        <v>0.99540729405749895</v>
      </c>
      <c r="I2065" s="1102">
        <v>0.96410075027682351</v>
      </c>
      <c r="K2065">
        <v>1.5505964624926729</v>
      </c>
      <c r="L2065">
        <v>0</v>
      </c>
      <c r="M2065">
        <v>1.5577560956566601E-3</v>
      </c>
      <c r="N2065">
        <v>0.1331684222863386</v>
      </c>
      <c r="O2065">
        <v>0.12029913678522737</v>
      </c>
      <c r="P2065">
        <v>1.5544099347930256E-2</v>
      </c>
      <c r="Q2065">
        <v>8.3408731743182926E-4</v>
      </c>
      <c r="R2065">
        <v>1.5542053020340166E-3</v>
      </c>
      <c r="S2065">
        <v>0.10928171133718614</v>
      </c>
      <c r="T2065">
        <v>0.84831892612711368</v>
      </c>
      <c r="U2065">
        <v>0</v>
      </c>
      <c r="V2065">
        <v>0.20355154534724773</v>
      </c>
      <c r="W2065">
        <v>8.8769602820469903E-2</v>
      </c>
      <c r="X2065">
        <v>2.660244742885454E-2</v>
      </c>
      <c r="Y2065">
        <v>4.230034488496473E-3</v>
      </c>
    </row>
    <row r="2066" spans="1:25" x14ac:dyDescent="0.25">
      <c r="A2066" s="1098"/>
      <c r="B2066" s="1457">
        <v>1816</v>
      </c>
      <c r="C2066" s="1102">
        <v>0.98361452293373175</v>
      </c>
      <c r="D2066" s="1102">
        <v>1.0257106880457798</v>
      </c>
      <c r="E2066" s="1102">
        <v>0.98520314775810602</v>
      </c>
      <c r="F2066" s="1102">
        <v>1.0404154626119382</v>
      </c>
      <c r="G2066" s="1102">
        <v>0.98890522112806734</v>
      </c>
      <c r="H2066" s="1102">
        <v>1.0221647948287718</v>
      </c>
      <c r="I2066" s="1102">
        <v>0.99571872280247076</v>
      </c>
      <c r="K2066">
        <v>1.6031728773821383</v>
      </c>
      <c r="L2066">
        <v>0</v>
      </c>
      <c r="M2066">
        <v>1.6509892811172678E-3</v>
      </c>
      <c r="N2066">
        <v>0.14527897008934634</v>
      </c>
      <c r="O2066">
        <v>0.12394832852185593</v>
      </c>
      <c r="P2066">
        <v>1.6025775916762748E-2</v>
      </c>
      <c r="Q2066">
        <v>8.9071155845554372E-4</v>
      </c>
      <c r="R2066">
        <v>1.6473084752098867E-3</v>
      </c>
      <c r="S2066">
        <v>0.12104214903299486</v>
      </c>
      <c r="T2066">
        <v>0.85962235617298666</v>
      </c>
      <c r="U2066">
        <v>0</v>
      </c>
      <c r="V2066">
        <v>0.20781042431609409</v>
      </c>
      <c r="W2066">
        <v>9.6286406339069819E-2</v>
      </c>
      <c r="X2066">
        <v>2.7788005606049989E-2</v>
      </c>
      <c r="Y2066">
        <v>4.483430634428404E-3</v>
      </c>
    </row>
    <row r="2067" spans="1:25" x14ac:dyDescent="0.25">
      <c r="A2067" s="1098"/>
      <c r="B2067" s="1457">
        <v>1817</v>
      </c>
      <c r="C2067" s="1102">
        <v>1.0303190137987077</v>
      </c>
      <c r="D2067" s="1102">
        <v>0.99889651002487134</v>
      </c>
      <c r="E2067" s="1102">
        <v>0.98554062115569607</v>
      </c>
      <c r="F2067" s="1102">
        <v>1.0033418351602712</v>
      </c>
      <c r="G2067" s="1102">
        <v>1.0110759800360549</v>
      </c>
      <c r="H2067" s="1102">
        <v>0.98841291527865727</v>
      </c>
      <c r="I2067" s="1102">
        <v>1.0376473110074707</v>
      </c>
      <c r="K2067">
        <v>1.5467430404248723</v>
      </c>
      <c r="L2067">
        <v>0</v>
      </c>
      <c r="M2067">
        <v>1.5471018002998962E-3</v>
      </c>
      <c r="N2067">
        <v>0.13626760093022863</v>
      </c>
      <c r="O2067">
        <v>0.12017597263065516</v>
      </c>
      <c r="P2067">
        <v>1.5544271308417609E-2</v>
      </c>
      <c r="Q2067">
        <v>8.5969659835744157E-4</v>
      </c>
      <c r="R2067">
        <v>1.54355289370052E-3</v>
      </c>
      <c r="S2067">
        <v>0.11969118306346627</v>
      </c>
      <c r="T2067">
        <v>0.82896850460752958</v>
      </c>
      <c r="U2067">
        <v>0</v>
      </c>
      <c r="V2067">
        <v>0.20380775159605793</v>
      </c>
      <c r="W2067">
        <v>9.0295626028061085E-2</v>
      </c>
      <c r="X2067">
        <v>2.6934940424119761E-2</v>
      </c>
      <c r="Y2067">
        <v>4.2010421445781579E-3</v>
      </c>
    </row>
    <row r="2068" spans="1:25" x14ac:dyDescent="0.25">
      <c r="A2068" s="1098"/>
      <c r="B2068" s="1457">
        <v>1818</v>
      </c>
      <c r="C2068" s="1102">
        <v>0.97824545405417052</v>
      </c>
      <c r="D2068" s="1102">
        <v>0.97204465316224797</v>
      </c>
      <c r="E2068" s="1102">
        <v>1.0239099872225792</v>
      </c>
      <c r="F2068" s="1102">
        <v>0.98619721433341201</v>
      </c>
      <c r="G2068" s="1102">
        <v>1.0068434400523658</v>
      </c>
      <c r="H2068" s="1102">
        <v>1.0067112432946628</v>
      </c>
      <c r="I2068" s="1102">
        <v>0.99356285287620139</v>
      </c>
      <c r="K2068">
        <v>1.5691870994686989</v>
      </c>
      <c r="L2068">
        <v>0</v>
      </c>
      <c r="M2068">
        <v>1.5482994252710169E-3</v>
      </c>
      <c r="N2068">
        <v>0.15313450214075949</v>
      </c>
      <c r="O2068">
        <v>0.12270766915093496</v>
      </c>
      <c r="P2068">
        <v>1.5878455282759014E-2</v>
      </c>
      <c r="Q2068">
        <v>9.5243805976429334E-4</v>
      </c>
      <c r="R2068">
        <v>1.5448099358635679E-3</v>
      </c>
      <c r="S2068">
        <v>0.123833975682796</v>
      </c>
      <c r="T2068">
        <v>0.81231131321741523</v>
      </c>
      <c r="U2068">
        <v>0</v>
      </c>
      <c r="V2068">
        <v>0.20797655359740272</v>
      </c>
      <c r="W2068">
        <v>9.9192676437381069E-2</v>
      </c>
      <c r="X2068">
        <v>2.8998541989929686E-2</v>
      </c>
      <c r="Y2068">
        <v>4.2044633989621371E-3</v>
      </c>
    </row>
    <row r="2069" spans="1:25" x14ac:dyDescent="0.25">
      <c r="A2069" s="1098"/>
      <c r="B2069" s="1457">
        <v>1819</v>
      </c>
      <c r="C2069" s="1102">
        <v>0.98246484454099881</v>
      </c>
      <c r="D2069" s="1102">
        <v>0.99022575521836131</v>
      </c>
      <c r="E2069" s="1102">
        <v>1.0041621140987691</v>
      </c>
      <c r="F2069" s="1102">
        <v>0.96133408690345257</v>
      </c>
      <c r="G2069" s="1102">
        <v>0.99466676719218117</v>
      </c>
      <c r="H2069" s="1102">
        <v>0.9910557981386634</v>
      </c>
      <c r="I2069" s="1102">
        <v>0.97637165982025809</v>
      </c>
      <c r="K2069">
        <v>1.5255052462619456</v>
      </c>
      <c r="L2069">
        <v>0</v>
      </c>
      <c r="M2069">
        <v>1.5621996923169954E-3</v>
      </c>
      <c r="N2069">
        <v>0.1455626598211732</v>
      </c>
      <c r="O2069">
        <v>0.11994130180206651</v>
      </c>
      <c r="P2069">
        <v>1.5273273478526065E-2</v>
      </c>
      <c r="Q2069">
        <v>9.2240654045933339E-4</v>
      </c>
      <c r="R2069">
        <v>1.5586063224810941E-3</v>
      </c>
      <c r="S2069">
        <v>0.11843250491669324</v>
      </c>
      <c r="T2069">
        <v>0.79307666471689986</v>
      </c>
      <c r="U2069">
        <v>0</v>
      </c>
      <c r="V2069">
        <v>0.20514781408373164</v>
      </c>
      <c r="W2069">
        <v>9.5388901653746763E-2</v>
      </c>
      <c r="X2069">
        <v>2.7521300003127788E-2</v>
      </c>
      <c r="Y2069">
        <v>4.2420126153574159E-3</v>
      </c>
    </row>
    <row r="2070" spans="1:25" x14ac:dyDescent="0.25">
      <c r="A2070" s="1098"/>
      <c r="B2070" s="1457">
        <v>1820</v>
      </c>
      <c r="C2070" s="1102">
        <v>1.0056220522759596</v>
      </c>
      <c r="D2070" s="1102">
        <v>1.0045000292625501</v>
      </c>
      <c r="E2070" s="1102">
        <v>0.97530371261612614</v>
      </c>
      <c r="F2070" s="1102">
        <v>0.9829647974802499</v>
      </c>
      <c r="G2070" s="1102">
        <v>0.97373216405998209</v>
      </c>
      <c r="H2070" s="1102">
        <v>1.0169755049025173</v>
      </c>
      <c r="I2070" s="1102">
        <v>0.9578005719362398</v>
      </c>
      <c r="K2070">
        <v>1.5326135548872628</v>
      </c>
      <c r="L2070">
        <v>0</v>
      </c>
      <c r="M2070">
        <v>1.6550243027282738E-3</v>
      </c>
      <c r="N2070">
        <v>0.14133536440852731</v>
      </c>
      <c r="O2070">
        <v>0.11976470860930842</v>
      </c>
      <c r="P2070">
        <v>1.5128518841363073E-2</v>
      </c>
      <c r="Q2070">
        <v>8.6946563681143663E-4</v>
      </c>
      <c r="R2070">
        <v>1.6513187469731389E-3</v>
      </c>
      <c r="S2070">
        <v>0.11469958262246822</v>
      </c>
      <c r="T2070">
        <v>0.81280346992656238</v>
      </c>
      <c r="U2070">
        <v>0</v>
      </c>
      <c r="V2070">
        <v>0.20289931748223938</v>
      </c>
      <c r="W2070">
        <v>9.4234201568148948E-2</v>
      </c>
      <c r="X2070">
        <v>2.6388286075406567E-2</v>
      </c>
      <c r="Y2070">
        <v>4.4943452721822432E-3</v>
      </c>
    </row>
    <row r="2071" spans="1:25" x14ac:dyDescent="0.25">
      <c r="A2071" s="1098"/>
      <c r="B2071" s="1457">
        <v>1821</v>
      </c>
      <c r="C2071" s="1102">
        <v>1.0006030294855672</v>
      </c>
      <c r="D2071" s="1102">
        <v>0.97255671261208365</v>
      </c>
      <c r="E2071" s="1102">
        <v>0.98803935940176202</v>
      </c>
      <c r="F2071" s="1102">
        <v>1.0016816419805992</v>
      </c>
      <c r="G2071" s="1102">
        <v>1.0004492555903459</v>
      </c>
      <c r="H2071" s="1102">
        <v>1.0349725672141254</v>
      </c>
      <c r="I2071" s="1102">
        <v>0.99810725212851137</v>
      </c>
      <c r="K2071">
        <v>1.5772595594508603</v>
      </c>
      <c r="L2071">
        <v>0</v>
      </c>
      <c r="M2071">
        <v>1.6809993621427182E-3</v>
      </c>
      <c r="N2071">
        <v>0.14920041981042093</v>
      </c>
      <c r="O2071">
        <v>0.12272309839375904</v>
      </c>
      <c r="P2071">
        <v>1.564774274388684E-2</v>
      </c>
      <c r="Q2071">
        <v>8.9707844705453363E-4</v>
      </c>
      <c r="R2071">
        <v>1.6773248445088383E-3</v>
      </c>
      <c r="S2071">
        <v>0.12402193471128374</v>
      </c>
      <c r="T2071">
        <v>0.82743054398233518</v>
      </c>
      <c r="U2071">
        <v>0</v>
      </c>
      <c r="V2071">
        <v>0.20649143088724387</v>
      </c>
      <c r="W2071">
        <v>9.8717102840855192E-2</v>
      </c>
      <c r="X2071">
        <v>2.7568756854886734E-2</v>
      </c>
      <c r="Y2071">
        <v>4.5651252967666674E-3</v>
      </c>
    </row>
    <row r="2072" spans="1:25" x14ac:dyDescent="0.25">
      <c r="A2072" s="1098"/>
      <c r="B2072" s="1457">
        <v>1822</v>
      </c>
      <c r="C2072" s="1102">
        <v>1.0273172646980249</v>
      </c>
      <c r="D2072" s="1102">
        <v>1.0033920427755996</v>
      </c>
      <c r="E2072" s="1102">
        <v>0.99924843138820907</v>
      </c>
      <c r="F2072" s="1102">
        <v>0.97477917613848142</v>
      </c>
      <c r="G2072" s="1102">
        <v>1.0304736921197799</v>
      </c>
      <c r="H2072" s="1102">
        <v>0.99420877866837665</v>
      </c>
      <c r="I2072" s="1102">
        <v>0.95679985220189478</v>
      </c>
      <c r="K2072">
        <v>1.5134254164622933</v>
      </c>
      <c r="L2072">
        <v>0</v>
      </c>
      <c r="M2072">
        <v>1.5095499306588022E-3</v>
      </c>
      <c r="N2072">
        <v>0.13858618318684449</v>
      </c>
      <c r="O2072">
        <v>0.11809971484780211</v>
      </c>
      <c r="P2072">
        <v>1.5242262695895034E-2</v>
      </c>
      <c r="Q2072">
        <v>8.7303109814947588E-4</v>
      </c>
      <c r="R2072">
        <v>1.5060965258854768E-3</v>
      </c>
      <c r="S2072">
        <v>0.11066875744474206</v>
      </c>
      <c r="T2072">
        <v>0.80448445579162409</v>
      </c>
      <c r="U2072">
        <v>0</v>
      </c>
      <c r="V2072">
        <v>0.20333829454379818</v>
      </c>
      <c r="W2072">
        <v>9.108239007393712E-2</v>
      </c>
      <c r="X2072">
        <v>2.695468192540023E-2</v>
      </c>
      <c r="Y2072">
        <v>4.0990982588739429E-3</v>
      </c>
    </row>
    <row r="2073" spans="1:25" x14ac:dyDescent="0.25">
      <c r="A2073" s="1098"/>
      <c r="B2073" s="1457">
        <v>1823</v>
      </c>
      <c r="C2073" s="1102">
        <v>0.99320960782286116</v>
      </c>
      <c r="D2073" s="1102">
        <v>0.98323540714488034</v>
      </c>
      <c r="E2073" s="1102">
        <v>1.0084006397639305</v>
      </c>
      <c r="F2073" s="1102">
        <v>1.0233174446628897</v>
      </c>
      <c r="G2073" s="1102">
        <v>0.96653185259532759</v>
      </c>
      <c r="H2073" s="1102">
        <v>0.99747808943834981</v>
      </c>
      <c r="I2073" s="1102">
        <v>1.0360555081712142</v>
      </c>
      <c r="K2073">
        <v>1.5932620272744027</v>
      </c>
      <c r="L2073">
        <v>0</v>
      </c>
      <c r="M2073">
        <v>1.5567632010694461E-3</v>
      </c>
      <c r="N2073">
        <v>0.14692918530768168</v>
      </c>
      <c r="O2073">
        <v>0.12409413558454464</v>
      </c>
      <c r="P2073">
        <v>1.613843666887706E-2</v>
      </c>
      <c r="Q2073">
        <v>9.1903343402952216E-4</v>
      </c>
      <c r="R2073">
        <v>1.5532298508681495E-3</v>
      </c>
      <c r="S2073">
        <v>0.12585758787231741</v>
      </c>
      <c r="T2073">
        <v>0.84392594359443662</v>
      </c>
      <c r="U2073">
        <v>0</v>
      </c>
      <c r="V2073">
        <v>0.20642880700954891</v>
      </c>
      <c r="W2073">
        <v>9.6043348286769123E-2</v>
      </c>
      <c r="X2073">
        <v>2.8701703234417182E-2</v>
      </c>
      <c r="Y2073">
        <v>4.2273796319803741E-3</v>
      </c>
    </row>
    <row r="2074" spans="1:25" x14ac:dyDescent="0.25">
      <c r="A2074" s="1098"/>
      <c r="B2074" s="1457">
        <v>1824</v>
      </c>
      <c r="C2074" s="1102">
        <v>0.96318787909427972</v>
      </c>
      <c r="D2074" s="1102">
        <v>1.0071859651291284</v>
      </c>
      <c r="E2074" s="1102">
        <v>0.97796285488763524</v>
      </c>
      <c r="F2074" s="1102">
        <v>1.0005779652943947</v>
      </c>
      <c r="G2074" s="1102">
        <v>0.98532796522258481</v>
      </c>
      <c r="H2074" s="1102">
        <v>1.0142899980280478</v>
      </c>
      <c r="I2074" s="1102">
        <v>0.97837899517555182</v>
      </c>
      <c r="K2074">
        <v>1.573224955627305</v>
      </c>
      <c r="L2074">
        <v>0</v>
      </c>
      <c r="M2074">
        <v>1.708227571914471E-3</v>
      </c>
      <c r="N2074">
        <v>0.14705589913979292</v>
      </c>
      <c r="O2074">
        <v>0.12309750650614351</v>
      </c>
      <c r="P2074">
        <v>1.5514716924969451E-2</v>
      </c>
      <c r="Q2074">
        <v>9.0933670034566076E-4</v>
      </c>
      <c r="R2074">
        <v>1.7043840748796758E-3</v>
      </c>
      <c r="S2074">
        <v>0.12177340826372225</v>
      </c>
      <c r="T2074">
        <v>0.82718996862966099</v>
      </c>
      <c r="U2074">
        <v>0</v>
      </c>
      <c r="V2074">
        <v>0.20794148967564788</v>
      </c>
      <c r="W2074">
        <v>9.7890596083058695E-2</v>
      </c>
      <c r="X2074">
        <v>2.7217105599232915E-2</v>
      </c>
      <c r="Y2074">
        <v>4.6387716017631947E-3</v>
      </c>
    </row>
    <row r="2075" spans="1:25" x14ac:dyDescent="0.25">
      <c r="A2075" s="1098"/>
      <c r="B2075" s="1457">
        <v>1825</v>
      </c>
      <c r="C2075" s="1102">
        <v>0.98517580540794125</v>
      </c>
      <c r="D2075" s="1102">
        <v>0.99968752116849624</v>
      </c>
      <c r="E2075" s="1102">
        <v>1.0265055250114494</v>
      </c>
      <c r="F2075" s="1102">
        <v>1.0180363863253923</v>
      </c>
      <c r="G2075" s="1102">
        <v>1.0116326224576944</v>
      </c>
      <c r="H2075" s="1102">
        <v>1.0281858760236393</v>
      </c>
      <c r="I2075" s="1102">
        <v>1.0219014259017667</v>
      </c>
      <c r="K2075">
        <v>1.6004258377750871</v>
      </c>
      <c r="L2075">
        <v>0</v>
      </c>
      <c r="M2075">
        <v>1.5418685942643331E-3</v>
      </c>
      <c r="N2075">
        <v>0.15370348922797708</v>
      </c>
      <c r="O2075">
        <v>0.12335059413988797</v>
      </c>
      <c r="P2075">
        <v>1.6312398343129125E-2</v>
      </c>
      <c r="Q2075">
        <v>9.3767599637839094E-4</v>
      </c>
      <c r="R2075">
        <v>1.5384607672081548E-3</v>
      </c>
      <c r="S2075">
        <v>0.12639838664243394</v>
      </c>
      <c r="T2075">
        <v>0.83836433500857144</v>
      </c>
      <c r="U2075">
        <v>0</v>
      </c>
      <c r="V2075">
        <v>0.2084076010136586</v>
      </c>
      <c r="W2075">
        <v>9.9410781869372744E-2</v>
      </c>
      <c r="X2075">
        <v>2.9356800305849574E-2</v>
      </c>
      <c r="Y2075">
        <v>4.1871830548849869E-3</v>
      </c>
    </row>
    <row r="2076" spans="1:25" x14ac:dyDescent="0.25">
      <c r="A2076" s="1098"/>
      <c r="B2076" s="1457">
        <v>1826</v>
      </c>
      <c r="C2076" s="1102">
        <v>0.96929991450374986</v>
      </c>
      <c r="D2076" s="1102">
        <v>0.99670330192420298</v>
      </c>
      <c r="E2076" s="1102">
        <v>1.0267585888520658</v>
      </c>
      <c r="F2076" s="1102">
        <v>1.0379231896886936</v>
      </c>
      <c r="G2076" s="1102">
        <v>0.99760493986903742</v>
      </c>
      <c r="H2076" s="1102">
        <v>1.0006783877038492</v>
      </c>
      <c r="I2076" s="1102">
        <v>0.99833896949707668</v>
      </c>
      <c r="K2076">
        <v>1.6166428790415002</v>
      </c>
      <c r="L2076">
        <v>0</v>
      </c>
      <c r="M2076">
        <v>1.5274168058526736E-3</v>
      </c>
      <c r="N2076">
        <v>0.1523700662224266</v>
      </c>
      <c r="O2076">
        <v>0.1257306816672229</v>
      </c>
      <c r="P2076">
        <v>1.6528962727047767E-2</v>
      </c>
      <c r="Q2076">
        <v>9.5442116394172099E-4</v>
      </c>
      <c r="R2076">
        <v>1.5239508457589072E-3</v>
      </c>
      <c r="S2076">
        <v>0.12350275762269664</v>
      </c>
      <c r="T2076">
        <v>0.85472422643964552</v>
      </c>
      <c r="U2076">
        <v>0</v>
      </c>
      <c r="V2076">
        <v>0.21030473523538071</v>
      </c>
      <c r="W2076">
        <v>9.8533850328921535E-2</v>
      </c>
      <c r="X2076">
        <v>2.9848951762412756E-2</v>
      </c>
      <c r="Y2076">
        <v>4.1476918318944563E-3</v>
      </c>
    </row>
    <row r="2077" spans="1:25" x14ac:dyDescent="0.25">
      <c r="A2077" s="1098"/>
      <c r="B2077" s="1457">
        <v>1827</v>
      </c>
      <c r="C2077" s="1102">
        <v>1.0254363897222252</v>
      </c>
      <c r="D2077" s="1102">
        <v>0.99312669689614974</v>
      </c>
      <c r="E2077" s="1102">
        <v>0.95848228614097752</v>
      </c>
      <c r="F2077" s="1102">
        <v>1.0019461803195293</v>
      </c>
      <c r="G2077" s="1102">
        <v>0.97592469530254766</v>
      </c>
      <c r="H2077" s="1102">
        <v>1.0174400211897274</v>
      </c>
      <c r="I2077" s="1102">
        <v>1.0357510556566609</v>
      </c>
      <c r="K2077">
        <v>1.5528175646318543</v>
      </c>
      <c r="L2077">
        <v>0</v>
      </c>
      <c r="M2077">
        <v>1.6968983656628063E-3</v>
      </c>
      <c r="N2077">
        <v>0.13771531352398408</v>
      </c>
      <c r="O2077">
        <v>0.12064578335497751</v>
      </c>
      <c r="P2077">
        <v>1.5258975143368275E-2</v>
      </c>
      <c r="Q2077">
        <v>8.4148590284825677E-4</v>
      </c>
      <c r="R2077">
        <v>1.6931188884845593E-3</v>
      </c>
      <c r="S2077">
        <v>0.12270655415583534</v>
      </c>
      <c r="T2077">
        <v>0.8296295879575003</v>
      </c>
      <c r="U2077">
        <v>0</v>
      </c>
      <c r="V2077">
        <v>0.20266520748538558</v>
      </c>
      <c r="W2077">
        <v>9.2767813051811962E-2</v>
      </c>
      <c r="X2077">
        <v>2.5982512055358471E-2</v>
      </c>
      <c r="Y2077">
        <v>4.6081114779633831E-3</v>
      </c>
    </row>
    <row r="2078" spans="1:25" x14ac:dyDescent="0.25">
      <c r="A2078" s="1098"/>
      <c r="B2078" s="1457">
        <v>1828</v>
      </c>
      <c r="C2078" s="1102">
        <v>1.0159403264866615</v>
      </c>
      <c r="D2078" s="1102">
        <v>0.98458481473247994</v>
      </c>
      <c r="E2078" s="1102">
        <v>1.0079585412441336</v>
      </c>
      <c r="F2078" s="1102">
        <v>0.99299294328206011</v>
      </c>
      <c r="G2078" s="1102">
        <v>1.0206731922609378</v>
      </c>
      <c r="H2078" s="1102">
        <v>0.99877209958242741</v>
      </c>
      <c r="I2078" s="1102">
        <v>0.97096900200057579</v>
      </c>
      <c r="K2078">
        <v>1.5462687192150908</v>
      </c>
      <c r="L2078">
        <v>0</v>
      </c>
      <c r="M2078">
        <v>1.5231352433065495E-3</v>
      </c>
      <c r="N2078">
        <v>0.14356370842442487</v>
      </c>
      <c r="O2078">
        <v>0.12073463413511133</v>
      </c>
      <c r="P2078">
        <v>1.5630258959260103E-2</v>
      </c>
      <c r="Q2078">
        <v>8.9756843518463665E-4</v>
      </c>
      <c r="R2078">
        <v>1.5196796715268228E-3</v>
      </c>
      <c r="S2078">
        <v>0.11526635740104962</v>
      </c>
      <c r="T2078">
        <v>0.81894630868117502</v>
      </c>
      <c r="U2078">
        <v>0</v>
      </c>
      <c r="V2078">
        <v>0.2053384447977227</v>
      </c>
      <c r="W2078">
        <v>9.3867936456039164E-2</v>
      </c>
      <c r="X2078">
        <v>2.7890890393275736E-2</v>
      </c>
      <c r="Y2078">
        <v>4.1360671036269293E-3</v>
      </c>
    </row>
    <row r="2079" spans="1:25" x14ac:dyDescent="0.25">
      <c r="A2079" s="1098"/>
      <c r="B2079" s="1457">
        <v>1829</v>
      </c>
      <c r="C2079" s="1102">
        <v>1.0239073179228375</v>
      </c>
      <c r="D2079" s="1102">
        <v>0.97825993310868153</v>
      </c>
      <c r="E2079" s="1102">
        <v>1.0098212574686785</v>
      </c>
      <c r="F2079" s="1102">
        <v>0.9744561690580622</v>
      </c>
      <c r="G2079" s="1102">
        <v>1.0203988098049788</v>
      </c>
      <c r="H2079" s="1102">
        <v>0.9908871990994198</v>
      </c>
      <c r="I2079" s="1102">
        <v>0.99077423560072253</v>
      </c>
      <c r="K2079">
        <v>1.5259154047102528</v>
      </c>
      <c r="L2079">
        <v>0</v>
      </c>
      <c r="M2079">
        <v>1.4976960900696598E-3</v>
      </c>
      <c r="N2079">
        <v>0.14195957594398012</v>
      </c>
      <c r="O2079">
        <v>0.11930222669613035</v>
      </c>
      <c r="P2079">
        <v>1.5437157521177297E-2</v>
      </c>
      <c r="Q2079">
        <v>8.946011530135765E-4</v>
      </c>
      <c r="R2079">
        <v>1.4942718305663676E-3</v>
      </c>
      <c r="S2079">
        <v>0.11647448910055742</v>
      </c>
      <c r="T2079">
        <v>0.80353926053208702</v>
      </c>
      <c r="U2079">
        <v>0</v>
      </c>
      <c r="V2079">
        <v>0.20390261336842216</v>
      </c>
      <c r="W2079">
        <v>9.2717102198135226E-2</v>
      </c>
      <c r="X2079">
        <v>2.7624887120027222E-2</v>
      </c>
      <c r="Y2079">
        <v>4.066915336225092E-3</v>
      </c>
    </row>
    <row r="2080" spans="1:25" x14ac:dyDescent="0.25">
      <c r="A2080" s="1098"/>
      <c r="B2080" s="1457">
        <v>1830</v>
      </c>
      <c r="C2080" s="1102">
        <v>0.98437976417367279</v>
      </c>
      <c r="D2080" s="1102">
        <v>1.0159184917805919</v>
      </c>
      <c r="E2080" s="1102">
        <v>0.99294331268168678</v>
      </c>
      <c r="F2080" s="1102">
        <v>1.0083109813602162</v>
      </c>
      <c r="G2080" s="1102">
        <v>1.0117369063143955</v>
      </c>
      <c r="H2080" s="1102">
        <v>1.0069868659411516</v>
      </c>
      <c r="I2080" s="1102">
        <v>1.0320713649543471</v>
      </c>
      <c r="K2080">
        <v>1.5753338054952213</v>
      </c>
      <c r="L2080">
        <v>0</v>
      </c>
      <c r="M2080">
        <v>1.6044533365315538E-3</v>
      </c>
      <c r="N2080">
        <v>0.14452211738187079</v>
      </c>
      <c r="O2080">
        <v>0.12209058952278556</v>
      </c>
      <c r="P2080">
        <v>1.5796783560147427E-2</v>
      </c>
      <c r="Q2080">
        <v>9.0068174786170753E-4</v>
      </c>
      <c r="R2080">
        <v>1.6008199576681102E-3</v>
      </c>
      <c r="S2080">
        <v>0.12465850890454441</v>
      </c>
      <c r="T2080">
        <v>0.83257871454353383</v>
      </c>
      <c r="U2080">
        <v>0</v>
      </c>
      <c r="V2080">
        <v>0.20742749709455965</v>
      </c>
      <c r="W2080">
        <v>9.5341353022828867E-2</v>
      </c>
      <c r="X2080">
        <v>2.7664288881337436E-2</v>
      </c>
      <c r="Y2080">
        <v>4.3569042146153767E-3</v>
      </c>
    </row>
    <row r="2081" spans="1:25" x14ac:dyDescent="0.25">
      <c r="A2081" s="1098"/>
      <c r="B2081" s="1457">
        <v>1831</v>
      </c>
      <c r="C2081" s="1102">
        <v>0.95929603747877157</v>
      </c>
      <c r="D2081" s="1102">
        <v>0.98719918380865668</v>
      </c>
      <c r="E2081" s="1102">
        <v>0.99502004692923873</v>
      </c>
      <c r="F2081" s="1102">
        <v>0.97780305300054871</v>
      </c>
      <c r="G2081" s="1102">
        <v>0.99332767384323506</v>
      </c>
      <c r="H2081" s="1102">
        <v>1.0386753389297374</v>
      </c>
      <c r="I2081" s="1102">
        <v>1.026886405336026</v>
      </c>
      <c r="K2081">
        <v>1.5759371194990928</v>
      </c>
      <c r="L2081">
        <v>0</v>
      </c>
      <c r="M2081">
        <v>1.7110355784496381E-3</v>
      </c>
      <c r="N2081">
        <v>0.15510391375003271</v>
      </c>
      <c r="O2081">
        <v>0.1225186014332826</v>
      </c>
      <c r="P2081">
        <v>1.5583596196459756E-2</v>
      </c>
      <c r="Q2081">
        <v>9.3691703299541521E-4</v>
      </c>
      <c r="R2081">
        <v>1.7072803769033623E-3</v>
      </c>
      <c r="S2081">
        <v>0.13179188313431589</v>
      </c>
      <c r="T2081">
        <v>0.80725337853333068</v>
      </c>
      <c r="U2081">
        <v>0</v>
      </c>
      <c r="V2081">
        <v>0.20809669609855574</v>
      </c>
      <c r="W2081">
        <v>0.1021953531051924</v>
      </c>
      <c r="X2081">
        <v>2.7813881035369151E-2</v>
      </c>
      <c r="Y2081">
        <v>4.6466543811059628E-3</v>
      </c>
    </row>
    <row r="2082" spans="1:25" x14ac:dyDescent="0.25">
      <c r="A2082" s="1098"/>
      <c r="B2082" s="1457">
        <v>1832</v>
      </c>
      <c r="C2082" s="1102">
        <v>0.99550300580390239</v>
      </c>
      <c r="D2082" s="1102">
        <v>0.98998535191312798</v>
      </c>
      <c r="E2082" s="1102">
        <v>1.0287589464056095</v>
      </c>
      <c r="F2082" s="1102">
        <v>0.970653385697688</v>
      </c>
      <c r="G2082" s="1102">
        <v>1.0087111534159632</v>
      </c>
      <c r="H2082" s="1102">
        <v>1.0205858091606219</v>
      </c>
      <c r="I2082" s="1102">
        <v>1.0099159671022668</v>
      </c>
      <c r="K2082">
        <v>1.5467950797147421</v>
      </c>
      <c r="L2082">
        <v>0</v>
      </c>
      <c r="M2082">
        <v>1.5113997251588235E-3</v>
      </c>
      <c r="N2082">
        <v>0.15169035905354222</v>
      </c>
      <c r="O2082">
        <v>0.11988660004702319</v>
      </c>
      <c r="P2082">
        <v>1.5708770577704593E-2</v>
      </c>
      <c r="Q2082">
        <v>9.3372300067227746E-4</v>
      </c>
      <c r="R2082">
        <v>1.5080299234969403E-3</v>
      </c>
      <c r="S2082">
        <v>0.12348769726997896</v>
      </c>
      <c r="T2082">
        <v>0.79920146588541274</v>
      </c>
      <c r="U2082">
        <v>0</v>
      </c>
      <c r="V2082">
        <v>0.20520872143895172</v>
      </c>
      <c r="W2082">
        <v>9.7980263696819087E-2</v>
      </c>
      <c r="X2082">
        <v>2.8596488216470053E-2</v>
      </c>
      <c r="Y2082">
        <v>4.1043603298279953E-3</v>
      </c>
    </row>
    <row r="2083" spans="1:25" x14ac:dyDescent="0.25">
      <c r="A2083" s="1098"/>
      <c r="B2083" s="1457">
        <v>1833</v>
      </c>
      <c r="C2083" s="1102">
        <v>1.0405094626836646</v>
      </c>
      <c r="D2083" s="1102">
        <v>1.0156632434011523</v>
      </c>
      <c r="E2083" s="1102">
        <v>0.99623266831676272</v>
      </c>
      <c r="F2083" s="1102">
        <v>1.0184875942784122</v>
      </c>
      <c r="G2083" s="1102">
        <v>1.0418876380241187</v>
      </c>
      <c r="H2083" s="1102">
        <v>1.0100270278829804</v>
      </c>
      <c r="I2083" s="1102">
        <v>0.97911561176727469</v>
      </c>
      <c r="K2083">
        <v>1.5551789358270758</v>
      </c>
      <c r="L2083">
        <v>0</v>
      </c>
      <c r="M2083">
        <v>1.5193788787907804E-3</v>
      </c>
      <c r="N2083">
        <v>0.13822879780338504</v>
      </c>
      <c r="O2083">
        <v>0.11995587787337364</v>
      </c>
      <c r="P2083">
        <v>1.5743940191705184E-2</v>
      </c>
      <c r="Q2083">
        <v>8.5510030931212812E-4</v>
      </c>
      <c r="R2083">
        <v>1.5159645115579454E-3</v>
      </c>
      <c r="S2083">
        <v>0.11247665742869221</v>
      </c>
      <c r="T2083">
        <v>0.84075996499877148</v>
      </c>
      <c r="U2083">
        <v>0</v>
      </c>
      <c r="V2083">
        <v>0.2046869233006201</v>
      </c>
      <c r="W2083">
        <v>9.1010780098518193E-2</v>
      </c>
      <c r="X2083">
        <v>2.733835252703793E-2</v>
      </c>
      <c r="Y2083">
        <v>4.1259556628937986E-3</v>
      </c>
    </row>
    <row r="2084" spans="1:25" x14ac:dyDescent="0.25">
      <c r="A2084" s="1098"/>
      <c r="B2084" s="1457">
        <v>1834</v>
      </c>
      <c r="C2084" s="1102">
        <v>0.96037815213974009</v>
      </c>
      <c r="D2084" s="1102">
        <v>1.0039422682879409</v>
      </c>
      <c r="E2084" s="1102">
        <v>0.99012120534579173</v>
      </c>
      <c r="F2084" s="1102">
        <v>1.0233276170096215</v>
      </c>
      <c r="G2084" s="1102">
        <v>1.0089679219377243</v>
      </c>
      <c r="H2084" s="1102">
        <v>0.98772248927012019</v>
      </c>
      <c r="I2084" s="1102">
        <v>1.004287560125724</v>
      </c>
      <c r="K2084">
        <v>1.5958332279409195</v>
      </c>
      <c r="L2084">
        <v>0</v>
      </c>
      <c r="M2084">
        <v>1.6323521985385685E-3</v>
      </c>
      <c r="N2084">
        <v>0.14578000830134444</v>
      </c>
      <c r="O2084">
        <v>0.12496956599192054</v>
      </c>
      <c r="P2084">
        <v>1.5961368956610857E-2</v>
      </c>
      <c r="Q2084">
        <v>9.2485858268318835E-4</v>
      </c>
      <c r="R2084">
        <v>1.6285883676207581E-3</v>
      </c>
      <c r="S2084">
        <v>0.12356226915003952</v>
      </c>
      <c r="T2084">
        <v>0.84516962819402131</v>
      </c>
      <c r="U2084">
        <v>0</v>
      </c>
      <c r="V2084">
        <v>0.21057079842367904</v>
      </c>
      <c r="W2084">
        <v>9.63337132826661E-2</v>
      </c>
      <c r="X2084">
        <v>2.8132300216217744E-2</v>
      </c>
      <c r="Y2084">
        <v>4.4324806726526037E-3</v>
      </c>
    </row>
    <row r="2085" spans="1:25" x14ac:dyDescent="0.25">
      <c r="A2085" s="1098"/>
      <c r="B2085" s="1457">
        <v>1835</v>
      </c>
      <c r="C2085" s="1102">
        <v>0.97266661894463935</v>
      </c>
      <c r="D2085" s="1102">
        <v>0.99433908006975058</v>
      </c>
      <c r="E2085" s="1102">
        <v>1.0150393264533051</v>
      </c>
      <c r="F2085" s="1102">
        <v>1.0079934014642529</v>
      </c>
      <c r="G2085" s="1102">
        <v>0.98908663799465701</v>
      </c>
      <c r="H2085" s="1102">
        <v>0.99568529803436812</v>
      </c>
      <c r="I2085" s="1102">
        <v>0.98756844413850009</v>
      </c>
      <c r="K2085">
        <v>1.5804250799570179</v>
      </c>
      <c r="L2085">
        <v>0</v>
      </c>
      <c r="M2085">
        <v>1.550900712954377E-3</v>
      </c>
      <c r="N2085">
        <v>0.14933661060632514</v>
      </c>
      <c r="O2085">
        <v>0.12358232129822419</v>
      </c>
      <c r="P2085">
        <v>1.5998306935203398E-2</v>
      </c>
      <c r="Q2085">
        <v>9.4065007735113907E-4</v>
      </c>
      <c r="R2085">
        <v>1.5473581182915966E-3</v>
      </c>
      <c r="S2085">
        <v>0.12133238471727906</v>
      </c>
      <c r="T2085">
        <v>0.83084904815196314</v>
      </c>
      <c r="U2085">
        <v>0</v>
      </c>
      <c r="V2085">
        <v>0.20811148136920612</v>
      </c>
      <c r="W2085">
        <v>9.7236135379530228E-2</v>
      </c>
      <c r="X2085">
        <v>2.8830285305075382E-2</v>
      </c>
      <c r="Y2085">
        <v>4.2113987115231181E-3</v>
      </c>
    </row>
    <row r="2086" spans="1:25" x14ac:dyDescent="0.25">
      <c r="A2086" s="1098"/>
      <c r="B2086" s="1457">
        <v>1836</v>
      </c>
      <c r="C2086" s="1102">
        <v>0.99832210482985684</v>
      </c>
      <c r="D2086" s="1102">
        <v>1.0095220133552003</v>
      </c>
      <c r="E2086" s="1102">
        <v>1.0288256893732128</v>
      </c>
      <c r="F2086" s="1102">
        <v>1.0021474688455805</v>
      </c>
      <c r="G2086" s="1102">
        <v>0.97760606865557453</v>
      </c>
      <c r="H2086" s="1102">
        <v>0.9722424619174389</v>
      </c>
      <c r="I2086" s="1102">
        <v>1.0089504872542636</v>
      </c>
      <c r="K2086">
        <v>1.5535930225541352</v>
      </c>
      <c r="L2086">
        <v>0</v>
      </c>
      <c r="M2086">
        <v>1.4235932679940284E-3</v>
      </c>
      <c r="N2086">
        <v>0.14289043065059479</v>
      </c>
      <c r="O2086">
        <v>0.12111450986454422</v>
      </c>
      <c r="P2086">
        <v>1.5985457569465317E-2</v>
      </c>
      <c r="Q2086">
        <v>9.23899501304152E-4</v>
      </c>
      <c r="R2086">
        <v>1.4202596101075286E-3</v>
      </c>
      <c r="S2086">
        <v>0.11796181905693791</v>
      </c>
      <c r="T2086">
        <v>0.82512822031543476</v>
      </c>
      <c r="U2086">
        <v>0</v>
      </c>
      <c r="V2086">
        <v>0.2046309369487154</v>
      </c>
      <c r="W2086">
        <v>9.2292610051117205E-2</v>
      </c>
      <c r="X2086">
        <v>2.8802993783648482E-2</v>
      </c>
      <c r="Y2086">
        <v>3.8654784702580481E-3</v>
      </c>
    </row>
    <row r="2087" spans="1:25" x14ac:dyDescent="0.25">
      <c r="A2087" s="1098"/>
      <c r="B2087" s="1457">
        <v>1837</v>
      </c>
      <c r="C2087" s="1102">
        <v>1.0054419835052149</v>
      </c>
      <c r="D2087" s="1102">
        <v>1.0143972563536974</v>
      </c>
      <c r="E2087" s="1102">
        <v>1.0369204468645574</v>
      </c>
      <c r="F2087" s="1102">
        <v>0.98188781162744809</v>
      </c>
      <c r="G2087" s="1102">
        <v>0.9845650302312724</v>
      </c>
      <c r="H2087" s="1102">
        <v>0.99958038272447236</v>
      </c>
      <c r="I2087" s="1102">
        <v>1.0160891917943899</v>
      </c>
      <c r="K2087">
        <v>1.5398329194672367</v>
      </c>
      <c r="L2087">
        <v>0</v>
      </c>
      <c r="M2087">
        <v>1.4235746755963501E-3</v>
      </c>
      <c r="N2087">
        <v>0.1464262893161043</v>
      </c>
      <c r="O2087">
        <v>0.11910143192408916</v>
      </c>
      <c r="P2087">
        <v>1.5842871567007193E-2</v>
      </c>
      <c r="Q2087">
        <v>9.231736520481466E-4</v>
      </c>
      <c r="R2087">
        <v>1.4203262784016546E-3</v>
      </c>
      <c r="S2087">
        <v>0.11972353567826678</v>
      </c>
      <c r="T2087">
        <v>0.80793098190231194</v>
      </c>
      <c r="U2087">
        <v>0</v>
      </c>
      <c r="V2087">
        <v>0.20316641745212902</v>
      </c>
      <c r="W2087">
        <v>9.4134053925666927E-2</v>
      </c>
      <c r="X2087">
        <v>2.8721752527428951E-2</v>
      </c>
      <c r="Y2087">
        <v>3.8656599193774635E-3</v>
      </c>
    </row>
    <row r="2088" spans="1:25" x14ac:dyDescent="0.25">
      <c r="A2088" s="1098"/>
      <c r="B2088" s="1457">
        <v>1838</v>
      </c>
      <c r="C2088" s="1102">
        <v>0.99201281789124673</v>
      </c>
      <c r="D2088" s="1102">
        <v>1.0124898831940903</v>
      </c>
      <c r="E2088" s="1102">
        <v>0.97178579844944846</v>
      </c>
      <c r="F2088" s="1102">
        <v>0.96759671473231945</v>
      </c>
      <c r="G2088" s="1102">
        <v>0.98655312235507719</v>
      </c>
      <c r="H2088" s="1102">
        <v>0.99694103734739314</v>
      </c>
      <c r="I2088" s="1102">
        <v>1.0361133954129687</v>
      </c>
      <c r="K2088">
        <v>1.5247219055839243</v>
      </c>
      <c r="L2088">
        <v>0</v>
      </c>
      <c r="M2088">
        <v>1.6456177189615507E-3</v>
      </c>
      <c r="N2088">
        <v>0.13903607313384264</v>
      </c>
      <c r="O2088">
        <v>0.11903329682968962</v>
      </c>
      <c r="P2088">
        <v>1.5046066426378847E-2</v>
      </c>
      <c r="Q2088">
        <v>8.7536065883733055E-4</v>
      </c>
      <c r="R2088">
        <v>1.6418459031576802E-3</v>
      </c>
      <c r="S2088">
        <v>0.12335455494367184</v>
      </c>
      <c r="T2088">
        <v>0.8003233726684793</v>
      </c>
      <c r="U2088">
        <v>0</v>
      </c>
      <c r="V2088">
        <v>0.20357984898935438</v>
      </c>
      <c r="W2088">
        <v>9.2899305872930327E-2</v>
      </c>
      <c r="X2088">
        <v>2.6109234562505003E-2</v>
      </c>
      <c r="Y2088">
        <v>4.4685633140386892E-3</v>
      </c>
    </row>
    <row r="2089" spans="1:25" x14ac:dyDescent="0.25">
      <c r="A2089" s="1098"/>
      <c r="B2089" s="1457">
        <v>1839</v>
      </c>
      <c r="C2089" s="1102">
        <v>0.99882393746983023</v>
      </c>
      <c r="D2089" s="1102">
        <v>0.99093787016966173</v>
      </c>
      <c r="E2089" s="1102">
        <v>1.0373208720687241</v>
      </c>
      <c r="F2089" s="1102">
        <v>0.99161042164572133</v>
      </c>
      <c r="G2089" s="1102">
        <v>1.0069566782504873</v>
      </c>
      <c r="H2089" s="1102">
        <v>0.97392628004346482</v>
      </c>
      <c r="I2089" s="1102">
        <v>0.99778394324405983</v>
      </c>
      <c r="K2089">
        <v>1.550040881730461</v>
      </c>
      <c r="L2089">
        <v>0</v>
      </c>
      <c r="M2089">
        <v>1.41401967236009E-3</v>
      </c>
      <c r="N2089">
        <v>0.14561169856952486</v>
      </c>
      <c r="O2089">
        <v>0.12113435007065763</v>
      </c>
      <c r="P2089">
        <v>1.5973601868207603E-2</v>
      </c>
      <c r="Q2089">
        <v>9.3841063478306084E-4</v>
      </c>
      <c r="R2089">
        <v>1.4107217600755533E-3</v>
      </c>
      <c r="S2089">
        <v>0.1179880133386582</v>
      </c>
      <c r="T2089">
        <v>0.81590534345581534</v>
      </c>
      <c r="U2089">
        <v>0</v>
      </c>
      <c r="V2089">
        <v>0.20593086921706741</v>
      </c>
      <c r="W2089">
        <v>9.3588737611767864E-2</v>
      </c>
      <c r="X2089">
        <v>2.9133635289640827E-2</v>
      </c>
      <c r="Y2089">
        <v>3.8395195866224312E-3</v>
      </c>
    </row>
    <row r="2090" spans="1:25" x14ac:dyDescent="0.25">
      <c r="A2090" s="1098"/>
      <c r="B2090" s="1457">
        <v>1840</v>
      </c>
      <c r="C2090" s="1102">
        <v>0.99386233216368125</v>
      </c>
      <c r="D2090" s="1102">
        <v>0.99829487704162045</v>
      </c>
      <c r="E2090" s="1102">
        <v>0.99635319640582498</v>
      </c>
      <c r="F2090" s="1102">
        <v>0.97551553684117276</v>
      </c>
      <c r="G2090" s="1102">
        <v>1.0124046179306274</v>
      </c>
      <c r="H2090" s="1102">
        <v>0.99500843159377372</v>
      </c>
      <c r="I2090" s="1102">
        <v>1.0016742593605024</v>
      </c>
      <c r="K2090">
        <v>1.5358128250339869</v>
      </c>
      <c r="L2090">
        <v>0</v>
      </c>
      <c r="M2090">
        <v>1.5717833642579367E-3</v>
      </c>
      <c r="N2090">
        <v>0.14304245330678114</v>
      </c>
      <c r="O2090">
        <v>0.12004452857334796</v>
      </c>
      <c r="P2090">
        <v>1.5375893471404993E-2</v>
      </c>
      <c r="Q2090">
        <v>9.0154540167993933E-4</v>
      </c>
      <c r="R2090">
        <v>1.5681848943594609E-3</v>
      </c>
      <c r="S2090">
        <v>0.11999133583496184</v>
      </c>
      <c r="T2090">
        <v>0.80527882091768088</v>
      </c>
      <c r="U2090">
        <v>0</v>
      </c>
      <c r="V2090">
        <v>0.2054638148852144</v>
      </c>
      <c r="W2090">
        <v>9.4173357443911074E-2</v>
      </c>
      <c r="X2090">
        <v>2.7276591338466414E-2</v>
      </c>
      <c r="Y2090">
        <v>4.2680823304349609E-3</v>
      </c>
    </row>
    <row r="2091" spans="1:25" x14ac:dyDescent="0.25">
      <c r="A2091" s="1098"/>
      <c r="B2091" s="1457">
        <v>1841</v>
      </c>
      <c r="C2091" s="1102">
        <v>1.0198697754814325</v>
      </c>
      <c r="D2091" s="1102">
        <v>0.97958175389084534</v>
      </c>
      <c r="E2091" s="1102">
        <v>0.98463568457162531</v>
      </c>
      <c r="F2091" s="1102">
        <v>0.98884016377660067</v>
      </c>
      <c r="G2091" s="1102">
        <v>1.0191691385721655</v>
      </c>
      <c r="H2091" s="1102">
        <v>1.0179983579557568</v>
      </c>
      <c r="I2091" s="1102">
        <v>1.0072595965884414</v>
      </c>
      <c r="K2091">
        <v>1.5488076038692034</v>
      </c>
      <c r="L2091">
        <v>0</v>
      </c>
      <c r="M2091">
        <v>1.6277148678589773E-3</v>
      </c>
      <c r="N2091">
        <v>0.1429860867122526</v>
      </c>
      <c r="O2091">
        <v>0.12053378104841699</v>
      </c>
      <c r="P2091">
        <v>1.5403986383622838E-2</v>
      </c>
      <c r="Q2091">
        <v>8.744870743654608E-4</v>
      </c>
      <c r="R2091">
        <v>1.6240947158849967E-3</v>
      </c>
      <c r="S2091">
        <v>0.12095229493653113</v>
      </c>
      <c r="T2091">
        <v>0.8170466182006465</v>
      </c>
      <c r="U2091">
        <v>0</v>
      </c>
      <c r="V2091">
        <v>0.20484424793614786</v>
      </c>
      <c r="W2091">
        <v>9.4799104985875751E-2</v>
      </c>
      <c r="X2091">
        <v>2.695036630935593E-2</v>
      </c>
      <c r="Y2091">
        <v>4.4202504339597576E-3</v>
      </c>
    </row>
    <row r="2092" spans="1:25" x14ac:dyDescent="0.25">
      <c r="A2092" s="1098"/>
      <c r="B2092" s="1457">
        <v>1842</v>
      </c>
      <c r="C2092" s="1102">
        <v>1.0076575977794575</v>
      </c>
      <c r="D2092" s="1102">
        <v>0.98992869463136879</v>
      </c>
      <c r="E2092" s="1102">
        <v>1.0135338346220151</v>
      </c>
      <c r="F2092" s="1102">
        <v>1.0079492903643485</v>
      </c>
      <c r="G2092" s="1102">
        <v>0.95629509901823695</v>
      </c>
      <c r="H2092" s="1102">
        <v>0.97964221076743829</v>
      </c>
      <c r="I2092" s="1102">
        <v>1.0303638158644453</v>
      </c>
      <c r="K2092">
        <v>1.5623945013747456</v>
      </c>
      <c r="L2092">
        <v>0</v>
      </c>
      <c r="M2092">
        <v>1.4851377883810983E-3</v>
      </c>
      <c r="N2092">
        <v>0.14235176580868233</v>
      </c>
      <c r="O2092">
        <v>0.12194721491344078</v>
      </c>
      <c r="P2092">
        <v>1.5922438434478638E-2</v>
      </c>
      <c r="Q2092">
        <v>9.08193942268417E-4</v>
      </c>
      <c r="R2092">
        <v>1.4817013865112193E-3</v>
      </c>
      <c r="S2092">
        <v>0.12141821123503352</v>
      </c>
      <c r="T2092">
        <v>0.83091216239890286</v>
      </c>
      <c r="U2092">
        <v>0</v>
      </c>
      <c r="V2092">
        <v>0.20374545121068069</v>
      </c>
      <c r="W2092">
        <v>9.2770202557255516E-2</v>
      </c>
      <c r="X2092">
        <v>2.8389594544518081E-2</v>
      </c>
      <c r="Y2092">
        <v>4.0327027313527474E-3</v>
      </c>
    </row>
    <row r="2093" spans="1:25" x14ac:dyDescent="0.25">
      <c r="A2093" s="1098"/>
      <c r="B2093" s="1457">
        <v>1843</v>
      </c>
      <c r="C2093" s="1102">
        <v>0.9624695286929994</v>
      </c>
      <c r="D2093" s="1102">
        <v>1.0148347537893647</v>
      </c>
      <c r="E2093" s="1102">
        <v>0.99536049188879461</v>
      </c>
      <c r="F2093" s="1102">
        <v>1.0087675640547913</v>
      </c>
      <c r="G2093" s="1102">
        <v>1.0319046757547474</v>
      </c>
      <c r="H2093" s="1102">
        <v>1.0104043588114</v>
      </c>
      <c r="I2093" s="1102">
        <v>1.0400778212080457</v>
      </c>
      <c r="K2093">
        <v>1.5908464690913997</v>
      </c>
      <c r="L2093">
        <v>0</v>
      </c>
      <c r="M2093">
        <v>1.6366683550305967E-3</v>
      </c>
      <c r="N2093">
        <v>0.14850557932156422</v>
      </c>
      <c r="O2093">
        <v>0.12333035053198714</v>
      </c>
      <c r="P2093">
        <v>1.5923242766187177E-2</v>
      </c>
      <c r="Q2093">
        <v>9.2389851103341755E-4</v>
      </c>
      <c r="R2093">
        <v>1.6329692536708456E-3</v>
      </c>
      <c r="S2093">
        <v>0.12872411337671993</v>
      </c>
      <c r="T2093">
        <v>0.83279429493588353</v>
      </c>
      <c r="U2093">
        <v>0</v>
      </c>
      <c r="V2093">
        <v>0.21033638266636101</v>
      </c>
      <c r="W2093">
        <v>9.7827949774819178E-2</v>
      </c>
      <c r="X2093">
        <v>2.8039952307880974E-2</v>
      </c>
      <c r="Y2093">
        <v>4.444404000322243E-3</v>
      </c>
    </row>
    <row r="2094" spans="1:25" x14ac:dyDescent="0.25">
      <c r="A2094" s="1098"/>
      <c r="B2094" s="1457">
        <v>1844</v>
      </c>
      <c r="C2094" s="1102">
        <v>1.0359593391032991</v>
      </c>
      <c r="D2094" s="1102">
        <v>1.0048072068665961</v>
      </c>
      <c r="E2094" s="1102">
        <v>0.96901924292341002</v>
      </c>
      <c r="F2094" s="1102">
        <v>0.96308717640894337</v>
      </c>
      <c r="G2094" s="1102">
        <v>1.0019471242303759</v>
      </c>
      <c r="H2094" s="1102">
        <v>1.0195271990724175</v>
      </c>
      <c r="I2094" s="1102">
        <v>0.95744329900714176</v>
      </c>
      <c r="K2094">
        <v>1.4997079741481405</v>
      </c>
      <c r="L2094">
        <v>0</v>
      </c>
      <c r="M2094">
        <v>1.6323504997048145E-3</v>
      </c>
      <c r="N2094">
        <v>0.13677292718389544</v>
      </c>
      <c r="O2094">
        <v>0.11688342955340666</v>
      </c>
      <c r="P2094">
        <v>1.4770011173111258E-2</v>
      </c>
      <c r="Q2094">
        <v>8.3833805135824252E-4</v>
      </c>
      <c r="R2094">
        <v>1.6287069152292216E-3</v>
      </c>
      <c r="S2094">
        <v>0.11149962429290053</v>
      </c>
      <c r="T2094">
        <v>0.79677185513118343</v>
      </c>
      <c r="U2094">
        <v>0</v>
      </c>
      <c r="V2094">
        <v>0.20066663114026639</v>
      </c>
      <c r="W2094">
        <v>9.1541106287004834E-2</v>
      </c>
      <c r="X2094">
        <v>2.5534891599324566E-2</v>
      </c>
      <c r="Y2094">
        <v>4.4328033201636308E-3</v>
      </c>
    </row>
    <row r="2095" spans="1:25" x14ac:dyDescent="0.25">
      <c r="A2095" s="1098"/>
      <c r="B2095" s="1457">
        <v>1845</v>
      </c>
      <c r="C2095" s="1102">
        <v>0.97113435618438759</v>
      </c>
      <c r="D2095" s="1102">
        <v>1.0059236076463092</v>
      </c>
      <c r="E2095" s="1102">
        <v>0.9729470556948665</v>
      </c>
      <c r="F2095" s="1102">
        <v>0.99415457673691365</v>
      </c>
      <c r="G2095" s="1102">
        <v>1.0283408866371797</v>
      </c>
      <c r="H2095" s="1102">
        <v>1.0107090380974841</v>
      </c>
      <c r="I2095" s="1102">
        <v>0.95964308213944149</v>
      </c>
      <c r="K2095">
        <v>1.5607615217797939</v>
      </c>
      <c r="L2095">
        <v>0</v>
      </c>
      <c r="M2095">
        <v>1.7072559522603489E-3</v>
      </c>
      <c r="N2095">
        <v>0.14475684190906929</v>
      </c>
      <c r="O2095">
        <v>0.12228563166726739</v>
      </c>
      <c r="P2095">
        <v>1.5354471476001634E-2</v>
      </c>
      <c r="Q2095">
        <v>8.9760639860968271E-4</v>
      </c>
      <c r="R2095">
        <v>1.703402258907787E-3</v>
      </c>
      <c r="S2095">
        <v>0.11827312790256597</v>
      </c>
      <c r="T2095">
        <v>0.82221280220632809</v>
      </c>
      <c r="U2095">
        <v>0</v>
      </c>
      <c r="V2095">
        <v>0.20886345446121665</v>
      </c>
      <c r="W2095">
        <v>9.665352579236107E-2</v>
      </c>
      <c r="X2095">
        <v>2.6831814237380892E-2</v>
      </c>
      <c r="Y2095">
        <v>4.6360994223432614E-3</v>
      </c>
    </row>
    <row r="2096" spans="1:25" x14ac:dyDescent="0.25">
      <c r="A2096" s="1098"/>
      <c r="B2096" s="1457">
        <v>1846</v>
      </c>
      <c r="C2096" s="1102">
        <v>0.99190480885232257</v>
      </c>
      <c r="D2096" s="1102">
        <v>1.0044949692288609</v>
      </c>
      <c r="E2096" s="1102">
        <v>0.99480469523028492</v>
      </c>
      <c r="F2096" s="1102">
        <v>1.0045037277031743</v>
      </c>
      <c r="G2096" s="1102">
        <v>0.97672334157192942</v>
      </c>
      <c r="H2096" s="1102">
        <v>1.0085017857140308</v>
      </c>
      <c r="I2096" s="1102">
        <v>1.0075154105808817</v>
      </c>
      <c r="K2096">
        <v>1.5672469175123247</v>
      </c>
      <c r="L2096">
        <v>0</v>
      </c>
      <c r="M2096">
        <v>1.5991607538451927E-3</v>
      </c>
      <c r="N2096">
        <v>0.14485928887303426</v>
      </c>
      <c r="O2096">
        <v>0.12192396577447802</v>
      </c>
      <c r="P2096">
        <v>1.5706437305309112E-2</v>
      </c>
      <c r="Q2096">
        <v>8.9964126221652265E-4</v>
      </c>
      <c r="R2096">
        <v>1.5955525375582211E-3</v>
      </c>
      <c r="S2096">
        <v>0.12173302383984307</v>
      </c>
      <c r="T2096">
        <v>0.82931120279387349</v>
      </c>
      <c r="U2096">
        <v>0</v>
      </c>
      <c r="V2096">
        <v>0.20534510561307512</v>
      </c>
      <c r="W2096">
        <v>9.5457608879145006E-2</v>
      </c>
      <c r="X2096">
        <v>2.7671683354155065E-2</v>
      </c>
      <c r="Y2096">
        <v>4.3425680334808307E-3</v>
      </c>
    </row>
    <row r="2097" spans="1:25" x14ac:dyDescent="0.25">
      <c r="A2097" s="1098"/>
      <c r="B2097" s="1457">
        <v>1847</v>
      </c>
      <c r="C2097" s="1102">
        <v>1.0086493049348637</v>
      </c>
      <c r="D2097" s="1102">
        <v>0.98528342364096422</v>
      </c>
      <c r="E2097" s="1102">
        <v>1.0420021280232559</v>
      </c>
      <c r="F2097" s="1102">
        <v>0.99600092297564535</v>
      </c>
      <c r="G2097" s="1102">
        <v>0.99768406035537427</v>
      </c>
      <c r="H2097" s="1102">
        <v>1.0164929148996986</v>
      </c>
      <c r="I2097" s="1102">
        <v>1.0148594324072659</v>
      </c>
      <c r="K2097">
        <v>1.567852271923591</v>
      </c>
      <c r="L2097">
        <v>0</v>
      </c>
      <c r="M2097">
        <v>1.4534938084921783E-3</v>
      </c>
      <c r="N2097">
        <v>0.15181787368244234</v>
      </c>
      <c r="O2097">
        <v>0.12118429769472137</v>
      </c>
      <c r="P2097">
        <v>1.6129681308290116E-2</v>
      </c>
      <c r="Q2097">
        <v>9.3583612661446512E-4</v>
      </c>
      <c r="R2097">
        <v>1.4502523572815145E-3</v>
      </c>
      <c r="S2097">
        <v>0.12276548226379952</v>
      </c>
      <c r="T2097">
        <v>0.81921606834806993</v>
      </c>
      <c r="U2097">
        <v>0</v>
      </c>
      <c r="V2097">
        <v>0.20510032561422908</v>
      </c>
      <c r="W2097">
        <v>9.731482285683514E-2</v>
      </c>
      <c r="X2097">
        <v>2.9444016638840314E-2</v>
      </c>
      <c r="Y2097">
        <v>3.9471088409591907E-3</v>
      </c>
    </row>
    <row r="2098" spans="1:25" x14ac:dyDescent="0.25">
      <c r="A2098" s="1098"/>
      <c r="B2098" s="1457">
        <v>1848</v>
      </c>
      <c r="C2098" s="1102">
        <v>1.0376127401943009</v>
      </c>
      <c r="D2098" s="1102">
        <v>1.0278565727658437</v>
      </c>
      <c r="E2098" s="1102">
        <v>1.0048555612000298</v>
      </c>
      <c r="F2098" s="1102">
        <v>0.96284226437750675</v>
      </c>
      <c r="G2098" s="1102">
        <v>1.0082097947695547</v>
      </c>
      <c r="H2098" s="1102">
        <v>1.00447140313436</v>
      </c>
      <c r="I2098" s="1102">
        <v>0.99963768390112973</v>
      </c>
      <c r="K2098">
        <v>1.4980279704496233</v>
      </c>
      <c r="L2098">
        <v>0</v>
      </c>
      <c r="M2098">
        <v>1.4719825731811806E-3</v>
      </c>
      <c r="N2098">
        <v>0.13744758318072514</v>
      </c>
      <c r="O2098">
        <v>0.11573276099394529</v>
      </c>
      <c r="P2098">
        <v>1.5163947568219852E-2</v>
      </c>
      <c r="Q2098">
        <v>8.6106566693193865E-4</v>
      </c>
      <c r="R2098">
        <v>1.4686353922630023E-3</v>
      </c>
      <c r="S2098">
        <v>0.11360799501748682</v>
      </c>
      <c r="T2098">
        <v>0.79427689449159367</v>
      </c>
      <c r="U2098">
        <v>0</v>
      </c>
      <c r="V2098">
        <v>0.20021634222086496</v>
      </c>
      <c r="W2098">
        <v>9.0034014630905324E-2</v>
      </c>
      <c r="X2098">
        <v>2.66935724576546E-2</v>
      </c>
      <c r="Y2098">
        <v>3.9971414022129462E-3</v>
      </c>
    </row>
    <row r="2099" spans="1:25" x14ac:dyDescent="0.25">
      <c r="A2099" s="1098"/>
      <c r="B2099" s="1457">
        <v>1849</v>
      </c>
      <c r="C2099" s="1102">
        <v>1.0247283710395372</v>
      </c>
      <c r="D2099" s="1102">
        <v>0.99798318302724265</v>
      </c>
      <c r="E2099" s="1102">
        <v>1.0229509345623873</v>
      </c>
      <c r="F2099" s="1102">
        <v>0.996250137010256</v>
      </c>
      <c r="G2099" s="1102">
        <v>1.0273134192077453</v>
      </c>
      <c r="H2099" s="1102">
        <v>1.0192810363166684</v>
      </c>
      <c r="I2099" s="1102">
        <v>1.0227371326138086</v>
      </c>
      <c r="K2099">
        <v>1.5567485135551635</v>
      </c>
      <c r="L2099">
        <v>0</v>
      </c>
      <c r="M2099">
        <v>1.4836691895570631E-3</v>
      </c>
      <c r="N2099">
        <v>0.14632245538488745</v>
      </c>
      <c r="O2099">
        <v>0.11988843301741157</v>
      </c>
      <c r="P2099">
        <v>1.5900117660211082E-2</v>
      </c>
      <c r="Q2099">
        <v>8.9882370098620212E-4</v>
      </c>
      <c r="R2099">
        <v>1.4803663062792399E-3</v>
      </c>
      <c r="S2099">
        <v>0.12112835581509554</v>
      </c>
      <c r="T2099">
        <v>0.8206540587383705</v>
      </c>
      <c r="U2099">
        <v>0</v>
      </c>
      <c r="V2099">
        <v>0.20471177447977115</v>
      </c>
      <c r="W2099">
        <v>9.483323441898267E-2</v>
      </c>
      <c r="X2099">
        <v>2.8385494139653043E-2</v>
      </c>
      <c r="Y2099">
        <v>4.0290690830703801E-3</v>
      </c>
    </row>
    <row r="2100" spans="1:25" x14ac:dyDescent="0.25">
      <c r="A2100" s="1098"/>
      <c r="B2100" s="1457">
        <v>1850</v>
      </c>
      <c r="C2100" s="1102">
        <v>1.0327374041133017</v>
      </c>
      <c r="D2100" s="1102">
        <v>1.0092879077060444</v>
      </c>
      <c r="E2100" s="1102">
        <v>0.99280560520434902</v>
      </c>
      <c r="F2100" s="1102">
        <v>1.0061523444945581</v>
      </c>
      <c r="G2100" s="1102">
        <v>0.99218576828561644</v>
      </c>
      <c r="H2100" s="1102">
        <v>0.98128578346900619</v>
      </c>
      <c r="I2100" s="1102">
        <v>0.97997651357932392</v>
      </c>
      <c r="K2100">
        <v>1.5366683083048471</v>
      </c>
      <c r="L2100">
        <v>0</v>
      </c>
      <c r="M2100">
        <v>1.5011559921678332E-3</v>
      </c>
      <c r="N2100">
        <v>0.13515460586519704</v>
      </c>
      <c r="O2100">
        <v>0.119779305274812</v>
      </c>
      <c r="P2100">
        <v>1.5528295593788242E-2</v>
      </c>
      <c r="Q2100">
        <v>8.6063580076007251E-4</v>
      </c>
      <c r="R2100">
        <v>1.4976826714125249E-3</v>
      </c>
      <c r="S2100">
        <v>0.11158329097675172</v>
      </c>
      <c r="T2100">
        <v>0.83080547154721263</v>
      </c>
      <c r="U2100">
        <v>0</v>
      </c>
      <c r="V2100">
        <v>0.20261389907426888</v>
      </c>
      <c r="W2100">
        <v>8.9168937404023679E-2</v>
      </c>
      <c r="X2100">
        <v>2.7101141568160705E-2</v>
      </c>
      <c r="Y2100">
        <v>4.076198520624949E-3</v>
      </c>
    </row>
    <row r="2101" spans="1:25" x14ac:dyDescent="0.25">
      <c r="A2101" s="1098"/>
      <c r="B2101" s="1457">
        <v>1851</v>
      </c>
      <c r="C2101" s="1102">
        <v>0.96594113945098525</v>
      </c>
      <c r="D2101" s="1102">
        <v>0.98680672935291025</v>
      </c>
      <c r="E2101" s="1102">
        <v>0.98888518787741675</v>
      </c>
      <c r="F2101" s="1102">
        <v>0.98456239505793286</v>
      </c>
      <c r="G2101" s="1102">
        <v>0.99537579998900172</v>
      </c>
      <c r="H2101" s="1102">
        <v>1.0161758944010884</v>
      </c>
      <c r="I2101" s="1102">
        <v>1.018790312394644</v>
      </c>
      <c r="K2101">
        <v>1.569767122913255</v>
      </c>
      <c r="L2101">
        <v>0</v>
      </c>
      <c r="M2101">
        <v>1.6859221212465736E-3</v>
      </c>
      <c r="N2101">
        <v>0.15001231153346803</v>
      </c>
      <c r="O2101">
        <v>0.12268281778819796</v>
      </c>
      <c r="P2101">
        <v>1.5540426305640382E-2</v>
      </c>
      <c r="Q2101">
        <v>9.2469373822053438E-4</v>
      </c>
      <c r="R2101">
        <v>1.6821444512127139E-3</v>
      </c>
      <c r="S2101">
        <v>0.12807772084323826</v>
      </c>
      <c r="T2101">
        <v>0.8132340518422233</v>
      </c>
      <c r="U2101">
        <v>0</v>
      </c>
      <c r="V2101">
        <v>0.20794755560246361</v>
      </c>
      <c r="W2101">
        <v>9.9203942756437111E-2</v>
      </c>
      <c r="X2101">
        <v>2.7569137495967521E-2</v>
      </c>
      <c r="Y2101">
        <v>4.5782426774316955E-3</v>
      </c>
    </row>
    <row r="2102" spans="1:25" x14ac:dyDescent="0.25">
      <c r="A2102" s="1098"/>
      <c r="B2102" s="1457">
        <v>1852</v>
      </c>
      <c r="C2102" s="1102">
        <v>0.98237532372610814</v>
      </c>
      <c r="D2102" s="1102">
        <v>0.99852820562869704</v>
      </c>
      <c r="E2102" s="1102">
        <v>0.99999902279435238</v>
      </c>
      <c r="F2102" s="1102">
        <v>0.97334884859879434</v>
      </c>
      <c r="G2102" s="1102">
        <v>0.97741582069418853</v>
      </c>
      <c r="H2102" s="1102">
        <v>0.99372621065732702</v>
      </c>
      <c r="I2102" s="1102">
        <v>1.0012583789441372</v>
      </c>
      <c r="K2102">
        <v>1.5377221268857242</v>
      </c>
      <c r="L2102">
        <v>0</v>
      </c>
      <c r="M2102">
        <v>1.5742879012332473E-3</v>
      </c>
      <c r="N2102">
        <v>0.14485662606067165</v>
      </c>
      <c r="O2102">
        <v>0.12046061734251581</v>
      </c>
      <c r="P2102">
        <v>1.5396440287606495E-2</v>
      </c>
      <c r="Q2102">
        <v>9.1545926641884107E-4</v>
      </c>
      <c r="R2102">
        <v>1.5706751120919576E-3</v>
      </c>
      <c r="S2102">
        <v>0.12114657231101036</v>
      </c>
      <c r="T2102">
        <v>0.80325576971679657</v>
      </c>
      <c r="U2102">
        <v>0</v>
      </c>
      <c r="V2102">
        <v>0.20475829024636646</v>
      </c>
      <c r="W2102">
        <v>9.5161011366033721E-2</v>
      </c>
      <c r="X2102">
        <v>2.7500093195243276E-2</v>
      </c>
      <c r="Y2102">
        <v>4.274859882202762E-3</v>
      </c>
    </row>
    <row r="2103" spans="1:25" x14ac:dyDescent="0.25">
      <c r="A2103" s="1098"/>
      <c r="B2103" s="1457">
        <v>1853</v>
      </c>
      <c r="C2103" s="1102">
        <v>1.0004024986182307</v>
      </c>
      <c r="D2103" s="1102">
        <v>0.98820763189148408</v>
      </c>
      <c r="E2103" s="1102">
        <v>1.0021316299917529</v>
      </c>
      <c r="F2103" s="1102">
        <v>0.96675396421393189</v>
      </c>
      <c r="G2103" s="1102">
        <v>0.99238808036733805</v>
      </c>
      <c r="H2103" s="1102">
        <v>0.98972896795507059</v>
      </c>
      <c r="I2103" s="1102">
        <v>1.014741878992842</v>
      </c>
      <c r="K2103">
        <v>1.5265838636776863</v>
      </c>
      <c r="L2103">
        <v>0</v>
      </c>
      <c r="M2103">
        <v>1.5431994785307158E-3</v>
      </c>
      <c r="N2103">
        <v>0.14291333458531472</v>
      </c>
      <c r="O2103">
        <v>0.11951193993823207</v>
      </c>
      <c r="P2103">
        <v>1.5331359205466921E-2</v>
      </c>
      <c r="Q2103">
        <v>9.0470351587440957E-4</v>
      </c>
      <c r="R2103">
        <v>1.5396527442885415E-3</v>
      </c>
      <c r="S2103">
        <v>0.12106201921612501</v>
      </c>
      <c r="T2103">
        <v>0.79767731314375612</v>
      </c>
      <c r="U2103">
        <v>0</v>
      </c>
      <c r="V2103">
        <v>0.20386045401560454</v>
      </c>
      <c r="W2103">
        <v>9.3765576563060699E-2</v>
      </c>
      <c r="X2103">
        <v>2.7370283004930662E-2</v>
      </c>
      <c r="Y2103">
        <v>4.1904272235626606E-3</v>
      </c>
    </row>
    <row r="2104" spans="1:25" x14ac:dyDescent="0.25">
      <c r="A2104" s="1098"/>
      <c r="B2104" s="1457">
        <v>1854</v>
      </c>
      <c r="C2104" s="1102">
        <v>0.96012409145534272</v>
      </c>
      <c r="D2104" s="1102">
        <v>1.0229762722323981</v>
      </c>
      <c r="E2104" s="1102">
        <v>1.0059305553572919</v>
      </c>
      <c r="F2104" s="1102">
        <v>1.037120626002106</v>
      </c>
      <c r="G2104" s="1102">
        <v>1.017046884927397</v>
      </c>
      <c r="H2104" s="1102">
        <v>0.99192372183670008</v>
      </c>
      <c r="I2104" s="1102">
        <v>1.0009121642595309</v>
      </c>
      <c r="K2104">
        <v>1.6078396939792043</v>
      </c>
      <c r="L2104">
        <v>0</v>
      </c>
      <c r="M2104">
        <v>1.5716465283947163E-3</v>
      </c>
      <c r="N2104">
        <v>0.14722702366393356</v>
      </c>
      <c r="O2104">
        <v>0.12505354946030001</v>
      </c>
      <c r="P2104">
        <v>1.6282111125652234E-2</v>
      </c>
      <c r="Q2104">
        <v>9.3336958179519175E-4</v>
      </c>
      <c r="R2104">
        <v>1.5680303930960542E-3</v>
      </c>
      <c r="S2104">
        <v>0.12226183966538719</v>
      </c>
      <c r="T2104">
        <v>0.85547789422015419</v>
      </c>
      <c r="U2104">
        <v>0</v>
      </c>
      <c r="V2104">
        <v>0.21112390873769446</v>
      </c>
      <c r="W2104">
        <v>9.6378628176730388E-2</v>
      </c>
      <c r="X2104">
        <v>2.8837323653928042E-2</v>
      </c>
      <c r="Y2104">
        <v>4.2676618289272956E-3</v>
      </c>
    </row>
    <row r="2105" spans="1:25" x14ac:dyDescent="0.25">
      <c r="A2105" s="1098"/>
      <c r="B2105" s="1457">
        <v>1855</v>
      </c>
      <c r="C2105" s="1102">
        <v>1.0154359052120889</v>
      </c>
      <c r="D2105" s="1102">
        <v>0.99476341375659794</v>
      </c>
      <c r="E2105" s="1102">
        <v>1.0191389096202335</v>
      </c>
      <c r="F2105" s="1102">
        <v>1.0045547234147578</v>
      </c>
      <c r="G2105" s="1102">
        <v>0.99987812697660683</v>
      </c>
      <c r="H2105" s="1102">
        <v>1.0197807348515362</v>
      </c>
      <c r="I2105" s="1102">
        <v>0.97000576921776771</v>
      </c>
      <c r="K2105">
        <v>1.5624021461596431</v>
      </c>
      <c r="L2105">
        <v>0</v>
      </c>
      <c r="M2105">
        <v>1.5126394066264962E-3</v>
      </c>
      <c r="N2105">
        <v>0.14747427031473487</v>
      </c>
      <c r="O2105">
        <v>0.12108464766637546</v>
      </c>
      <c r="P2105">
        <v>1.5885984202320409E-2</v>
      </c>
      <c r="Q2105">
        <v>9.0467947433895681E-4</v>
      </c>
      <c r="R2105">
        <v>1.509275406495028E-3</v>
      </c>
      <c r="S2105">
        <v>0.11618697022659251</v>
      </c>
      <c r="T2105">
        <v>0.82774509300505228</v>
      </c>
      <c r="U2105">
        <v>0</v>
      </c>
      <c r="V2105">
        <v>0.20475288883047457</v>
      </c>
      <c r="W2105">
        <v>9.5792966675182389E-2</v>
      </c>
      <c r="X2105">
        <v>2.8470259640728794E-2</v>
      </c>
      <c r="Y2105">
        <v>4.10775012397543E-3</v>
      </c>
    </row>
    <row r="2106" spans="1:25" x14ac:dyDescent="0.25">
      <c r="A2106" s="1098"/>
      <c r="B2106" s="1457">
        <v>1856</v>
      </c>
      <c r="C2106" s="1102">
        <v>0.96752772311708213</v>
      </c>
      <c r="D2106" s="1102">
        <v>1.0087792421218116</v>
      </c>
      <c r="E2106" s="1102">
        <v>1.0124925663183366</v>
      </c>
      <c r="F2106" s="1102">
        <v>1.0220366167202741</v>
      </c>
      <c r="G2106" s="1102">
        <v>1.0085011820823158</v>
      </c>
      <c r="H2106" s="1102">
        <v>1.0012011474068219</v>
      </c>
      <c r="I2106" s="1102">
        <v>0.95987790041051235</v>
      </c>
      <c r="K2106">
        <v>1.5916898490364748</v>
      </c>
      <c r="L2106">
        <v>0</v>
      </c>
      <c r="M2106">
        <v>1.5643662918337455E-3</v>
      </c>
      <c r="N2106">
        <v>0.14948111006058221</v>
      </c>
      <c r="O2106">
        <v>0.12420991540961912</v>
      </c>
      <c r="P2106">
        <v>1.6106594449522806E-2</v>
      </c>
      <c r="Q2106">
        <v>9.3774692758308775E-4</v>
      </c>
      <c r="R2106">
        <v>1.5608065660971417E-3</v>
      </c>
      <c r="S2106">
        <v>0.1180216336859137</v>
      </c>
      <c r="T2106">
        <v>0.84259498369068597</v>
      </c>
      <c r="U2106">
        <v>0</v>
      </c>
      <c r="V2106">
        <v>0.20973139003454991</v>
      </c>
      <c r="W2106">
        <v>9.7476065227988087E-2</v>
      </c>
      <c r="X2106">
        <v>2.8885968322596402E-2</v>
      </c>
      <c r="Y2106">
        <v>4.248000953170186E-3</v>
      </c>
    </row>
    <row r="2107" spans="1:25" x14ac:dyDescent="0.25">
      <c r="A2107" s="1098"/>
      <c r="B2107" s="1457">
        <v>1857</v>
      </c>
      <c r="C2107" s="1102">
        <v>1.0047122378101514</v>
      </c>
      <c r="D2107" s="1102">
        <v>1.0065971381257541</v>
      </c>
      <c r="E2107" s="1102">
        <v>0.98088373727421718</v>
      </c>
      <c r="F2107" s="1102">
        <v>1.0281981296699692</v>
      </c>
      <c r="G2107" s="1102">
        <v>1.0001095237920941</v>
      </c>
      <c r="H2107" s="1102">
        <v>1.0031787592291734</v>
      </c>
      <c r="I2107" s="1102">
        <v>0.99090383064157272</v>
      </c>
      <c r="K2107">
        <v>1.5793483578414076</v>
      </c>
      <c r="L2107">
        <v>0</v>
      </c>
      <c r="M2107">
        <v>1.6187722433270784E-3</v>
      </c>
      <c r="N2107">
        <v>0.14059021102752961</v>
      </c>
      <c r="O2107">
        <v>0.12285798090519334</v>
      </c>
      <c r="P2107">
        <v>1.5780071136627827E-2</v>
      </c>
      <c r="Q2107">
        <v>8.746320239421192E-4</v>
      </c>
      <c r="R2107">
        <v>1.6151089249479033E-3</v>
      </c>
      <c r="S2107">
        <v>0.11782062877933984</v>
      </c>
      <c r="T2107">
        <v>0.84982364352416428</v>
      </c>
      <c r="U2107">
        <v>0</v>
      </c>
      <c r="V2107">
        <v>0.20644876351997477</v>
      </c>
      <c r="W2107">
        <v>9.3421597765390552E-2</v>
      </c>
      <c r="X2107">
        <v>2.7338698404430133E-2</v>
      </c>
      <c r="Y2107">
        <v>4.3957940731941736E-3</v>
      </c>
    </row>
    <row r="2108" spans="1:25" x14ac:dyDescent="0.25">
      <c r="A2108" s="1098"/>
      <c r="B2108" s="1457">
        <v>1858</v>
      </c>
      <c r="C2108" s="1102">
        <v>1.0106693531272202</v>
      </c>
      <c r="D2108" s="1102">
        <v>1.0218510215429175</v>
      </c>
      <c r="E2108" s="1102">
        <v>1.0046324395793911</v>
      </c>
      <c r="F2108" s="1102">
        <v>1.0190771546600939</v>
      </c>
      <c r="G2108" s="1102">
        <v>1.0323771369843082</v>
      </c>
      <c r="H2108" s="1102">
        <v>1.0159744564724458</v>
      </c>
      <c r="I2108" s="1102">
        <v>1.0194580474710706</v>
      </c>
      <c r="K2108">
        <v>1.5753908002291908</v>
      </c>
      <c r="L2108">
        <v>0</v>
      </c>
      <c r="M2108">
        <v>1.5379020441445776E-3</v>
      </c>
      <c r="N2108">
        <v>0.14351090198050245</v>
      </c>
      <c r="O2108">
        <v>0.12118687560776209</v>
      </c>
      <c r="P2108">
        <v>1.5976430957964537E-2</v>
      </c>
      <c r="Q2108">
        <v>8.8589088270270419E-4</v>
      </c>
      <c r="R2108">
        <v>1.5344559708650575E-3</v>
      </c>
      <c r="S2108">
        <v>0.12046101398186336</v>
      </c>
      <c r="T2108">
        <v>0.84068168428744861</v>
      </c>
      <c r="U2108">
        <v>0</v>
      </c>
      <c r="V2108">
        <v>0.20652806489922357</v>
      </c>
      <c r="W2108">
        <v>9.4018166867329736E-2</v>
      </c>
      <c r="X2108">
        <v>2.7968933518253466E-2</v>
      </c>
      <c r="Y2108">
        <v>4.1762833194198363E-3</v>
      </c>
    </row>
    <row r="2109" spans="1:25" x14ac:dyDescent="0.25">
      <c r="A2109" s="1098"/>
      <c r="B2109" s="1457">
        <v>1859</v>
      </c>
      <c r="C2109" s="1102">
        <v>1.0015444834292393</v>
      </c>
      <c r="D2109" s="1102">
        <v>1.0087870275485944</v>
      </c>
      <c r="E2109" s="1102">
        <v>0.99811380563737329</v>
      </c>
      <c r="F2109" s="1102">
        <v>1.020726613971366</v>
      </c>
      <c r="G2109" s="1102">
        <v>0.9923913213378498</v>
      </c>
      <c r="H2109" s="1102">
        <v>0.99009185506965014</v>
      </c>
      <c r="I2109" s="1102">
        <v>0.98951983468869453</v>
      </c>
      <c r="K2109">
        <v>1.5705327376327445</v>
      </c>
      <c r="L2109">
        <v>0</v>
      </c>
      <c r="M2109">
        <v>1.5434357990054999E-3</v>
      </c>
      <c r="N2109">
        <v>0.14121106531617023</v>
      </c>
      <c r="O2109">
        <v>0.12235741927996173</v>
      </c>
      <c r="P2109">
        <v>1.5866022294018827E-2</v>
      </c>
      <c r="Q2109">
        <v>8.9252680129898706E-4</v>
      </c>
      <c r="R2109">
        <v>1.5398927902674012E-3</v>
      </c>
      <c r="S2109">
        <v>0.11682601071071935</v>
      </c>
      <c r="T2109">
        <v>0.84248134166440636</v>
      </c>
      <c r="U2109">
        <v>0</v>
      </c>
      <c r="V2109">
        <v>0.20594797969597153</v>
      </c>
      <c r="W2109">
        <v>9.2870201850389397E-2</v>
      </c>
      <c r="X2109">
        <v>2.7892632478960722E-2</v>
      </c>
      <c r="Y2109">
        <v>4.1910805495859816E-3</v>
      </c>
    </row>
    <row r="2110" spans="1:25" x14ac:dyDescent="0.25">
      <c r="A2110" s="1098"/>
      <c r="B2110" s="1457">
        <v>1860</v>
      </c>
      <c r="C2110" s="1102">
        <v>0.98665548879051579</v>
      </c>
      <c r="D2110" s="1102">
        <v>1.0336842494049534</v>
      </c>
      <c r="E2110" s="1102">
        <v>1.0223857870242039</v>
      </c>
      <c r="F2110" s="1102">
        <v>1.0140827765616371</v>
      </c>
      <c r="G2110" s="1102">
        <v>1.0100773323787688</v>
      </c>
      <c r="H2110" s="1102">
        <v>0.97096566804223283</v>
      </c>
      <c r="I2110" s="1102">
        <v>0.99221754757756919</v>
      </c>
      <c r="K2110">
        <v>1.5624717127364973</v>
      </c>
      <c r="L2110">
        <v>0</v>
      </c>
      <c r="M2110">
        <v>1.4385948620416332E-3</v>
      </c>
      <c r="N2110">
        <v>0.1416173525595128</v>
      </c>
      <c r="O2110">
        <v>0.12151829415009688</v>
      </c>
      <c r="P2110">
        <v>1.6052749529198336E-2</v>
      </c>
      <c r="Q2110">
        <v>9.1994198747586819E-4</v>
      </c>
      <c r="R2110">
        <v>1.4352084370222995E-3</v>
      </c>
      <c r="S2110">
        <v>0.11562130121381575</v>
      </c>
      <c r="T2110">
        <v>0.83538098372030167</v>
      </c>
      <c r="U2110">
        <v>0</v>
      </c>
      <c r="V2110">
        <v>0.20698326019780475</v>
      </c>
      <c r="W2110">
        <v>9.1814093111970932E-2</v>
      </c>
      <c r="X2110">
        <v>2.8660958442098199E-2</v>
      </c>
      <c r="Y2110">
        <v>3.9061642492405875E-3</v>
      </c>
    </row>
    <row r="2111" spans="1:25" x14ac:dyDescent="0.25">
      <c r="A2111" s="1098"/>
      <c r="B2111" s="1457">
        <v>1861</v>
      </c>
      <c r="C2111" s="1102">
        <v>1.0010626715909332</v>
      </c>
      <c r="D2111" s="1102">
        <v>1.0184590903997235</v>
      </c>
      <c r="E2111" s="1102">
        <v>0.96580208177127136</v>
      </c>
      <c r="F2111" s="1102">
        <v>0.98352504199598967</v>
      </c>
      <c r="G2111" s="1102">
        <v>0.9965530359850292</v>
      </c>
      <c r="H2111" s="1102">
        <v>0.96568465492327615</v>
      </c>
      <c r="I2111" s="1102">
        <v>0.98157886375649206</v>
      </c>
      <c r="K2111">
        <v>1.5179286757056465</v>
      </c>
      <c r="L2111">
        <v>0</v>
      </c>
      <c r="M2111">
        <v>1.5970101706470081E-3</v>
      </c>
      <c r="N2111">
        <v>0.13249688044425206</v>
      </c>
      <c r="O2111">
        <v>0.11946124854485923</v>
      </c>
      <c r="P2111">
        <v>1.5025851528403108E-2</v>
      </c>
      <c r="Q2111">
        <v>8.5996777821805771E-4</v>
      </c>
      <c r="R2111">
        <v>1.593234890432483E-3</v>
      </c>
      <c r="S2111">
        <v>0.11313627020510077</v>
      </c>
      <c r="T2111">
        <v>0.8138925149395666</v>
      </c>
      <c r="U2111">
        <v>0</v>
      </c>
      <c r="V2111">
        <v>0.2039137920540714</v>
      </c>
      <c r="W2111">
        <v>8.8853348460470868E-2</v>
      </c>
      <c r="X2111">
        <v>2.5956316868902467E-2</v>
      </c>
      <c r="Y2111">
        <v>4.3362601620167418E-3</v>
      </c>
    </row>
    <row r="2112" spans="1:25" x14ac:dyDescent="0.25">
      <c r="A2112" s="1098"/>
      <c r="B2112" s="1457">
        <v>1862</v>
      </c>
      <c r="C2112" s="1102">
        <v>1.0194862457083644</v>
      </c>
      <c r="D2112" s="1102">
        <v>1.036438382539308</v>
      </c>
      <c r="E2112" s="1102">
        <v>0.99079332264152797</v>
      </c>
      <c r="F2112" s="1102">
        <v>1.0339737823929358</v>
      </c>
      <c r="G2112" s="1102">
        <v>0.96220934076350528</v>
      </c>
      <c r="H2112" s="1102">
        <v>0.99883873429828485</v>
      </c>
      <c r="I2112" s="1102">
        <v>0.97778815701984612</v>
      </c>
      <c r="K2112">
        <v>1.5664157936337884</v>
      </c>
      <c r="L2112">
        <v>0</v>
      </c>
      <c r="M2112">
        <v>1.5325773024452048E-3</v>
      </c>
      <c r="N2112">
        <v>0.13715124835598655</v>
      </c>
      <c r="O2112">
        <v>0.12117215304695836</v>
      </c>
      <c r="P2112">
        <v>1.5833145108355172E-2</v>
      </c>
      <c r="Q2112">
        <v>8.608084411655826E-4</v>
      </c>
      <c r="R2112">
        <v>1.5290814545716278E-3</v>
      </c>
      <c r="S2112">
        <v>0.11238615502702191</v>
      </c>
      <c r="T2112">
        <v>0.85391624032210656</v>
      </c>
      <c r="U2112">
        <v>0</v>
      </c>
      <c r="V2112">
        <v>0.20295296987437722</v>
      </c>
      <c r="W2112">
        <v>9.0595222201316397E-2</v>
      </c>
      <c r="X2112">
        <v>2.7389691446594918E-2</v>
      </c>
      <c r="Y2112">
        <v>4.1616556577779426E-3</v>
      </c>
    </row>
    <row r="2113" spans="1:25" x14ac:dyDescent="0.25">
      <c r="A2113" s="1098"/>
      <c r="B2113" s="1457">
        <v>1863</v>
      </c>
      <c r="C2113" s="1102">
        <v>0.97934321300139371</v>
      </c>
      <c r="D2113" s="1102">
        <v>1.0285890682397738</v>
      </c>
      <c r="E2113" s="1102">
        <v>0.96849005814474753</v>
      </c>
      <c r="F2113" s="1102">
        <v>0.9929957320961007</v>
      </c>
      <c r="G2113" s="1102">
        <v>0.99700014842856166</v>
      </c>
      <c r="H2113" s="1102">
        <v>1.0155894068209486</v>
      </c>
      <c r="I2113" s="1102">
        <v>0.99897666797776807</v>
      </c>
      <c r="K2113">
        <v>1.5533119202907149</v>
      </c>
      <c r="L2113">
        <v>0</v>
      </c>
      <c r="M2113">
        <v>1.6963052197593045E-3</v>
      </c>
      <c r="N2113">
        <v>0.14190101631602689</v>
      </c>
      <c r="O2113">
        <v>0.12080428359272777</v>
      </c>
      <c r="P2113">
        <v>1.5290069219960255E-2</v>
      </c>
      <c r="Q2113">
        <v>8.7805356028528784E-4</v>
      </c>
      <c r="R2113">
        <v>1.6924827211777997E-3</v>
      </c>
      <c r="S2113">
        <v>0.1209027636543363</v>
      </c>
      <c r="T2113">
        <v>0.82155072720642319</v>
      </c>
      <c r="U2113">
        <v>0</v>
      </c>
      <c r="V2113">
        <v>0.20599237845298188</v>
      </c>
      <c r="W2113">
        <v>9.50039224861325E-2</v>
      </c>
      <c r="X2113">
        <v>2.6386148260152308E-2</v>
      </c>
      <c r="Y2113">
        <v>4.6063800402668803E-3</v>
      </c>
    </row>
    <row r="2114" spans="1:25" x14ac:dyDescent="0.25">
      <c r="A2114" s="1098"/>
      <c r="B2114" s="1457">
        <v>1864</v>
      </c>
      <c r="C2114" s="1102">
        <v>0.9955768561732663</v>
      </c>
      <c r="D2114" s="1102">
        <v>0.99813820280639554</v>
      </c>
      <c r="E2114" s="1102">
        <v>0.97933649529554656</v>
      </c>
      <c r="F2114" s="1102">
        <v>1.011089747692421</v>
      </c>
      <c r="G2114" s="1102">
        <v>0.97758471194133223</v>
      </c>
      <c r="H2114" s="1102">
        <v>0.99729845759065139</v>
      </c>
      <c r="I2114" s="1102">
        <v>1.0044956228113515</v>
      </c>
      <c r="K2114">
        <v>1.5676697902031351</v>
      </c>
      <c r="L2114">
        <v>0</v>
      </c>
      <c r="M2114">
        <v>1.6339477623234385E-3</v>
      </c>
      <c r="N2114">
        <v>0.14124337837007747</v>
      </c>
      <c r="O2114">
        <v>0.12252112190164065</v>
      </c>
      <c r="P2114">
        <v>1.5597627212098666E-2</v>
      </c>
      <c r="Q2114">
        <v>8.8420740559155505E-4</v>
      </c>
      <c r="R2114">
        <v>1.6302264419483469E-3</v>
      </c>
      <c r="S2114">
        <v>0.12051404837619427</v>
      </c>
      <c r="T2114">
        <v>0.83578754480030149</v>
      </c>
      <c r="U2114">
        <v>0</v>
      </c>
      <c r="V2114">
        <v>0.20557623462814084</v>
      </c>
      <c r="W2114">
        <v>9.3943343644815144E-2</v>
      </c>
      <c r="X2114">
        <v>2.7169066213669907E-2</v>
      </c>
      <c r="Y2114">
        <v>4.4369389709812421E-3</v>
      </c>
    </row>
    <row r="2115" spans="1:25" x14ac:dyDescent="0.25">
      <c r="A2115" s="1098"/>
      <c r="B2115" s="1457">
        <v>1865</v>
      </c>
      <c r="C2115" s="1102">
        <v>1.0186590065205026</v>
      </c>
      <c r="D2115" s="1102">
        <v>1.0320092340390465</v>
      </c>
      <c r="E2115" s="1102">
        <v>0.98700950295074907</v>
      </c>
      <c r="F2115" s="1102">
        <v>0.97963197107730327</v>
      </c>
      <c r="G2115" s="1102">
        <v>1.0164806683880336</v>
      </c>
      <c r="H2115" s="1102">
        <v>1.0283577846488166</v>
      </c>
      <c r="I2115" s="1102">
        <v>0.98676301211579931</v>
      </c>
      <c r="K2115">
        <v>1.5260812274949174</v>
      </c>
      <c r="L2115">
        <v>0</v>
      </c>
      <c r="M2115">
        <v>1.5892046657009868E-3</v>
      </c>
      <c r="N2115">
        <v>0.14060922829520453</v>
      </c>
      <c r="O2115">
        <v>0.11769028310283983</v>
      </c>
      <c r="P2115">
        <v>1.5228798064757517E-2</v>
      </c>
      <c r="Q2115">
        <v>8.5958559243319826E-4</v>
      </c>
      <c r="R2115">
        <v>1.585672412668705E-3</v>
      </c>
      <c r="S2115">
        <v>0.11572350568655292</v>
      </c>
      <c r="T2115">
        <v>0.80928360874328409</v>
      </c>
      <c r="U2115">
        <v>0</v>
      </c>
      <c r="V2115">
        <v>0.2028159323087414</v>
      </c>
      <c r="W2115">
        <v>9.3090345601024208E-2</v>
      </c>
      <c r="X2115">
        <v>2.6467794762596791E-2</v>
      </c>
      <c r="Y2115">
        <v>4.3156775905138622E-3</v>
      </c>
    </row>
    <row r="2116" spans="1:25" x14ac:dyDescent="0.25">
      <c r="A2116" s="1098"/>
      <c r="B2116" s="1457">
        <v>1866</v>
      </c>
      <c r="C2116" s="1102">
        <v>0.96773956835132668</v>
      </c>
      <c r="D2116" s="1102">
        <v>0.97368002566983702</v>
      </c>
      <c r="E2116" s="1102">
        <v>0.98066763996018591</v>
      </c>
      <c r="F2116" s="1102">
        <v>1.0234951964572443</v>
      </c>
      <c r="G2116" s="1102">
        <v>1.0146349763088414</v>
      </c>
      <c r="H2116" s="1102">
        <v>1.019557603919258</v>
      </c>
      <c r="I2116" s="1102">
        <v>1.0245251076532915</v>
      </c>
      <c r="K2116">
        <v>1.6135656479420426</v>
      </c>
      <c r="L2116">
        <v>0</v>
      </c>
      <c r="M2116">
        <v>1.7359480453919701E-3</v>
      </c>
      <c r="N2116">
        <v>0.15067469191064528</v>
      </c>
      <c r="O2116">
        <v>0.12599837633675223</v>
      </c>
      <c r="P2116">
        <v>1.5953719436511936E-2</v>
      </c>
      <c r="Q2116">
        <v>9.1999619694769976E-4</v>
      </c>
      <c r="R2116">
        <v>1.7320921280451706E-3</v>
      </c>
      <c r="S2116">
        <v>0.13013678006581594</v>
      </c>
      <c r="T2116">
        <v>0.84595132525864436</v>
      </c>
      <c r="U2116">
        <v>0</v>
      </c>
      <c r="V2116">
        <v>0.21110374195808984</v>
      </c>
      <c r="W2116">
        <v>0.10013574974849158</v>
      </c>
      <c r="X2116">
        <v>2.7980939158964817E-2</v>
      </c>
      <c r="Y2116">
        <v>4.7141837885223995E-3</v>
      </c>
    </row>
    <row r="2117" spans="1:25" x14ac:dyDescent="0.25">
      <c r="A2117" s="1098"/>
      <c r="B2117" s="1457">
        <v>1867</v>
      </c>
      <c r="C2117" s="1102">
        <v>0.99730502936442333</v>
      </c>
      <c r="D2117" s="1102">
        <v>0.98155912354081853</v>
      </c>
      <c r="E2117" s="1102">
        <v>0.96741637144501158</v>
      </c>
      <c r="F2117" s="1102">
        <v>1.0168472103565767</v>
      </c>
      <c r="G2117" s="1102">
        <v>0.99598225222081738</v>
      </c>
      <c r="H2117" s="1102">
        <v>1.0437856441741491</v>
      </c>
      <c r="I2117" s="1102">
        <v>1.012909519458856</v>
      </c>
      <c r="K2117">
        <v>1.5927229241690497</v>
      </c>
      <c r="L2117">
        <v>0</v>
      </c>
      <c r="M2117">
        <v>1.767388179736375E-3</v>
      </c>
      <c r="N2117">
        <v>0.14737987802978231</v>
      </c>
      <c r="O2117">
        <v>0.12361485998274625</v>
      </c>
      <c r="P2117">
        <v>1.562723893755388E-2</v>
      </c>
      <c r="Q2117">
        <v>8.7753869010729084E-4</v>
      </c>
      <c r="R2117">
        <v>1.7635551097468149E-3</v>
      </c>
      <c r="S2117">
        <v>0.12633929692215556</v>
      </c>
      <c r="T2117">
        <v>0.84135734571342002</v>
      </c>
      <c r="U2117">
        <v>0</v>
      </c>
      <c r="V2117">
        <v>0.20704419534372553</v>
      </c>
      <c r="W2117">
        <v>9.8736672857197172E-2</v>
      </c>
      <c r="X2117">
        <v>2.6949915109404976E-2</v>
      </c>
      <c r="Y2117">
        <v>4.7998156529451448E-3</v>
      </c>
    </row>
    <row r="2118" spans="1:25" x14ac:dyDescent="0.25">
      <c r="A2118" s="1098"/>
      <c r="B2118" s="1457">
        <v>1868</v>
      </c>
      <c r="C2118" s="1102">
        <v>1.0191699538569405</v>
      </c>
      <c r="D2118" s="1102">
        <v>0.99964867842555882</v>
      </c>
      <c r="E2118" s="1102">
        <v>0.99685885149274389</v>
      </c>
      <c r="F2118" s="1102">
        <v>0.98090454817158634</v>
      </c>
      <c r="G2118" s="1102">
        <v>0.96518602603716597</v>
      </c>
      <c r="H2118" s="1102">
        <v>0.99701057960782147</v>
      </c>
      <c r="I2118" s="1102">
        <v>0.97070847835969531</v>
      </c>
      <c r="K2118">
        <v>1.523546868694875</v>
      </c>
      <c r="L2118">
        <v>0</v>
      </c>
      <c r="M2118">
        <v>1.5365725336906931E-3</v>
      </c>
      <c r="N2118">
        <v>0.14005319435447527</v>
      </c>
      <c r="O2118">
        <v>0.11909437659204293</v>
      </c>
      <c r="P2118">
        <v>1.530080471297514E-2</v>
      </c>
      <c r="Q2118">
        <v>8.7914376065905992E-4</v>
      </c>
      <c r="R2118">
        <v>1.5330689960484454E-3</v>
      </c>
      <c r="S2118">
        <v>0.11362704964463113</v>
      </c>
      <c r="T2118">
        <v>0.80969460133986615</v>
      </c>
      <c r="U2118">
        <v>0</v>
      </c>
      <c r="V2118">
        <v>0.2014738867501249</v>
      </c>
      <c r="W2118">
        <v>9.2177569422689842E-2</v>
      </c>
      <c r="X2118">
        <v>2.7077237223866436E-2</v>
      </c>
      <c r="Y2118">
        <v>4.1725084311851441E-3</v>
      </c>
    </row>
    <row r="2119" spans="1:25" x14ac:dyDescent="0.25">
      <c r="A2119" s="1098"/>
      <c r="B2119" s="1457">
        <v>1869</v>
      </c>
      <c r="C2119" s="1102">
        <v>1.0092534679561063</v>
      </c>
      <c r="D2119" s="1102">
        <v>0.99669357682549886</v>
      </c>
      <c r="E2119" s="1102">
        <v>1.0108256191067075</v>
      </c>
      <c r="F2119" s="1102">
        <v>1.0107226634008304</v>
      </c>
      <c r="G2119" s="1102">
        <v>0.99380869776656433</v>
      </c>
      <c r="H2119" s="1102">
        <v>1.0082926484535979</v>
      </c>
      <c r="I2119" s="1102">
        <v>0.99466760306970481</v>
      </c>
      <c r="K2119">
        <v>1.568759401505627</v>
      </c>
      <c r="L2119">
        <v>0</v>
      </c>
      <c r="M2119">
        <v>1.5293432766626462E-3</v>
      </c>
      <c r="N2119">
        <v>0.14540476602020239</v>
      </c>
      <c r="O2119">
        <v>0.12176661017630463</v>
      </c>
      <c r="P2119">
        <v>1.5909236605163499E-2</v>
      </c>
      <c r="Q2119">
        <v>9.0177181738027099E-4</v>
      </c>
      <c r="R2119">
        <v>1.5259023304822546E-3</v>
      </c>
      <c r="S2119">
        <v>0.11881695763411199</v>
      </c>
      <c r="T2119">
        <v>0.83337803798192311</v>
      </c>
      <c r="U2119">
        <v>0</v>
      </c>
      <c r="V2119">
        <v>0.20523718862269477</v>
      </c>
      <c r="W2119">
        <v>9.4911022810654597E-2</v>
      </c>
      <c r="X2119">
        <v>2.8284247653365378E-2</v>
      </c>
      <c r="Y2119">
        <v>4.1530031300046422E-3</v>
      </c>
    </row>
    <row r="2120" spans="1:25" x14ac:dyDescent="0.25">
      <c r="A2120" s="1098"/>
      <c r="B2120" s="1457">
        <v>1870</v>
      </c>
      <c r="C2120" s="1102">
        <v>0.97290788139188789</v>
      </c>
      <c r="D2120" s="1102">
        <v>1.0024859709808196</v>
      </c>
      <c r="E2120" s="1102">
        <v>1.0090738720051842</v>
      </c>
      <c r="F2120" s="1102">
        <v>0.98251997371685618</v>
      </c>
      <c r="G2120" s="1102">
        <v>1.0141440752058308</v>
      </c>
      <c r="H2120" s="1102">
        <v>1.0260504082420996</v>
      </c>
      <c r="I2120" s="1102">
        <v>0.98712904837600735</v>
      </c>
      <c r="K2120">
        <v>1.5625979270766504</v>
      </c>
      <c r="L2120">
        <v>0</v>
      </c>
      <c r="M2120">
        <v>1.607110674720556E-3</v>
      </c>
      <c r="N2120">
        <v>0.15199663086861137</v>
      </c>
      <c r="O2120">
        <v>0.12141093608108121</v>
      </c>
      <c r="P2120">
        <v>1.5660217440109942E-2</v>
      </c>
      <c r="Q2120">
        <v>9.3160952411431935E-4</v>
      </c>
      <c r="R2120">
        <v>1.6035364631949095E-3</v>
      </c>
      <c r="S2120">
        <v>0.1229217062681625</v>
      </c>
      <c r="T2120">
        <v>0.81023694765104537</v>
      </c>
      <c r="U2120">
        <v>0</v>
      </c>
      <c r="V2120">
        <v>0.20762230458609482</v>
      </c>
      <c r="W2120">
        <v>9.9316315944834491E-2</v>
      </c>
      <c r="X2120">
        <v>2.8140535276959106E-2</v>
      </c>
      <c r="Y2120">
        <v>4.3642976471635177E-3</v>
      </c>
    </row>
    <row r="2121" spans="1:25" x14ac:dyDescent="0.25">
      <c r="A2121" s="1098"/>
      <c r="B2121" s="1457">
        <v>1871</v>
      </c>
      <c r="C2121" s="1102">
        <v>1.0331397387000387</v>
      </c>
      <c r="D2121" s="1102">
        <v>0.97350055335658103</v>
      </c>
      <c r="E2121" s="1102">
        <v>1.0218755141614513</v>
      </c>
      <c r="F2121" s="1102">
        <v>1.0172796828606436</v>
      </c>
      <c r="G2121" s="1102">
        <v>0.98786781616975949</v>
      </c>
      <c r="H2121" s="1102">
        <v>1.0005450686954098</v>
      </c>
      <c r="I2121" s="1102">
        <v>0.97254735445776308</v>
      </c>
      <c r="K2121">
        <v>1.5670004042513155</v>
      </c>
      <c r="L2121">
        <v>0</v>
      </c>
      <c r="M2121">
        <v>1.4715757269265928E-3</v>
      </c>
      <c r="N2121">
        <v>0.14465581733793514</v>
      </c>
      <c r="O2121">
        <v>0.12202892640041241</v>
      </c>
      <c r="P2121">
        <v>1.6030699045609994E-2</v>
      </c>
      <c r="Q2121">
        <v>8.9941579322183477E-4</v>
      </c>
      <c r="R2121">
        <v>1.4682596098648838E-3</v>
      </c>
      <c r="S2121">
        <v>0.11469727575702968</v>
      </c>
      <c r="T2121">
        <v>0.83804842685505043</v>
      </c>
      <c r="U2121">
        <v>0</v>
      </c>
      <c r="V2121">
        <v>0.20408489396306542</v>
      </c>
      <c r="W2121">
        <v>9.3811961561923715E-2</v>
      </c>
      <c r="X2121">
        <v>2.8750185007726151E-2</v>
      </c>
      <c r="Y2121">
        <v>3.9961186464019015E-3</v>
      </c>
    </row>
    <row r="2122" spans="1:25" x14ac:dyDescent="0.25">
      <c r="A2122" s="1098"/>
      <c r="B2122" s="1457">
        <v>1872</v>
      </c>
      <c r="C2122" s="1102">
        <v>0.99925868601375545</v>
      </c>
      <c r="D2122" s="1102">
        <v>0.99615930916779238</v>
      </c>
      <c r="E2122" s="1102">
        <v>1.0108526067238488</v>
      </c>
      <c r="F2122" s="1102">
        <v>0.98703076675768131</v>
      </c>
      <c r="G2122" s="1102">
        <v>0.98957038303326761</v>
      </c>
      <c r="H2122" s="1102">
        <v>0.98050126023934125</v>
      </c>
      <c r="I2122" s="1102">
        <v>0.97377503463947768</v>
      </c>
      <c r="K2122">
        <v>1.5383143234901626</v>
      </c>
      <c r="L2122">
        <v>0</v>
      </c>
      <c r="M2122">
        <v>1.4986088942916802E-3</v>
      </c>
      <c r="N2122">
        <v>0.14248433155694926</v>
      </c>
      <c r="O2122">
        <v>0.12063316651365509</v>
      </c>
      <c r="P2122">
        <v>1.5583113873568789E-2</v>
      </c>
      <c r="Q2122">
        <v>9.1101222209767369E-4</v>
      </c>
      <c r="R2122">
        <v>1.4951329805516929E-3</v>
      </c>
      <c r="S2122">
        <v>0.11517339660689317</v>
      </c>
      <c r="T2122">
        <v>0.81384144803421665</v>
      </c>
      <c r="U2122">
        <v>0</v>
      </c>
      <c r="V2122">
        <v>0.20466600179022709</v>
      </c>
      <c r="W2122">
        <v>9.3003269060089669E-2</v>
      </c>
      <c r="X2122">
        <v>2.7952800643595902E-2</v>
      </c>
      <c r="Y2122">
        <v>4.0692591026071307E-3</v>
      </c>
    </row>
    <row r="2123" spans="1:25" x14ac:dyDescent="0.25">
      <c r="A2123" s="1098"/>
      <c r="B2123" s="1457">
        <v>1873</v>
      </c>
      <c r="C2123" s="1102">
        <v>0.98079219375164972</v>
      </c>
      <c r="D2123" s="1102">
        <v>0.95994067713228848</v>
      </c>
      <c r="E2123" s="1102">
        <v>0.98708331711177788</v>
      </c>
      <c r="F2123" s="1102">
        <v>0.98195362529454411</v>
      </c>
      <c r="G2123" s="1102">
        <v>1.000530063719073</v>
      </c>
      <c r="H2123" s="1102">
        <v>0.96900861741595568</v>
      </c>
      <c r="I2123" s="1102">
        <v>0.98959126056427493</v>
      </c>
      <c r="K2123">
        <v>1.5482208845923893</v>
      </c>
      <c r="L2123">
        <v>0</v>
      </c>
      <c r="M2123">
        <v>1.6156685595129327E-3</v>
      </c>
      <c r="N2123">
        <v>0.14296621946159499</v>
      </c>
      <c r="O2123">
        <v>0.12292679065043802</v>
      </c>
      <c r="P2123">
        <v>1.5387883529981612E-2</v>
      </c>
      <c r="Q2123">
        <v>9.1907319330233428E-4</v>
      </c>
      <c r="R2123">
        <v>1.6118927250224754E-3</v>
      </c>
      <c r="S2123">
        <v>0.12077681215009778</v>
      </c>
      <c r="T2123">
        <v>0.81119673498470657</v>
      </c>
      <c r="U2123">
        <v>0</v>
      </c>
      <c r="V2123">
        <v>0.20755941403748407</v>
      </c>
      <c r="W2123">
        <v>9.4646596623262136E-2</v>
      </c>
      <c r="X2123">
        <v>2.7458095158794917E-2</v>
      </c>
      <c r="Y2123">
        <v>4.3870406372171801E-3</v>
      </c>
    </row>
    <row r="2124" spans="1:25" x14ac:dyDescent="0.25">
      <c r="A2124" s="1098"/>
      <c r="B2124" s="1457">
        <v>1874</v>
      </c>
      <c r="C2124" s="1102">
        <v>0.97333189903479755</v>
      </c>
      <c r="D2124" s="1102">
        <v>0.95862199772982437</v>
      </c>
      <c r="E2124" s="1102">
        <v>1.0317932164918968</v>
      </c>
      <c r="F2124" s="1102">
        <v>1.0422416712876326</v>
      </c>
      <c r="G2124" s="1102">
        <v>1.0264879749158511</v>
      </c>
      <c r="H2124" s="1102">
        <v>1.0153377697623214</v>
      </c>
      <c r="I2124" s="1102">
        <v>0.98364178696204874</v>
      </c>
      <c r="K2124">
        <v>1.6362020803504698</v>
      </c>
      <c r="L2124">
        <v>0</v>
      </c>
      <c r="M2124">
        <v>1.5623422003797698E-3</v>
      </c>
      <c r="N2124">
        <v>0.15824542819541215</v>
      </c>
      <c r="O2124">
        <v>0.12758655972227295</v>
      </c>
      <c r="P2124">
        <v>1.6693053227285429E-2</v>
      </c>
      <c r="Q2124">
        <v>9.7036857528343611E-4</v>
      </c>
      <c r="R2124">
        <v>1.5588729754241601E-3</v>
      </c>
      <c r="S2124">
        <v>0.12529925692294688</v>
      </c>
      <c r="T2124">
        <v>0.85793904188176418</v>
      </c>
      <c r="U2124">
        <v>0</v>
      </c>
      <c r="V2124">
        <v>0.21270241156111655</v>
      </c>
      <c r="W2124">
        <v>0.10203449759661179</v>
      </c>
      <c r="X2124">
        <v>3.0492193535965908E-2</v>
      </c>
      <c r="Y2124">
        <v>4.2427383567663225E-3</v>
      </c>
    </row>
    <row r="2125" spans="1:25" x14ac:dyDescent="0.25">
      <c r="A2125" s="1098"/>
      <c r="B2125" s="1457">
        <v>1875</v>
      </c>
      <c r="C2125" s="1102">
        <v>0.97839442523334186</v>
      </c>
      <c r="D2125" s="1102">
        <v>1.03559320450588</v>
      </c>
      <c r="E2125" s="1102">
        <v>0.99148979332051512</v>
      </c>
      <c r="F2125" s="1102">
        <v>1.007120423690455</v>
      </c>
      <c r="G2125" s="1102">
        <v>1.0146235389592233</v>
      </c>
      <c r="H2125" s="1102">
        <v>0.98290055903292062</v>
      </c>
      <c r="I2125" s="1102">
        <v>0.98839680516985129</v>
      </c>
      <c r="K2125">
        <v>1.5582910939255832</v>
      </c>
      <c r="L2125">
        <v>0</v>
      </c>
      <c r="M2125">
        <v>1.5625197804175106E-3</v>
      </c>
      <c r="N2125">
        <v>0.14011885777088642</v>
      </c>
      <c r="O2125">
        <v>0.12147651261709035</v>
      </c>
      <c r="P2125">
        <v>1.5661303033169028E-2</v>
      </c>
      <c r="Q2125">
        <v>8.9790569903399839E-4</v>
      </c>
      <c r="R2125">
        <v>1.5588811739234779E-3</v>
      </c>
      <c r="S2125">
        <v>0.11681478913605575</v>
      </c>
      <c r="T2125">
        <v>0.83169265564077843</v>
      </c>
      <c r="U2125">
        <v>0</v>
      </c>
      <c r="V2125">
        <v>0.20743764631999198</v>
      </c>
      <c r="W2125">
        <v>9.2516901973976426E-2</v>
      </c>
      <c r="X2125">
        <v>2.743539967071601E-2</v>
      </c>
      <c r="Y2125">
        <v>4.2427606703788322E-3</v>
      </c>
    </row>
    <row r="2126" spans="1:25" x14ac:dyDescent="0.25">
      <c r="A2126" s="1098"/>
      <c r="B2126" s="1457">
        <v>1876</v>
      </c>
      <c r="C2126" s="1102">
        <v>0.99609203875040464</v>
      </c>
      <c r="D2126" s="1102">
        <v>0.9997063327312482</v>
      </c>
      <c r="E2126" s="1102">
        <v>1.0305220282757555</v>
      </c>
      <c r="F2126" s="1102">
        <v>0.95779214325859763</v>
      </c>
      <c r="G2126" s="1102">
        <v>1.0060179768852331</v>
      </c>
      <c r="H2126" s="1102">
        <v>0.98901676361645585</v>
      </c>
      <c r="I2126" s="1102">
        <v>0.98484262395727096</v>
      </c>
      <c r="K2126">
        <v>1.5173175299569781</v>
      </c>
      <c r="L2126">
        <v>0</v>
      </c>
      <c r="M2126">
        <v>1.4489504007815313E-3</v>
      </c>
      <c r="N2126">
        <v>0.14618636985630173</v>
      </c>
      <c r="O2126">
        <v>0.11851104258229708</v>
      </c>
      <c r="P2126">
        <v>1.5474902859824821E-2</v>
      </c>
      <c r="Q2126">
        <v>9.312047539333135E-4</v>
      </c>
      <c r="R2126">
        <v>1.4456080308263427E-3</v>
      </c>
      <c r="S2126">
        <v>0.11710983210277587</v>
      </c>
      <c r="T2126">
        <v>0.78850211821321869</v>
      </c>
      <c r="U2126">
        <v>0</v>
      </c>
      <c r="V2126">
        <v>0.20407312423857568</v>
      </c>
      <c r="W2126">
        <v>9.4328496564835232E-2</v>
      </c>
      <c r="X2126">
        <v>2.8269312639818096E-2</v>
      </c>
      <c r="Y2126">
        <v>3.934468515350017E-3</v>
      </c>
    </row>
    <row r="2127" spans="1:25" x14ac:dyDescent="0.25">
      <c r="A2127" s="1098"/>
      <c r="B2127" s="1457">
        <v>1877</v>
      </c>
      <c r="C2127" s="1102">
        <v>0.98437910954979868</v>
      </c>
      <c r="D2127" s="1102">
        <v>0.95381714506771986</v>
      </c>
      <c r="E2127" s="1102">
        <v>0.98600828990056633</v>
      </c>
      <c r="F2127" s="1102">
        <v>0.97764880320485181</v>
      </c>
      <c r="G2127" s="1102">
        <v>0.98929600508169013</v>
      </c>
      <c r="H2127" s="1102">
        <v>1.0014229836974184</v>
      </c>
      <c r="I2127" s="1102">
        <v>0.97208776650794826</v>
      </c>
      <c r="K2127">
        <v>1.5518982873695855</v>
      </c>
      <c r="L2127">
        <v>0</v>
      </c>
      <c r="M2127">
        <v>1.6732322045179384E-3</v>
      </c>
      <c r="N2127">
        <v>0.14759081159728624</v>
      </c>
      <c r="O2127">
        <v>0.12271167581052878</v>
      </c>
      <c r="P2127">
        <v>1.532319718066895E-2</v>
      </c>
      <c r="Q2127">
        <v>9.1704124511568703E-4</v>
      </c>
      <c r="R2127">
        <v>1.6694520837178142E-3</v>
      </c>
      <c r="S2127">
        <v>0.12124976897540352</v>
      </c>
      <c r="T2127">
        <v>0.80771033741787057</v>
      </c>
      <c r="U2127">
        <v>0</v>
      </c>
      <c r="V2127">
        <v>0.20670382754448663</v>
      </c>
      <c r="W2127">
        <v>9.7771289678197953E-2</v>
      </c>
      <c r="X2127">
        <v>2.7380419803678193E-2</v>
      </c>
      <c r="Y2127">
        <v>4.5436982371483995E-3</v>
      </c>
    </row>
    <row r="2128" spans="1:25" x14ac:dyDescent="0.25">
      <c r="A2128" s="1098"/>
      <c r="B2128" s="1457">
        <v>1878</v>
      </c>
      <c r="C2128" s="1102">
        <v>0.99763472734752345</v>
      </c>
      <c r="D2128" s="1102">
        <v>1.010254319624152</v>
      </c>
      <c r="E2128" s="1102">
        <v>0.9901344094352369</v>
      </c>
      <c r="F2128" s="1102">
        <v>1.005342890056613</v>
      </c>
      <c r="G2128" s="1102">
        <v>0.98185884444997862</v>
      </c>
      <c r="H2128" s="1102">
        <v>0.97235400828439222</v>
      </c>
      <c r="I2128" s="1102">
        <v>1.0186571834366669</v>
      </c>
      <c r="K2128">
        <v>1.5528006045410698</v>
      </c>
      <c r="L2128">
        <v>0</v>
      </c>
      <c r="M2128">
        <v>1.5436313922163616E-3</v>
      </c>
      <c r="N2128">
        <v>0.13785723930856439</v>
      </c>
      <c r="O2128">
        <v>0.12144743981079623</v>
      </c>
      <c r="P2128">
        <v>1.5623663846744384E-2</v>
      </c>
      <c r="Q2128">
        <v>8.8810278234312289E-4</v>
      </c>
      <c r="R2128">
        <v>1.5400172923307059E-3</v>
      </c>
      <c r="S2128">
        <v>0.11907633564315198</v>
      </c>
      <c r="T2128">
        <v>0.83031510279633225</v>
      </c>
      <c r="U2128">
        <v>0</v>
      </c>
      <c r="V2128">
        <v>0.20495202633638196</v>
      </c>
      <c r="W2128">
        <v>9.1097502897671309E-2</v>
      </c>
      <c r="X2128">
        <v>2.7355385815807459E-2</v>
      </c>
      <c r="Y2128">
        <v>4.1914194031602032E-3</v>
      </c>
    </row>
    <row r="2129" spans="1:25" x14ac:dyDescent="0.25">
      <c r="A2129" s="1098"/>
      <c r="B2129" s="1457">
        <v>1879</v>
      </c>
      <c r="C2129" s="1102">
        <v>1.0060714701518136</v>
      </c>
      <c r="D2129" s="1102">
        <v>0.99668380106043308</v>
      </c>
      <c r="E2129" s="1102">
        <v>0.99177789279926332</v>
      </c>
      <c r="F2129" s="1102">
        <v>1.0218482721380897</v>
      </c>
      <c r="G2129" s="1102">
        <v>0.97189875860181729</v>
      </c>
      <c r="H2129" s="1102">
        <v>0.96203384261262426</v>
      </c>
      <c r="I2129" s="1102">
        <v>1.0236283075540189</v>
      </c>
      <c r="K2129">
        <v>1.5661671218267454</v>
      </c>
      <c r="L2129">
        <v>0</v>
      </c>
      <c r="M2129">
        <v>1.5237221173366755E-3</v>
      </c>
      <c r="N2129">
        <v>0.1367548936585056</v>
      </c>
      <c r="O2129">
        <v>0.12276131708489124</v>
      </c>
      <c r="P2129">
        <v>1.5825609323718074E-2</v>
      </c>
      <c r="Q2129">
        <v>8.869494852007363E-4</v>
      </c>
      <c r="R2129">
        <v>1.5201311310670208E-3</v>
      </c>
      <c r="S2129">
        <v>0.11892970611489859</v>
      </c>
      <c r="T2129">
        <v>0.84383558362240363</v>
      </c>
      <c r="U2129">
        <v>0</v>
      </c>
      <c r="V2129">
        <v>0.20505742345970032</v>
      </c>
      <c r="W2129">
        <v>9.0280199816012249E-2</v>
      </c>
      <c r="X2129">
        <v>2.7701734420011E-2</v>
      </c>
      <c r="Y2129">
        <v>4.1372958276717506E-3</v>
      </c>
    </row>
    <row r="2130" spans="1:25" x14ac:dyDescent="0.25">
      <c r="A2130" s="1098"/>
      <c r="B2130" s="1457">
        <v>1880</v>
      </c>
      <c r="C2130" s="1102">
        <v>1.017013370589203</v>
      </c>
      <c r="D2130" s="1102">
        <v>0.98480321564356865</v>
      </c>
      <c r="E2130" s="1102">
        <v>0.98791036452706105</v>
      </c>
      <c r="F2130" s="1102">
        <v>1.022916730039773</v>
      </c>
      <c r="G2130" s="1102">
        <v>1.0193094339929856</v>
      </c>
      <c r="H2130" s="1102">
        <v>0.9831406832239572</v>
      </c>
      <c r="I2130" s="1102">
        <v>0.97842318248768045</v>
      </c>
      <c r="K2130">
        <v>1.5685598394097482</v>
      </c>
      <c r="L2130">
        <v>0</v>
      </c>
      <c r="M2130">
        <v>1.5647548804977093E-3</v>
      </c>
      <c r="N2130">
        <v>0.13881294601924835</v>
      </c>
      <c r="O2130">
        <v>0.12281840242710762</v>
      </c>
      <c r="P2130">
        <v>1.5763343606972964E-2</v>
      </c>
      <c r="Q2130">
        <v>8.7807842617429357E-4</v>
      </c>
      <c r="R2130">
        <v>1.5611567437431289E-3</v>
      </c>
      <c r="S2130">
        <v>0.11495018513719926</v>
      </c>
      <c r="T2130">
        <v>0.84498036850834712</v>
      </c>
      <c r="U2130">
        <v>0</v>
      </c>
      <c r="V2130">
        <v>0.20669522848693023</v>
      </c>
      <c r="W2130">
        <v>9.185143413644363E-2</v>
      </c>
      <c r="X2130">
        <v>2.7564496776790147E-2</v>
      </c>
      <c r="Y2130">
        <v>4.2489540212865334E-3</v>
      </c>
    </row>
    <row r="2131" spans="1:25" x14ac:dyDescent="0.25">
      <c r="A2131" s="1098"/>
      <c r="B2131" s="1457">
        <v>1881</v>
      </c>
      <c r="C2131" s="1102">
        <v>0.99769843883882769</v>
      </c>
      <c r="D2131" s="1102">
        <v>1.0443758602579476</v>
      </c>
      <c r="E2131" s="1102">
        <v>1.0443651582176645</v>
      </c>
      <c r="F2131" s="1102">
        <v>1.0343743258856248</v>
      </c>
      <c r="G2131" s="1102">
        <v>0.9647624698745646</v>
      </c>
      <c r="H2131" s="1102">
        <v>1.0080223996372109</v>
      </c>
      <c r="I2131" s="1102">
        <v>1.0087918228544044</v>
      </c>
      <c r="K2131">
        <v>1.5893789144075268</v>
      </c>
      <c r="L2131">
        <v>0</v>
      </c>
      <c r="M2131">
        <v>1.4056682823307758E-3</v>
      </c>
      <c r="N2131">
        <v>0.14786571573750396</v>
      </c>
      <c r="O2131">
        <v>0.12181949398272146</v>
      </c>
      <c r="P2131">
        <v>1.6536677728650046E-2</v>
      </c>
      <c r="Q2131">
        <v>9.2653624524428391E-4</v>
      </c>
      <c r="R2131">
        <v>1.4024824750866721E-3</v>
      </c>
      <c r="S2131">
        <v>0.11865284059722392</v>
      </c>
      <c r="T2131">
        <v>0.8506204528572805</v>
      </c>
      <c r="U2131">
        <v>0</v>
      </c>
      <c r="V2131">
        <v>0.20476964960211205</v>
      </c>
      <c r="W2131">
        <v>9.4652914310099173E-2</v>
      </c>
      <c r="X2131">
        <v>2.9720724184970838E-2</v>
      </c>
      <c r="Y2131">
        <v>3.817094968962262E-3</v>
      </c>
    </row>
    <row r="2132" spans="1:25" x14ac:dyDescent="0.25">
      <c r="A2132" s="1098"/>
      <c r="B2132" s="1457">
        <v>1882</v>
      </c>
      <c r="C2132" s="1102">
        <v>0.99591546851669854</v>
      </c>
      <c r="D2132" s="1102">
        <v>1.0072804387807204</v>
      </c>
      <c r="E2132" s="1102">
        <v>1.0143337979493872</v>
      </c>
      <c r="F2132" s="1102">
        <v>1.017449852325329</v>
      </c>
      <c r="G2132" s="1102">
        <v>0.97433619635686464</v>
      </c>
      <c r="H2132" s="1102">
        <v>0.97093373090024682</v>
      </c>
      <c r="I2132" s="1102">
        <v>1.0364745626592544</v>
      </c>
      <c r="K2132">
        <v>1.5713070832629354</v>
      </c>
      <c r="L2132">
        <v>0</v>
      </c>
      <c r="M2132">
        <v>1.4720238962150376E-3</v>
      </c>
      <c r="N2132">
        <v>0.14143190480157039</v>
      </c>
      <c r="O2132">
        <v>0.12244387294055749</v>
      </c>
      <c r="P2132">
        <v>1.6065618317743838E-2</v>
      </c>
      <c r="Q2132">
        <v>9.1328864763087119E-4</v>
      </c>
      <c r="R2132">
        <v>1.4685767979925595E-3</v>
      </c>
      <c r="S2132">
        <v>0.12157527045440533</v>
      </c>
      <c r="T2132">
        <v>0.83869067308651124</v>
      </c>
      <c r="U2132">
        <v>0</v>
      </c>
      <c r="V2132">
        <v>0.20551889974483059</v>
      </c>
      <c r="W2132">
        <v>9.2127397978253228E-2</v>
      </c>
      <c r="X2132">
        <v>2.8546622461731255E-2</v>
      </c>
      <c r="Y2132">
        <v>3.9969819279243972E-3</v>
      </c>
    </row>
    <row r="2133" spans="1:25" x14ac:dyDescent="0.25">
      <c r="A2133" s="1098"/>
      <c r="B2133" s="1457">
        <v>1883</v>
      </c>
      <c r="C2133" s="1102">
        <v>0.97052828987340345</v>
      </c>
      <c r="D2133" s="1102">
        <v>1.0224439115180326</v>
      </c>
      <c r="E2133" s="1102">
        <v>1.0215055524985992</v>
      </c>
      <c r="F2133" s="1102">
        <v>0.97925400726526013</v>
      </c>
      <c r="G2133" s="1102">
        <v>1.0043159599418954</v>
      </c>
      <c r="H2133" s="1102">
        <v>1.0287845715940938</v>
      </c>
      <c r="I2133" s="1102">
        <v>0.96193686450426563</v>
      </c>
      <c r="K2133">
        <v>1.553871052499864</v>
      </c>
      <c r="L2133">
        <v>0</v>
      </c>
      <c r="M2133">
        <v>1.5560696619263807E-3</v>
      </c>
      <c r="N2133">
        <v>0.15279513553830737</v>
      </c>
      <c r="O2133">
        <v>0.12040608515417238</v>
      </c>
      <c r="P2133">
        <v>1.5686404230106598E-2</v>
      </c>
      <c r="Q2133">
        <v>9.3848078063032069E-4</v>
      </c>
      <c r="R2133">
        <v>1.5526055350148008E-3</v>
      </c>
      <c r="S2133">
        <v>0.11888120850374991</v>
      </c>
      <c r="T2133">
        <v>0.80674603559802338</v>
      </c>
      <c r="U2133">
        <v>0</v>
      </c>
      <c r="V2133">
        <v>0.20664984531806788</v>
      </c>
      <c r="W2133">
        <v>9.9111880993520182E-2</v>
      </c>
      <c r="X2133">
        <v>2.843376006016311E-2</v>
      </c>
      <c r="Y2133">
        <v>4.2256804500332232E-3</v>
      </c>
    </row>
    <row r="2134" spans="1:25" x14ac:dyDescent="0.25">
      <c r="A2134" s="1098"/>
      <c r="B2134" s="1457">
        <v>1884</v>
      </c>
      <c r="C2134" s="1102">
        <v>0.99115754188269301</v>
      </c>
      <c r="D2134" s="1102">
        <v>1.0218492261275185</v>
      </c>
      <c r="E2134" s="1102">
        <v>0.97537701258033838</v>
      </c>
      <c r="F2134" s="1102">
        <v>1.0393778633350044</v>
      </c>
      <c r="G2134" s="1102">
        <v>1.0435721282106858</v>
      </c>
      <c r="H2134" s="1102">
        <v>0.98001925646089549</v>
      </c>
      <c r="I2134" s="1102">
        <v>0.99878869105260693</v>
      </c>
      <c r="K2134">
        <v>1.5874736812567896</v>
      </c>
      <c r="L2134">
        <v>0</v>
      </c>
      <c r="M2134">
        <v>1.6072991810524553E-3</v>
      </c>
      <c r="N2134">
        <v>0.13727866971321687</v>
      </c>
      <c r="O2134">
        <v>0.12367669091109074</v>
      </c>
      <c r="P2134">
        <v>1.5880911361829331E-2</v>
      </c>
      <c r="Q2134">
        <v>8.7619993695694305E-4</v>
      </c>
      <c r="R2134">
        <v>1.6035657775741751E-3</v>
      </c>
      <c r="S2134">
        <v>0.11744955460450279</v>
      </c>
      <c r="T2134">
        <v>0.85944576323290378</v>
      </c>
      <c r="U2134">
        <v>0</v>
      </c>
      <c r="V2134">
        <v>0.20966737958522286</v>
      </c>
      <c r="W2134">
        <v>9.1525367443668543E-2</v>
      </c>
      <c r="X2134">
        <v>2.7312500439636303E-2</v>
      </c>
      <c r="Y2134">
        <v>4.3643774312403967E-3</v>
      </c>
    </row>
    <row r="2135" spans="1:25" x14ac:dyDescent="0.25">
      <c r="A2135" s="1098"/>
      <c r="B2135" s="1457">
        <v>1885</v>
      </c>
      <c r="C2135" s="1102">
        <v>0.98203782509932513</v>
      </c>
      <c r="D2135" s="1102">
        <v>1.0306119118455035</v>
      </c>
      <c r="E2135" s="1102">
        <v>1.0027960063889199</v>
      </c>
      <c r="F2135" s="1102">
        <v>0.98979834490399732</v>
      </c>
      <c r="G2135" s="1102">
        <v>1.0032122689734717</v>
      </c>
      <c r="H2135" s="1102">
        <v>0.97452207411606495</v>
      </c>
      <c r="I2135" s="1102">
        <v>1.043807554977469</v>
      </c>
      <c r="K2135">
        <v>1.5455875823734322</v>
      </c>
      <c r="L2135">
        <v>0</v>
      </c>
      <c r="M2135">
        <v>1.5102450241696553E-3</v>
      </c>
      <c r="N2135">
        <v>0.14013527994109631</v>
      </c>
      <c r="O2135">
        <v>0.12025693914875422</v>
      </c>
      <c r="P2135">
        <v>1.5645351423595983E-2</v>
      </c>
      <c r="Q2135">
        <v>9.0688623591436278E-4</v>
      </c>
      <c r="R2135">
        <v>1.5066970726270558E-3</v>
      </c>
      <c r="S2135">
        <v>0.12250543642992136</v>
      </c>
      <c r="T2135">
        <v>0.8166480786168272</v>
      </c>
      <c r="U2135">
        <v>0</v>
      </c>
      <c r="V2135">
        <v>0.20587412019004078</v>
      </c>
      <c r="W2135">
        <v>9.190666451323691E-2</v>
      </c>
      <c r="X2135">
        <v>2.7611641076453256E-2</v>
      </c>
      <c r="Y2135">
        <v>4.1007327491343407E-3</v>
      </c>
    </row>
    <row r="2136" spans="1:25" x14ac:dyDescent="0.25">
      <c r="A2136" s="1098"/>
      <c r="B2136" s="1457">
        <v>1886</v>
      </c>
      <c r="C2136" s="1102">
        <v>1.031622793346253</v>
      </c>
      <c r="D2136" s="1102">
        <v>0.9797508585873882</v>
      </c>
      <c r="E2136" s="1102">
        <v>0.9901148320603278</v>
      </c>
      <c r="F2136" s="1102">
        <v>0.99033993303101153</v>
      </c>
      <c r="G2136" s="1102">
        <v>0.99974830185366514</v>
      </c>
      <c r="H2136" s="1102">
        <v>1.0245283835456194</v>
      </c>
      <c r="I2136" s="1102">
        <v>1.0227986747866038</v>
      </c>
      <c r="K2136">
        <v>1.5485581955781731</v>
      </c>
      <c r="L2136">
        <v>0</v>
      </c>
      <c r="M2136">
        <v>1.60261071725316E-3</v>
      </c>
      <c r="N2136">
        <v>0.14313518588142396</v>
      </c>
      <c r="O2136">
        <v>0.12003064565421474</v>
      </c>
      <c r="P2136">
        <v>1.5470502050401203E-2</v>
      </c>
      <c r="Q2136">
        <v>8.6942279663847048E-4</v>
      </c>
      <c r="R2136">
        <v>1.5990724191863603E-3</v>
      </c>
      <c r="S2136">
        <v>0.12201505710023143</v>
      </c>
      <c r="T2136">
        <v>0.81792541070491376</v>
      </c>
      <c r="U2136">
        <v>0</v>
      </c>
      <c r="V2136">
        <v>0.20309894663131817</v>
      </c>
      <c r="W2136">
        <v>9.4586334288526086E-2</v>
      </c>
      <c r="X2136">
        <v>2.7078080777627973E-2</v>
      </c>
      <c r="Y2136">
        <v>4.3521479909439595E-3</v>
      </c>
    </row>
    <row r="2137" spans="1:25" x14ac:dyDescent="0.25">
      <c r="A2137" s="1098"/>
      <c r="B2137" s="1457">
        <v>1887</v>
      </c>
      <c r="C2137" s="1102">
        <v>1.0248419080118794</v>
      </c>
      <c r="D2137" s="1102">
        <v>1.0078350943437224</v>
      </c>
      <c r="E2137" s="1102">
        <v>0.98592599878585985</v>
      </c>
      <c r="F2137" s="1102">
        <v>0.98496063391822719</v>
      </c>
      <c r="G2137" s="1102">
        <v>1.0130949646828227</v>
      </c>
      <c r="H2137" s="1102">
        <v>0.99812227647810126</v>
      </c>
      <c r="I2137" s="1102">
        <v>1.0136433056973344</v>
      </c>
      <c r="K2137">
        <v>1.5287404701637499</v>
      </c>
      <c r="L2137">
        <v>0</v>
      </c>
      <c r="M2137">
        <v>1.5587087768389118E-3</v>
      </c>
      <c r="N2137">
        <v>0.13745209299349193</v>
      </c>
      <c r="O2137">
        <v>0.11877553683962817</v>
      </c>
      <c r="P2137">
        <v>1.5305437285982706E-2</v>
      </c>
      <c r="Q2137">
        <v>8.6156353161990714E-4</v>
      </c>
      <c r="R2137">
        <v>1.5551564295289164E-3</v>
      </c>
      <c r="S2137">
        <v>0.11754470223010485</v>
      </c>
      <c r="T2137">
        <v>0.81375658654899452</v>
      </c>
      <c r="U2137">
        <v>0</v>
      </c>
      <c r="V2137">
        <v>0.20312567270403317</v>
      </c>
      <c r="W2137">
        <v>9.1059415493177337E-2</v>
      </c>
      <c r="X2137">
        <v>2.6630391740026845E-2</v>
      </c>
      <c r="Y2137">
        <v>4.2326231439984959E-3</v>
      </c>
    </row>
    <row r="2138" spans="1:25" x14ac:dyDescent="0.25">
      <c r="A2138" s="1098"/>
      <c r="B2138" s="1457">
        <v>1888</v>
      </c>
      <c r="C2138" s="1102">
        <v>0.99908737488888433</v>
      </c>
      <c r="D2138" s="1102">
        <v>1.0084595030480772</v>
      </c>
      <c r="E2138" s="1102">
        <v>1.0064874080804922</v>
      </c>
      <c r="F2138" s="1102">
        <v>0.97434530759490878</v>
      </c>
      <c r="G2138" s="1102">
        <v>0.9715196875944796</v>
      </c>
      <c r="H2138" s="1102">
        <v>1.0405993704462571</v>
      </c>
      <c r="I2138" s="1102">
        <v>0.99369303089363037</v>
      </c>
      <c r="K2138">
        <v>1.5425307037447191</v>
      </c>
      <c r="L2138">
        <v>0</v>
      </c>
      <c r="M2138">
        <v>1.5925290150225679E-3</v>
      </c>
      <c r="N2138">
        <v>0.14945059771762353</v>
      </c>
      <c r="O2138">
        <v>0.11922736628617832</v>
      </c>
      <c r="P2138">
        <v>1.5452450832309249E-2</v>
      </c>
      <c r="Q2138">
        <v>9.0263109372658193E-4</v>
      </c>
      <c r="R2138">
        <v>1.5890380196042046E-3</v>
      </c>
      <c r="S2138">
        <v>0.12131359648498695</v>
      </c>
      <c r="T2138">
        <v>0.80366142311727762</v>
      </c>
      <c r="U2138">
        <v>0</v>
      </c>
      <c r="V2138">
        <v>0.20283425442132663</v>
      </c>
      <c r="W2138">
        <v>9.780202147336578E-2</v>
      </c>
      <c r="X2138">
        <v>2.7565015650221153E-2</v>
      </c>
      <c r="Y2138">
        <v>4.3248376631202642E-3</v>
      </c>
    </row>
    <row r="2139" spans="1:25" x14ac:dyDescent="0.25">
      <c r="A2139" s="1098"/>
      <c r="B2139" s="1457">
        <v>1889</v>
      </c>
      <c r="C2139" s="1102">
        <v>1.0211000777199557</v>
      </c>
      <c r="D2139" s="1102">
        <v>1.0224838906538336</v>
      </c>
      <c r="E2139" s="1102">
        <v>0.9850752519064282</v>
      </c>
      <c r="F2139" s="1102">
        <v>1.0354702549701305</v>
      </c>
      <c r="G2139" s="1102">
        <v>1.0089319612009708</v>
      </c>
      <c r="H2139" s="1102">
        <v>1.0375396448332566</v>
      </c>
      <c r="I2139" s="1102">
        <v>1.011677850785728</v>
      </c>
      <c r="K2139">
        <v>1.588495767254454</v>
      </c>
      <c r="L2139">
        <v>0</v>
      </c>
      <c r="M2139">
        <v>1.6212334720022543E-3</v>
      </c>
      <c r="N2139">
        <v>0.14261101789436037</v>
      </c>
      <c r="O2139">
        <v>0.12181087649349392</v>
      </c>
      <c r="P2139">
        <v>1.5923528402020375E-2</v>
      </c>
      <c r="Q2139">
        <v>8.5897994916929584E-4</v>
      </c>
      <c r="R2139">
        <v>1.6176823805983968E-3</v>
      </c>
      <c r="S2139">
        <v>0.12006446938719686</v>
      </c>
      <c r="T2139">
        <v>0.85554528372012095</v>
      </c>
      <c r="U2139">
        <v>0</v>
      </c>
      <c r="V2139">
        <v>0.20539876856287853</v>
      </c>
      <c r="W2139">
        <v>9.4525440101486141E-2</v>
      </c>
      <c r="X2139">
        <v>2.7358155663996443E-2</v>
      </c>
      <c r="Y2139">
        <v>4.40279817113539E-3</v>
      </c>
    </row>
    <row r="2140" spans="1:25" x14ac:dyDescent="0.25">
      <c r="A2140" s="1098"/>
      <c r="B2140" s="1457">
        <v>1890</v>
      </c>
      <c r="C2140" s="1102">
        <v>0.98251538550126338</v>
      </c>
      <c r="D2140" s="1102">
        <v>1.009745234465431</v>
      </c>
      <c r="E2140" s="1102">
        <v>1.031501303860028</v>
      </c>
      <c r="F2140" s="1102">
        <v>1.013858182326046</v>
      </c>
      <c r="G2140" s="1102">
        <v>1.0119601409152108</v>
      </c>
      <c r="H2140" s="1102">
        <v>1.0229000560048804</v>
      </c>
      <c r="I2140" s="1102">
        <v>0.96743870052578274</v>
      </c>
      <c r="K2140">
        <v>1.5867668157919734</v>
      </c>
      <c r="L2140">
        <v>0</v>
      </c>
      <c r="M2140">
        <v>1.5127915127776722E-3</v>
      </c>
      <c r="N2140">
        <v>0.15309090111693119</v>
      </c>
      <c r="O2140">
        <v>0.12273759208793902</v>
      </c>
      <c r="P2140">
        <v>1.6209794876053698E-2</v>
      </c>
      <c r="Q2140">
        <v>9.4124633489217038E-4</v>
      </c>
      <c r="R2140">
        <v>1.5094233542188597E-3</v>
      </c>
      <c r="S2140">
        <v>0.11883053648537402</v>
      </c>
      <c r="T2140">
        <v>0.83459392262069543</v>
      </c>
      <c r="U2140">
        <v>0</v>
      </c>
      <c r="V2140">
        <v>0.20814195956098591</v>
      </c>
      <c r="W2140">
        <v>9.8727634913610293E-2</v>
      </c>
      <c r="X2140">
        <v>2.9388443165140631E-2</v>
      </c>
      <c r="Y2140">
        <v>4.108152788908746E-3</v>
      </c>
    </row>
    <row r="2141" spans="1:25" x14ac:dyDescent="0.25">
      <c r="A2141" s="1098"/>
      <c r="B2141" s="1457">
        <v>1891</v>
      </c>
      <c r="C2141" s="1102">
        <v>0.99789842319394928</v>
      </c>
      <c r="D2141" s="1102">
        <v>0.98056112438742749</v>
      </c>
      <c r="E2141" s="1102">
        <v>1.0111175447978682</v>
      </c>
      <c r="F2141" s="1102">
        <v>0.97860235078118996</v>
      </c>
      <c r="G2141" s="1102">
        <v>1.025490470242838</v>
      </c>
      <c r="H2141" s="1102">
        <v>1.0191398648254801</v>
      </c>
      <c r="I2141" s="1102">
        <v>0.99631741304100274</v>
      </c>
      <c r="K2141">
        <v>1.5522820813860518</v>
      </c>
      <c r="L2141">
        <v>0</v>
      </c>
      <c r="M2141">
        <v>1.5716731324110693E-3</v>
      </c>
      <c r="N2141">
        <v>0.14956446730449782</v>
      </c>
      <c r="O2141">
        <v>0.12079744448097464</v>
      </c>
      <c r="P2141">
        <v>1.5610648360329812E-2</v>
      </c>
      <c r="Q2141">
        <v>9.1828195608742241E-4</v>
      </c>
      <c r="R2141">
        <v>1.568172365781789E-3</v>
      </c>
      <c r="S2141">
        <v>0.12214294873302385</v>
      </c>
      <c r="T2141">
        <v>0.8068749003721627</v>
      </c>
      <c r="U2141">
        <v>0</v>
      </c>
      <c r="V2141">
        <v>0.20643474889744412</v>
      </c>
      <c r="W2141">
        <v>9.760942114568838E-2</v>
      </c>
      <c r="X2141">
        <v>2.8064672670695481E-2</v>
      </c>
      <c r="Y2141">
        <v>4.2680482317765814E-3</v>
      </c>
    </row>
    <row r="2142" spans="1:25" x14ac:dyDescent="0.25">
      <c r="A2142" s="1098"/>
      <c r="B2142" s="1457">
        <v>1892</v>
      </c>
      <c r="C2142" s="1102">
        <v>1.008604709135426</v>
      </c>
      <c r="D2142" s="1102">
        <v>1.0117450199332039</v>
      </c>
      <c r="E2142" s="1102">
        <v>1.0282869028042347</v>
      </c>
      <c r="F2142" s="1102">
        <v>0.98489049935131046</v>
      </c>
      <c r="G2142" s="1102">
        <v>0.97909803659679151</v>
      </c>
      <c r="H2142" s="1102">
        <v>1.0137976670452724</v>
      </c>
      <c r="I2142" s="1102">
        <v>0.9968334467446146</v>
      </c>
      <c r="K2142">
        <v>1.5428287282994455</v>
      </c>
      <c r="L2142">
        <v>0</v>
      </c>
      <c r="M2142">
        <v>1.4682776356284919E-3</v>
      </c>
      <c r="N2142">
        <v>0.14715018167941232</v>
      </c>
      <c r="O2142">
        <v>0.11928839278938284</v>
      </c>
      <c r="P2142">
        <v>1.5763457373782049E-2</v>
      </c>
      <c r="Q2142">
        <v>9.1317362714472632E-4</v>
      </c>
      <c r="R2142">
        <v>1.464977163307036E-3</v>
      </c>
      <c r="S2142">
        <v>0.11839497505780386</v>
      </c>
      <c r="T2142">
        <v>0.81095406092825473</v>
      </c>
      <c r="U2142">
        <v>0</v>
      </c>
      <c r="V2142">
        <v>0.20287358784055834</v>
      </c>
      <c r="W2142">
        <v>9.5073737323438046E-2</v>
      </c>
      <c r="X2142">
        <v>2.8433277243060683E-2</v>
      </c>
      <c r="Y2142">
        <v>3.9871849089296576E-3</v>
      </c>
    </row>
    <row r="2143" spans="1:25" x14ac:dyDescent="0.25">
      <c r="A2143" s="1098"/>
      <c r="B2143" s="1457">
        <v>1893</v>
      </c>
      <c r="C2143" s="1102">
        <v>0.99213942948753442</v>
      </c>
      <c r="D2143" s="1102">
        <v>1.0160244037810795</v>
      </c>
      <c r="E2143" s="1102">
        <v>1.0212411458931425</v>
      </c>
      <c r="F2143" s="1102">
        <v>1.0410227295011938</v>
      </c>
      <c r="G2143" s="1102">
        <v>0.97928018191805077</v>
      </c>
      <c r="H2143" s="1102">
        <v>1.0349319483626223</v>
      </c>
      <c r="I2143" s="1102">
        <v>1.0073850110066684</v>
      </c>
      <c r="K2143">
        <v>1.6129201847548396</v>
      </c>
      <c r="L2143">
        <v>0</v>
      </c>
      <c r="M2143">
        <v>1.5471510220560843E-3</v>
      </c>
      <c r="N2143">
        <v>0.15180271160500139</v>
      </c>
      <c r="O2143">
        <v>0.12386275730801465</v>
      </c>
      <c r="P2143">
        <v>1.6453944181832752E-2</v>
      </c>
      <c r="Q2143">
        <v>9.2010481084759082E-4</v>
      </c>
      <c r="R2143">
        <v>1.5437519341362914E-3</v>
      </c>
      <c r="S2143">
        <v>0.12324397852944199</v>
      </c>
      <c r="T2143">
        <v>0.85765139711938887</v>
      </c>
      <c r="U2143">
        <v>0</v>
      </c>
      <c r="V2143">
        <v>0.20702604422409354</v>
      </c>
      <c r="W2143">
        <v>9.8483353620706413E-2</v>
      </c>
      <c r="X2143">
        <v>2.9277708576401634E-2</v>
      </c>
      <c r="Y2143">
        <v>4.2015838670306678E-3</v>
      </c>
    </row>
    <row r="2144" spans="1:25" x14ac:dyDescent="0.25">
      <c r="A2144" s="1098"/>
      <c r="B2144" s="1457">
        <v>1894</v>
      </c>
      <c r="C2144" s="1102">
        <v>1.0073820171635883</v>
      </c>
      <c r="D2144" s="1102">
        <v>0.9841649590763476</v>
      </c>
      <c r="E2144" s="1102">
        <v>1.0371707797558862</v>
      </c>
      <c r="F2144" s="1102">
        <v>0.98995922223680877</v>
      </c>
      <c r="G2144" s="1102">
        <v>1.002835055306893</v>
      </c>
      <c r="H2144" s="1102">
        <v>1.0010990178826524</v>
      </c>
      <c r="I2144" s="1102">
        <v>0.98985647467485738</v>
      </c>
      <c r="K2144">
        <v>1.5540863113634982</v>
      </c>
      <c r="L2144">
        <v>0</v>
      </c>
      <c r="M2144">
        <v>1.4479207239110781E-3</v>
      </c>
      <c r="N2144">
        <v>0.14904533454739816</v>
      </c>
      <c r="O2144">
        <v>0.12088844332261564</v>
      </c>
      <c r="P2144">
        <v>1.5952115079004382E-2</v>
      </c>
      <c r="Q2144">
        <v>9.3285215201527154E-4</v>
      </c>
      <c r="R2144">
        <v>1.4446408191382434E-3</v>
      </c>
      <c r="S2144">
        <v>0.11870790548981811</v>
      </c>
      <c r="T2144">
        <v>0.81455635264020354</v>
      </c>
      <c r="U2144">
        <v>0</v>
      </c>
      <c r="V2144">
        <v>0.20514974984833445</v>
      </c>
      <c r="W2144">
        <v>9.5803931376559542E-2</v>
      </c>
      <c r="X2144">
        <v>2.9121070728345692E-2</v>
      </c>
      <c r="Y2144">
        <v>3.9318360839762584E-3</v>
      </c>
    </row>
    <row r="2145" spans="1:25" x14ac:dyDescent="0.25">
      <c r="A2145" s="1098"/>
      <c r="B2145" s="1457">
        <v>1895</v>
      </c>
      <c r="C2145" s="1102">
        <v>1.0109272465221539</v>
      </c>
      <c r="D2145" s="1102">
        <v>1.0047630551541515</v>
      </c>
      <c r="E2145" s="1102">
        <v>0.99085800706584526</v>
      </c>
      <c r="F2145" s="1102">
        <v>1.017969612434007</v>
      </c>
      <c r="G2145" s="1102">
        <v>0.99904120867245472</v>
      </c>
      <c r="H2145" s="1102">
        <v>0.98540070473488495</v>
      </c>
      <c r="I2145" s="1102">
        <v>1.028094985689497</v>
      </c>
      <c r="K2145">
        <v>1.5668280986879679</v>
      </c>
      <c r="L2145">
        <v>0</v>
      </c>
      <c r="M2145">
        <v>1.5491530677643726E-3</v>
      </c>
      <c r="N2145">
        <v>0.13865856552052896</v>
      </c>
      <c r="O2145">
        <v>0.12188224551002518</v>
      </c>
      <c r="P2145">
        <v>1.5794181891724501E-2</v>
      </c>
      <c r="Q2145">
        <v>8.7900063155213698E-4</v>
      </c>
      <c r="R2145">
        <v>1.5455840579808014E-3</v>
      </c>
      <c r="S2145">
        <v>0.12018639421669278</v>
      </c>
      <c r="T2145">
        <v>0.84069469105978012</v>
      </c>
      <c r="U2145">
        <v>0</v>
      </c>
      <c r="V2145">
        <v>0.20542752494522001</v>
      </c>
      <c r="W2145">
        <v>9.1587333418765529E-2</v>
      </c>
      <c r="X2145">
        <v>2.751516019928411E-2</v>
      </c>
      <c r="Y2145">
        <v>4.2065703041759593E-3</v>
      </c>
    </row>
    <row r="2146" spans="1:25" x14ac:dyDescent="0.25">
      <c r="A2146" s="1098"/>
      <c r="B2146" s="1457">
        <v>1896</v>
      </c>
      <c r="C2146" s="1102">
        <v>1.0042673755425511</v>
      </c>
      <c r="D2146" s="1102">
        <v>1.006515085722439</v>
      </c>
      <c r="E2146" s="1102">
        <v>0.97777104371728152</v>
      </c>
      <c r="F2146" s="1102">
        <v>0.97258572599590976</v>
      </c>
      <c r="G2146" s="1102">
        <v>1.0168386286346309</v>
      </c>
      <c r="H2146" s="1102">
        <v>0.98868631126330042</v>
      </c>
      <c r="I2146" s="1102">
        <v>0.97728980575165936</v>
      </c>
      <c r="K2146">
        <v>1.5180672470991345</v>
      </c>
      <c r="L2146">
        <v>0</v>
      </c>
      <c r="M2146">
        <v>1.5996762790328745E-3</v>
      </c>
      <c r="N2146">
        <v>0.13762343681387598</v>
      </c>
      <c r="O2146">
        <v>0.11900361543766548</v>
      </c>
      <c r="P2146">
        <v>1.5060941728142336E-2</v>
      </c>
      <c r="Q2146">
        <v>8.7219728060500962E-4</v>
      </c>
      <c r="R2146">
        <v>1.5959875551439528E-3</v>
      </c>
      <c r="S2146">
        <v>0.11481484068612244</v>
      </c>
      <c r="T2146">
        <v>0.8040608924323478</v>
      </c>
      <c r="U2146">
        <v>0</v>
      </c>
      <c r="V2146">
        <v>0.20435811743605339</v>
      </c>
      <c r="W2146">
        <v>9.1622324624044349E-2</v>
      </c>
      <c r="X2146">
        <v>2.6310817376220631E-2</v>
      </c>
      <c r="Y2146">
        <v>4.3437520079456825E-3</v>
      </c>
    </row>
    <row r="2147" spans="1:25" x14ac:dyDescent="0.25">
      <c r="A2147" s="1098"/>
      <c r="B2147" s="1457">
        <v>1897</v>
      </c>
      <c r="C2147" s="1102">
        <v>0.96653513492848209</v>
      </c>
      <c r="D2147" s="1102">
        <v>1.0103726471840726</v>
      </c>
      <c r="E2147" s="1102">
        <v>1.0296338277393537</v>
      </c>
      <c r="F2147" s="1102">
        <v>0.99891836580577742</v>
      </c>
      <c r="G2147" s="1102">
        <v>1.0158154766605885</v>
      </c>
      <c r="H2147" s="1102">
        <v>1.0038500598850144</v>
      </c>
      <c r="I2147" s="1102">
        <v>1.0329677649009288</v>
      </c>
      <c r="K2147">
        <v>1.5816285211211076</v>
      </c>
      <c r="L2147">
        <v>0</v>
      </c>
      <c r="M2147">
        <v>1.5109669610763907E-3</v>
      </c>
      <c r="N2147">
        <v>0.15204062090105455</v>
      </c>
      <c r="O2147">
        <v>0.1225136303672351</v>
      </c>
      <c r="P2147">
        <v>1.6144774266401273E-2</v>
      </c>
      <c r="Q2147">
        <v>9.5475017469893498E-4</v>
      </c>
      <c r="R2147">
        <v>1.5075306181696257E-3</v>
      </c>
      <c r="S2147">
        <v>0.1271224615818608</v>
      </c>
      <c r="T2147">
        <v>0.82241697750971654</v>
      </c>
      <c r="U2147">
        <v>0</v>
      </c>
      <c r="V2147">
        <v>0.20892763267367861</v>
      </c>
      <c r="W2147">
        <v>9.8156613121017727E-2</v>
      </c>
      <c r="X2147">
        <v>2.9251495483026059E-2</v>
      </c>
      <c r="Y2147">
        <v>4.103001385323002E-3</v>
      </c>
    </row>
    <row r="2148" spans="1:25" x14ac:dyDescent="0.25">
      <c r="A2148" s="1098"/>
      <c r="B2148" s="1457">
        <v>1898</v>
      </c>
      <c r="C2148" s="1102">
        <v>1.0270875171063851</v>
      </c>
      <c r="D2148" s="1102">
        <v>0.98313821114571132</v>
      </c>
      <c r="E2148" s="1102">
        <v>0.97396503484569708</v>
      </c>
      <c r="F2148" s="1102">
        <v>0.9844166632127429</v>
      </c>
      <c r="G2148" s="1102">
        <v>0.96101342774906184</v>
      </c>
      <c r="H2148" s="1102">
        <v>0.99963160871874523</v>
      </c>
      <c r="I2148" s="1102">
        <v>1.0230803979925109</v>
      </c>
      <c r="K2148">
        <v>1.5317765624613342</v>
      </c>
      <c r="L2148">
        <v>0</v>
      </c>
      <c r="M2148">
        <v>1.6194690089040044E-3</v>
      </c>
      <c r="N2148">
        <v>0.13773605150774479</v>
      </c>
      <c r="O2148">
        <v>0.11973215377146096</v>
      </c>
      <c r="P2148">
        <v>1.5182895505622287E-2</v>
      </c>
      <c r="Q2148">
        <v>8.5743834888859843E-4</v>
      </c>
      <c r="R2148">
        <v>1.6157994321410098E-3</v>
      </c>
      <c r="S2148">
        <v>0.12025340643839928</v>
      </c>
      <c r="T2148">
        <v>0.81409207572954101</v>
      </c>
      <c r="U2148">
        <v>0</v>
      </c>
      <c r="V2148">
        <v>0.20127743499922557</v>
      </c>
      <c r="W2148">
        <v>9.1908967888956306E-2</v>
      </c>
      <c r="X2148">
        <v>2.6342134442107579E-2</v>
      </c>
      <c r="Y2148">
        <v>4.3976734061481762E-3</v>
      </c>
    </row>
    <row r="2149" spans="1:25" x14ac:dyDescent="0.25">
      <c r="A2149" s="1098"/>
      <c r="B2149" s="1457">
        <v>1899</v>
      </c>
      <c r="C2149" s="1102">
        <v>1.0153844486431316</v>
      </c>
      <c r="D2149" s="1102">
        <v>0.97363636095764827</v>
      </c>
      <c r="E2149" s="1102">
        <v>1.0416441257527005</v>
      </c>
      <c r="F2149" s="1102">
        <v>0.96749663715484835</v>
      </c>
      <c r="G2149" s="1102">
        <v>0.98994441255970189</v>
      </c>
      <c r="H2149" s="1102">
        <v>0.97384071500655678</v>
      </c>
      <c r="I2149" s="1102">
        <v>0.99744459857332823</v>
      </c>
      <c r="K2149">
        <v>1.5228349200443891</v>
      </c>
      <c r="L2149">
        <v>0</v>
      </c>
      <c r="M2149">
        <v>1.3911656091076044E-3</v>
      </c>
      <c r="N2149">
        <v>0.14513692964234479</v>
      </c>
      <c r="O2149">
        <v>0.11934334793671601</v>
      </c>
      <c r="P2149">
        <v>1.568924720824446E-2</v>
      </c>
      <c r="Q2149">
        <v>9.3372197552443628E-4</v>
      </c>
      <c r="R2149">
        <v>1.387927887679531E-3</v>
      </c>
      <c r="S2149">
        <v>0.11719785482957132</v>
      </c>
      <c r="T2149">
        <v>0.79579353815545006</v>
      </c>
      <c r="U2149">
        <v>0</v>
      </c>
      <c r="V2149">
        <v>0.20305480940380793</v>
      </c>
      <c r="W2149">
        <v>9.3051513701127853E-2</v>
      </c>
      <c r="X2149">
        <v>2.8859712733072876E-2</v>
      </c>
      <c r="Y2149">
        <v>3.777482179958473E-3</v>
      </c>
    </row>
    <row r="2150" spans="1:25" x14ac:dyDescent="0.25">
      <c r="A2150" s="1098"/>
      <c r="B2150" s="1457">
        <v>1900</v>
      </c>
      <c r="C2150" s="1102">
        <v>0.96764019304088877</v>
      </c>
      <c r="D2150" s="1102">
        <v>1.0255392404000745</v>
      </c>
      <c r="E2150" s="1102">
        <v>1.0135338462320447</v>
      </c>
      <c r="F2150" s="1102">
        <v>1.0104680648007502</v>
      </c>
      <c r="G2150" s="1102">
        <v>1.0093882369183598</v>
      </c>
      <c r="H2150" s="1102">
        <v>1.0395687424458393</v>
      </c>
      <c r="I2150" s="1102">
        <v>0.97806662885686735</v>
      </c>
      <c r="K2150">
        <v>1.5903065114609456</v>
      </c>
      <c r="L2150">
        <v>0</v>
      </c>
      <c r="M2150">
        <v>1.6042133666824103E-3</v>
      </c>
      <c r="N2150">
        <v>0.15378291329363791</v>
      </c>
      <c r="O2150">
        <v>0.12265123929911104</v>
      </c>
      <c r="P2150">
        <v>1.6027184593550795E-2</v>
      </c>
      <c r="Q2150">
        <v>9.3247745972649691E-4</v>
      </c>
      <c r="R2150">
        <v>1.6006850815645922E-3</v>
      </c>
      <c r="S2150">
        <v>0.12203013046408767</v>
      </c>
      <c r="T2150">
        <v>0.83298853623845925</v>
      </c>
      <c r="U2150">
        <v>0</v>
      </c>
      <c r="V2150">
        <v>0.20865923059536892</v>
      </c>
      <c r="W2150">
        <v>0.10021984509746398</v>
      </c>
      <c r="X2150">
        <v>2.8661945578332095E-2</v>
      </c>
      <c r="Y2150">
        <v>4.3565371263234957E-3</v>
      </c>
    </row>
    <row r="2151" spans="1:25" x14ac:dyDescent="0.25">
      <c r="A2151" s="1098"/>
      <c r="B2151" s="1457">
        <v>1901</v>
      </c>
      <c r="C2151" s="1102">
        <v>0.98872484457678078</v>
      </c>
      <c r="D2151" s="1102">
        <v>1.0274454436666733</v>
      </c>
      <c r="E2151" s="1102">
        <v>1.0055709770184513</v>
      </c>
      <c r="F2151" s="1102">
        <v>1.0008721105219125</v>
      </c>
      <c r="G2151" s="1102">
        <v>1.0388181569742845</v>
      </c>
      <c r="H2151" s="1102">
        <v>1.0088569678020536</v>
      </c>
      <c r="I2151" s="1102">
        <v>0.96041540999399044</v>
      </c>
      <c r="K2151">
        <v>1.5573508931139339</v>
      </c>
      <c r="L2151">
        <v>0</v>
      </c>
      <c r="M2151">
        <v>1.5486952088979522E-3</v>
      </c>
      <c r="N2151">
        <v>0.14492474639370806</v>
      </c>
      <c r="O2151">
        <v>0.12080753558866741</v>
      </c>
      <c r="P2151">
        <v>1.5718774376796509E-2</v>
      </c>
      <c r="Q2151">
        <v>9.0445479114022013E-4</v>
      </c>
      <c r="R2151">
        <v>1.545187177070202E-3</v>
      </c>
      <c r="S2151">
        <v>0.11486597957868282</v>
      </c>
      <c r="T2151">
        <v>0.82560168464221872</v>
      </c>
      <c r="U2151">
        <v>0</v>
      </c>
      <c r="V2151">
        <v>0.20756992358602533</v>
      </c>
      <c r="W2151">
        <v>9.489168345524443E-2</v>
      </c>
      <c r="X2151">
        <v>2.7864128608108187E-2</v>
      </c>
      <c r="Y2151">
        <v>4.2054901251690662E-3</v>
      </c>
    </row>
    <row r="2152" spans="1:25" x14ac:dyDescent="0.25">
      <c r="A2152" s="1098"/>
      <c r="B2152" s="1457">
        <v>1902</v>
      </c>
      <c r="C2152" s="1102">
        <v>1.0125496785087358</v>
      </c>
      <c r="D2152" s="1102">
        <v>0.99127937263316124</v>
      </c>
      <c r="E2152" s="1102">
        <v>1.0091108803381843</v>
      </c>
      <c r="F2152" s="1102">
        <v>1.015597195181321</v>
      </c>
      <c r="G2152" s="1102">
        <v>1.0091369026061987</v>
      </c>
      <c r="H2152" s="1102">
        <v>1.0198644928582501</v>
      </c>
      <c r="I2152" s="1102">
        <v>1.0435674333620719</v>
      </c>
      <c r="K2152">
        <v>1.5838351074733457</v>
      </c>
      <c r="L2152">
        <v>0</v>
      </c>
      <c r="M2152">
        <v>1.5530910067962592E-3</v>
      </c>
      <c r="N2152">
        <v>0.14690442930396205</v>
      </c>
      <c r="O2152">
        <v>0.12218540649145768</v>
      </c>
      <c r="P2152">
        <v>1.6051173196192831E-2</v>
      </c>
      <c r="Q2152">
        <v>8.9920513587653554E-4</v>
      </c>
      <c r="R2152">
        <v>1.5496415148115606E-3</v>
      </c>
      <c r="S2152">
        <v>0.12565633541625584</v>
      </c>
      <c r="T2152">
        <v>0.8375116705212643</v>
      </c>
      <c r="U2152">
        <v>0</v>
      </c>
      <c r="V2152">
        <v>0.206068098017297</v>
      </c>
      <c r="W2152">
        <v>9.5986917670909153E-2</v>
      </c>
      <c r="X2152">
        <v>2.8357707847985018E-2</v>
      </c>
      <c r="Y2152">
        <v>4.2176133641290015E-3</v>
      </c>
    </row>
    <row r="2153" spans="1:25" x14ac:dyDescent="0.25">
      <c r="A2153" s="1098"/>
      <c r="B2153" s="1457">
        <v>1903</v>
      </c>
      <c r="C2153" s="1102">
        <v>0.99270895371948686</v>
      </c>
      <c r="D2153" s="1102">
        <v>0.99063804960741275</v>
      </c>
      <c r="E2153" s="1102">
        <v>0.99785769243711941</v>
      </c>
      <c r="F2153" s="1102">
        <v>1.0039164940467105</v>
      </c>
      <c r="G2153" s="1102">
        <v>1.0370130213125304</v>
      </c>
      <c r="H2153" s="1102">
        <v>1.0221644348365582</v>
      </c>
      <c r="I2153" s="1102">
        <v>1.0219769343818768</v>
      </c>
      <c r="K2153">
        <v>1.5799028197663207</v>
      </c>
      <c r="L2153">
        <v>0</v>
      </c>
      <c r="M2153">
        <v>1.6220160840203198E-3</v>
      </c>
      <c r="N2153">
        <v>0.14829675960191649</v>
      </c>
      <c r="O2153">
        <v>0.12244515768406036</v>
      </c>
      <c r="P2153">
        <v>1.5826274013957246E-2</v>
      </c>
      <c r="Q2153">
        <v>9.0679249659376645E-4</v>
      </c>
      <c r="R2153">
        <v>1.6184135758781396E-3</v>
      </c>
      <c r="S2153">
        <v>0.12553433564749863</v>
      </c>
      <c r="T2153">
        <v>0.82862369356451326</v>
      </c>
      <c r="U2153">
        <v>0</v>
      </c>
      <c r="V2153">
        <v>0.20838744336175494</v>
      </c>
      <c r="W2153">
        <v>9.7545117209837939E-2</v>
      </c>
      <c r="X2153">
        <v>2.7936060450680082E-2</v>
      </c>
      <c r="Y2153">
        <v>4.4047882436483912E-3</v>
      </c>
    </row>
    <row r="2154" spans="1:25" x14ac:dyDescent="0.25">
      <c r="A2154" s="1098"/>
      <c r="B2154" s="1457">
        <v>1904</v>
      </c>
      <c r="C2154" s="1102">
        <v>0.96963921709469503</v>
      </c>
      <c r="D2154" s="1102">
        <v>1.0191092963092947</v>
      </c>
      <c r="E2154" s="1102">
        <v>1.0043043007225541</v>
      </c>
      <c r="F2154" s="1102">
        <v>1.0211132903490048</v>
      </c>
      <c r="G2154" s="1102">
        <v>1.0229192930123532</v>
      </c>
      <c r="H2154" s="1102">
        <v>0.99815452685796335</v>
      </c>
      <c r="I2154" s="1102">
        <v>1.0238645383866889</v>
      </c>
      <c r="K2154">
        <v>1.5929919558707077</v>
      </c>
      <c r="L2154">
        <v>0</v>
      </c>
      <c r="M2154">
        <v>1.5739408426253946E-3</v>
      </c>
      <c r="N2154">
        <v>0.14672174256821902</v>
      </c>
      <c r="O2154">
        <v>0.12359282860625921</v>
      </c>
      <c r="P2154">
        <v>1.6097365203576415E-2</v>
      </c>
      <c r="Q2154">
        <v>9.2405640532377457E-4</v>
      </c>
      <c r="R2154">
        <v>1.5703426370485001E-3</v>
      </c>
      <c r="S2154">
        <v>0.12459282056455845</v>
      </c>
      <c r="T2154">
        <v>0.84238345318476371</v>
      </c>
      <c r="U2154">
        <v>0</v>
      </c>
      <c r="V2154">
        <v>0.20981441197955267</v>
      </c>
      <c r="W2154">
        <v>9.6140364171256529E-2</v>
      </c>
      <c r="X2154">
        <v>2.8454556398039663E-2</v>
      </c>
      <c r="Y2154">
        <v>4.2739549947348396E-3</v>
      </c>
    </row>
    <row r="2155" spans="1:25" x14ac:dyDescent="0.25">
      <c r="A2155" s="1098"/>
      <c r="B2155" s="1457">
        <v>1905</v>
      </c>
      <c r="C2155" s="1102">
        <v>1.0111307245888799</v>
      </c>
      <c r="D2155" s="1102">
        <v>1.0180631381183851</v>
      </c>
      <c r="E2155" s="1102">
        <v>0.96569635019715072</v>
      </c>
      <c r="F2155" s="1102">
        <v>1.0174923911136868</v>
      </c>
      <c r="G2155" s="1102">
        <v>1.0198040163919542</v>
      </c>
      <c r="H2155" s="1102">
        <v>0.98841407363267031</v>
      </c>
      <c r="I2155" s="1102">
        <v>1.0170446818927457</v>
      </c>
      <c r="K2155">
        <v>1.5596128546638712</v>
      </c>
      <c r="L2155">
        <v>0</v>
      </c>
      <c r="M2155">
        <v>1.6242928310832478E-3</v>
      </c>
      <c r="N2155">
        <v>0.13472562394275545</v>
      </c>
      <c r="O2155">
        <v>0.12133099899278041</v>
      </c>
      <c r="P2155">
        <v>1.5490622467111565E-2</v>
      </c>
      <c r="Q2155">
        <v>8.5144225669671661E-4</v>
      </c>
      <c r="R2155">
        <v>1.6205537452529935E-3</v>
      </c>
      <c r="S2155">
        <v>0.11812762395855439</v>
      </c>
      <c r="T2155">
        <v>0.84200859918613002</v>
      </c>
      <c r="U2155">
        <v>0</v>
      </c>
      <c r="V2155">
        <v>0.20588641018712267</v>
      </c>
      <c r="W2155">
        <v>9.0353793576612135E-2</v>
      </c>
      <c r="X2155">
        <v>2.6430866102755895E-2</v>
      </c>
      <c r="Y2155">
        <v>4.4106130791801007E-3</v>
      </c>
    </row>
    <row r="2156" spans="1:25" x14ac:dyDescent="0.25">
      <c r="A2156" s="1098"/>
      <c r="B2156" s="1457">
        <v>1906</v>
      </c>
      <c r="C2156" s="1102">
        <v>0.99832509872268216</v>
      </c>
      <c r="D2156" s="1102">
        <v>0.99867172447979935</v>
      </c>
      <c r="E2156" s="1102">
        <v>1.0141663322446093</v>
      </c>
      <c r="F2156" s="1102">
        <v>1.0302512482653403</v>
      </c>
      <c r="G2156" s="1102">
        <v>0.98411365899625025</v>
      </c>
      <c r="H2156" s="1102">
        <v>0.98678412835143747</v>
      </c>
      <c r="I2156" s="1102">
        <v>0.99623685821699959</v>
      </c>
      <c r="K2156">
        <v>1.5862232900230784</v>
      </c>
      <c r="L2156">
        <v>0</v>
      </c>
      <c r="M2156">
        <v>1.5019313598259398E-3</v>
      </c>
      <c r="N2156">
        <v>0.14423878250527397</v>
      </c>
      <c r="O2156">
        <v>0.12359257974003028</v>
      </c>
      <c r="P2156">
        <v>1.6182924136698026E-2</v>
      </c>
      <c r="Q2156">
        <v>9.1406013600958008E-4</v>
      </c>
      <c r="R2156">
        <v>1.4984795536708085E-3</v>
      </c>
      <c r="S2156">
        <v>0.11851693184388463</v>
      </c>
      <c r="T2156">
        <v>0.84925425890446093</v>
      </c>
      <c r="U2156">
        <v>0</v>
      </c>
      <c r="V2156">
        <v>0.20667580166150959</v>
      </c>
      <c r="W2156">
        <v>9.3965019058637717E-2</v>
      </c>
      <c r="X2156">
        <v>2.8808016471289947E-2</v>
      </c>
      <c r="Y2156">
        <v>4.0783673714398323E-3</v>
      </c>
    </row>
    <row r="2157" spans="1:25" x14ac:dyDescent="0.25">
      <c r="A2157" s="1098"/>
      <c r="B2157" s="1457">
        <v>1907</v>
      </c>
      <c r="C2157" s="1102">
        <v>1.0055907171453591</v>
      </c>
      <c r="D2157" s="1102">
        <v>0.97094199045066321</v>
      </c>
      <c r="E2157" s="1102">
        <v>0.97442647267628102</v>
      </c>
      <c r="F2157" s="1102">
        <v>1.0012734347624548</v>
      </c>
      <c r="G2157" s="1102">
        <v>1.0119688998437726</v>
      </c>
      <c r="H2157" s="1102">
        <v>0.96909000977801274</v>
      </c>
      <c r="I2157" s="1102">
        <v>1.0051970814977422</v>
      </c>
      <c r="K2157">
        <v>1.5528715553258245</v>
      </c>
      <c r="L2157">
        <v>0</v>
      </c>
      <c r="M2157">
        <v>1.6129796897138026E-3</v>
      </c>
      <c r="N2157">
        <v>0.13736663328431453</v>
      </c>
      <c r="O2157">
        <v>0.1225516128999868</v>
      </c>
      <c r="P2157">
        <v>1.5429959230289302E-2</v>
      </c>
      <c r="Q2157">
        <v>8.805789054935144E-4</v>
      </c>
      <c r="R2157">
        <v>1.6092164949924718E-3</v>
      </c>
      <c r="S2157">
        <v>0.11909892121095585</v>
      </c>
      <c r="T2157">
        <v>0.82800138984200489</v>
      </c>
      <c r="U2157">
        <v>0</v>
      </c>
      <c r="V2157">
        <v>0.20659682754809502</v>
      </c>
      <c r="W2157">
        <v>9.1636807397077677E-2</v>
      </c>
      <c r="X2157">
        <v>2.6932831381031967E-2</v>
      </c>
      <c r="Y2157">
        <v>4.379756821294504E-3</v>
      </c>
    </row>
    <row r="2158" spans="1:25" x14ac:dyDescent="0.25">
      <c r="A2158" s="1098"/>
      <c r="B2158" s="1457">
        <v>1908</v>
      </c>
      <c r="C2158" s="1102">
        <v>1.0261306695159316</v>
      </c>
      <c r="D2158" s="1102">
        <v>0.97462566095051939</v>
      </c>
      <c r="E2158" s="1102">
        <v>1.0219233531980958</v>
      </c>
      <c r="F2158" s="1102">
        <v>0.98474486723296695</v>
      </c>
      <c r="G2158" s="1102">
        <v>0.96839086866186275</v>
      </c>
      <c r="H2158" s="1102">
        <v>0.98568783321285203</v>
      </c>
      <c r="I2158" s="1102">
        <v>0.99627407391397327</v>
      </c>
      <c r="K2158">
        <v>1.5345945010712805</v>
      </c>
      <c r="L2158">
        <v>0</v>
      </c>
      <c r="M2158">
        <v>1.4541508531506527E-3</v>
      </c>
      <c r="N2158">
        <v>0.14295766493778855</v>
      </c>
      <c r="O2158">
        <v>0.12004628511705161</v>
      </c>
      <c r="P2158">
        <v>1.5661083163441343E-2</v>
      </c>
      <c r="Q2158">
        <v>9.0518540688845303E-4</v>
      </c>
      <c r="R2158">
        <v>1.4508139595800944E-3</v>
      </c>
      <c r="S2158">
        <v>0.11681967283134288</v>
      </c>
      <c r="T2158">
        <v>0.81124273987088269</v>
      </c>
      <c r="U2158">
        <v>0</v>
      </c>
      <c r="V2158">
        <v>0.20204746924263914</v>
      </c>
      <c r="W2158">
        <v>9.2708087543473511E-2</v>
      </c>
      <c r="X2158">
        <v>2.8261012514057146E-2</v>
      </c>
      <c r="Y2158">
        <v>3.9486373372837769E-3</v>
      </c>
    </row>
    <row r="2159" spans="1:25" x14ac:dyDescent="0.25">
      <c r="A2159" s="1098"/>
      <c r="B2159" s="1457">
        <v>1909</v>
      </c>
      <c r="C2159" s="1102">
        <v>0.98755423709119994</v>
      </c>
      <c r="D2159" s="1102">
        <v>1.0106668683277342</v>
      </c>
      <c r="E2159" s="1102">
        <v>0.99294773082858445</v>
      </c>
      <c r="F2159" s="1102">
        <v>0.99425292891116124</v>
      </c>
      <c r="G2159" s="1102">
        <v>1.0174794343365194</v>
      </c>
      <c r="H2159" s="1102">
        <v>0.98464486540499507</v>
      </c>
      <c r="I2159" s="1102">
        <v>1.0047077696873039</v>
      </c>
      <c r="K2159">
        <v>1.5508354711047496</v>
      </c>
      <c r="L2159">
        <v>0</v>
      </c>
      <c r="M2159">
        <v>1.5670767273916341E-3</v>
      </c>
      <c r="N2159">
        <v>0.14115001890942447</v>
      </c>
      <c r="O2159">
        <v>0.12116471922715269</v>
      </c>
      <c r="P2159">
        <v>1.5561131976442776E-2</v>
      </c>
      <c r="Q2159">
        <v>8.9965379057115719E-4</v>
      </c>
      <c r="R2159">
        <v>1.5634475452514355E-3</v>
      </c>
      <c r="S2159">
        <v>0.11948153560175662</v>
      </c>
      <c r="T2159">
        <v>0.82097046187539924</v>
      </c>
      <c r="U2159">
        <v>0</v>
      </c>
      <c r="V2159">
        <v>0.20683608755142241</v>
      </c>
      <c r="W2159">
        <v>9.3116531160924151E-2</v>
      </c>
      <c r="X2159">
        <v>2.7403771365965262E-2</v>
      </c>
      <c r="Y2159">
        <v>4.2551888278296295E-3</v>
      </c>
    </row>
    <row r="2160" spans="1:25" x14ac:dyDescent="0.25">
      <c r="A2160" s="1098"/>
      <c r="B2160" s="1457">
        <v>1910</v>
      </c>
      <c r="C2160" s="1102">
        <v>1.0215230946038707</v>
      </c>
      <c r="D2160" s="1102">
        <v>1.0402601744183719</v>
      </c>
      <c r="E2160" s="1102">
        <v>0.99135650048923984</v>
      </c>
      <c r="F2160" s="1102">
        <v>0.97845780728162035</v>
      </c>
      <c r="G2160" s="1102">
        <v>1.0114041285332556</v>
      </c>
      <c r="H2160" s="1102">
        <v>0.96945935269932848</v>
      </c>
      <c r="I2160" s="1102">
        <v>1.0279910210720813</v>
      </c>
      <c r="K2160">
        <v>1.5082522326125001</v>
      </c>
      <c r="L2160">
        <v>0</v>
      </c>
      <c r="M2160">
        <v>1.474082256619057E-3</v>
      </c>
      <c r="N2160">
        <v>0.13213074825159069</v>
      </c>
      <c r="O2160">
        <v>0.11711615733049782</v>
      </c>
      <c r="P2160">
        <v>1.5242945432919174E-2</v>
      </c>
      <c r="Q2160">
        <v>8.583316001790107E-4</v>
      </c>
      <c r="R2160">
        <v>1.4706025736662539E-3</v>
      </c>
      <c r="S2160">
        <v>0.11507439003898035</v>
      </c>
      <c r="T2160">
        <v>0.80803135390303882</v>
      </c>
      <c r="U2160">
        <v>0</v>
      </c>
      <c r="V2160">
        <v>0.2020721806559353</v>
      </c>
      <c r="W2160">
        <v>8.7249516145094658E-2</v>
      </c>
      <c r="X2160">
        <v>2.6477593515705344E-2</v>
      </c>
      <c r="Y2160">
        <v>4.0024954215114221E-3</v>
      </c>
    </row>
    <row r="2161" spans="1:25" x14ac:dyDescent="0.25">
      <c r="A2161" s="1098"/>
      <c r="B2161" s="1457">
        <v>1911</v>
      </c>
      <c r="C2161" s="1102">
        <v>1.0453063262397166</v>
      </c>
      <c r="D2161" s="1102">
        <v>0.97428336613113087</v>
      </c>
      <c r="E2161" s="1102">
        <v>0.99046242522815331</v>
      </c>
      <c r="F2161" s="1102">
        <v>1.0365271391573194</v>
      </c>
      <c r="G2161" s="1102">
        <v>0.99326224253196993</v>
      </c>
      <c r="H2161" s="1102">
        <v>1.0013598764258651</v>
      </c>
      <c r="I2161" s="1102">
        <v>1.0184813683075791</v>
      </c>
      <c r="K2161">
        <v>1.5818286289139449</v>
      </c>
      <c r="L2161">
        <v>0</v>
      </c>
      <c r="M2161">
        <v>1.5565050673071392E-3</v>
      </c>
      <c r="N2161">
        <v>0.13915804114883557</v>
      </c>
      <c r="O2161">
        <v>0.12281090305788324</v>
      </c>
      <c r="P2161">
        <v>1.5963333578617515E-2</v>
      </c>
      <c r="Q2161">
        <v>8.602760778437926E-4</v>
      </c>
      <c r="R2161">
        <v>1.5530077804676785E-3</v>
      </c>
      <c r="S2161">
        <v>0.11883980522019452</v>
      </c>
      <c r="T2161">
        <v>0.85604769777818146</v>
      </c>
      <c r="U2161">
        <v>0</v>
      </c>
      <c r="V2161">
        <v>0.20427012509564538</v>
      </c>
      <c r="W2161">
        <v>9.1939022675408391E-2</v>
      </c>
      <c r="X2161">
        <v>2.7716146338619962E-2</v>
      </c>
      <c r="Y2161">
        <v>4.2267752295557784E-3</v>
      </c>
    </row>
    <row r="2162" spans="1:25" x14ac:dyDescent="0.25">
      <c r="A2162" s="1098"/>
      <c r="B2162" s="1457">
        <v>1912</v>
      </c>
      <c r="C2162" s="1102">
        <v>1.0270172747921151</v>
      </c>
      <c r="D2162" s="1102">
        <v>1.0288926801115397</v>
      </c>
      <c r="E2162" s="1102">
        <v>1.0356339307871101</v>
      </c>
      <c r="F2162" s="1102">
        <v>0.98617587157973463</v>
      </c>
      <c r="G2162" s="1102">
        <v>1.0238316297486114</v>
      </c>
      <c r="H2162" s="1102">
        <v>0.99891583339476664</v>
      </c>
      <c r="I2162" s="1102">
        <v>1.015740421014959</v>
      </c>
      <c r="K2162">
        <v>1.5310653699931711</v>
      </c>
      <c r="L2162">
        <v>0</v>
      </c>
      <c r="M2162">
        <v>1.3878537148865775E-3</v>
      </c>
      <c r="N2162">
        <v>0.14219940049912505</v>
      </c>
      <c r="O2162">
        <v>0.11773021209541362</v>
      </c>
      <c r="P2162">
        <v>1.5827695042831436E-2</v>
      </c>
      <c r="Q2162">
        <v>8.9748997503579127E-4</v>
      </c>
      <c r="R2162">
        <v>1.384683060281779E-3</v>
      </c>
      <c r="S2162">
        <v>0.11626861696605613</v>
      </c>
      <c r="T2162">
        <v>0.81154161137213687</v>
      </c>
      <c r="U2162">
        <v>0</v>
      </c>
      <c r="V2162">
        <v>0.20298331240622314</v>
      </c>
      <c r="W2162">
        <v>9.1484644691727915E-2</v>
      </c>
      <c r="X2162">
        <v>2.836690676978584E-2</v>
      </c>
      <c r="Y2162">
        <v>3.7686508294388576E-3</v>
      </c>
    </row>
    <row r="2163" spans="1:25" x14ac:dyDescent="0.25">
      <c r="A2163" s="1098"/>
      <c r="B2163" s="1457">
        <v>1913</v>
      </c>
      <c r="C2163" s="1102">
        <v>0.99327105706460239</v>
      </c>
      <c r="D2163" s="1102">
        <v>0.99677187120784083</v>
      </c>
      <c r="E2163" s="1102">
        <v>1.0371826416264038</v>
      </c>
      <c r="F2163" s="1102">
        <v>1.0455334605589719</v>
      </c>
      <c r="G2163" s="1102">
        <v>0.99598299524080591</v>
      </c>
      <c r="H2163" s="1102">
        <v>0.95243001276469985</v>
      </c>
      <c r="I2163" s="1102">
        <v>1.0287960411908381</v>
      </c>
      <c r="K2163">
        <v>1.6008255431264333</v>
      </c>
      <c r="L2163">
        <v>0</v>
      </c>
      <c r="M2163">
        <v>1.3913622105658568E-3</v>
      </c>
      <c r="N2163">
        <v>0.14321218679895897</v>
      </c>
      <c r="O2163">
        <v>0.12493469051980945</v>
      </c>
      <c r="P2163">
        <v>1.6664294621597624E-2</v>
      </c>
      <c r="Q2163">
        <v>9.4131139842485259E-4</v>
      </c>
      <c r="R2163">
        <v>1.3880526849136519E-3</v>
      </c>
      <c r="S2163">
        <v>0.12042346620392515</v>
      </c>
      <c r="T2163">
        <v>0.86028303725327782</v>
      </c>
      <c r="U2163">
        <v>0</v>
      </c>
      <c r="V2163">
        <v>0.20853119691621089</v>
      </c>
      <c r="W2163">
        <v>9.2053848025710414E-2</v>
      </c>
      <c r="X2163">
        <v>3.0006999077281323E-2</v>
      </c>
      <c r="Y2163">
        <v>3.7778218368903541E-3</v>
      </c>
    </row>
    <row r="2164" spans="1:25" x14ac:dyDescent="0.25">
      <c r="A2164" s="1098"/>
      <c r="B2164" s="1457">
        <v>1914</v>
      </c>
      <c r="C2164" s="1102">
        <v>1.0078499163452443</v>
      </c>
      <c r="D2164" s="1102">
        <v>1.0032905482187535</v>
      </c>
      <c r="E2164" s="1102">
        <v>0.98710395459965761</v>
      </c>
      <c r="F2164" s="1102">
        <v>0.99412207410024012</v>
      </c>
      <c r="G2164" s="1102">
        <v>1.0168331673471471</v>
      </c>
      <c r="H2164" s="1102">
        <v>1.0274280296410947</v>
      </c>
      <c r="I2164" s="1102">
        <v>1.0269952130336453</v>
      </c>
      <c r="K2164">
        <v>1.5585495141138574</v>
      </c>
      <c r="L2164">
        <v>0</v>
      </c>
      <c r="M2164">
        <v>1.6308888863391159E-3</v>
      </c>
      <c r="N2164">
        <v>0.14433990054274071</v>
      </c>
      <c r="O2164">
        <v>0.1204516848265834</v>
      </c>
      <c r="P2164">
        <v>1.5533347394597399E-2</v>
      </c>
      <c r="Q2164">
        <v>8.7875470277090769E-4</v>
      </c>
      <c r="R2164">
        <v>1.6272789245792064E-3</v>
      </c>
      <c r="S2164">
        <v>0.12375175848578522</v>
      </c>
      <c r="T2164">
        <v>0.82124778767955287</v>
      </c>
      <c r="U2164">
        <v>0</v>
      </c>
      <c r="V2164">
        <v>0.2052906265109227</v>
      </c>
      <c r="W2164">
        <v>9.5554817851457599E-2</v>
      </c>
      <c r="X2164">
        <v>2.707552928085567E-2</v>
      </c>
      <c r="Y2164">
        <v>4.4289168003512807E-3</v>
      </c>
    </row>
    <row r="2165" spans="1:25" x14ac:dyDescent="0.25">
      <c r="A2165" s="1098"/>
      <c r="B2165" s="1457">
        <v>1915</v>
      </c>
      <c r="C2165" s="1102">
        <v>0.97794922081607738</v>
      </c>
      <c r="D2165" s="1102">
        <v>1.0302364893455611</v>
      </c>
      <c r="E2165" s="1102">
        <v>1.0047152944631212</v>
      </c>
      <c r="F2165" s="1102">
        <v>0.97087906242432886</v>
      </c>
      <c r="G2165" s="1102">
        <v>1.0000162367512992</v>
      </c>
      <c r="H2165" s="1102">
        <v>1.0111236586863273</v>
      </c>
      <c r="I2165" s="1102">
        <v>1.0068049816804232</v>
      </c>
      <c r="K2165">
        <v>1.5364265897470974</v>
      </c>
      <c r="L2165">
        <v>0</v>
      </c>
      <c r="M2165">
        <v>1.5648044455614468E-3</v>
      </c>
      <c r="N2165">
        <v>0.14605386924861719</v>
      </c>
      <c r="O2165">
        <v>0.11914679379040684</v>
      </c>
      <c r="P2165">
        <v>1.5427971738366483E-2</v>
      </c>
      <c r="Q2165">
        <v>9.1262109051125557E-4</v>
      </c>
      <c r="R2165">
        <v>1.561255307713634E-3</v>
      </c>
      <c r="S2165">
        <v>0.12147378781168983</v>
      </c>
      <c r="T2165">
        <v>0.80091565439033763</v>
      </c>
      <c r="U2165">
        <v>0</v>
      </c>
      <c r="V2165">
        <v>0.20511400230924168</v>
      </c>
      <c r="W2165">
        <v>9.5679444257272178E-2</v>
      </c>
      <c r="X2165">
        <v>2.7456771968577251E-2</v>
      </c>
      <c r="Y2165">
        <v>4.2492222799226445E-3</v>
      </c>
    </row>
    <row r="2166" spans="1:25" x14ac:dyDescent="0.25">
      <c r="A2166" s="1098"/>
      <c r="B2166" s="1457">
        <v>1916</v>
      </c>
      <c r="C2166" s="1102">
        <v>0.97576369412165687</v>
      </c>
      <c r="D2166" s="1102">
        <v>0.95799266979630449</v>
      </c>
      <c r="E2166" s="1102">
        <v>1.0088598888314335</v>
      </c>
      <c r="F2166" s="1102">
        <v>1.0012650898821376</v>
      </c>
      <c r="G2166" s="1102">
        <v>0.99244424729839631</v>
      </c>
      <c r="H2166" s="1102">
        <v>0.96771793747413548</v>
      </c>
      <c r="I2166" s="1102">
        <v>1.0314972877917394</v>
      </c>
      <c r="K2166">
        <v>1.5784738507998726</v>
      </c>
      <c r="L2166">
        <v>0</v>
      </c>
      <c r="M2166">
        <v>1.5538267096894352E-3</v>
      </c>
      <c r="N2166">
        <v>0.14684567595461914</v>
      </c>
      <c r="O2166">
        <v>0.12461800223553735</v>
      </c>
      <c r="P2166">
        <v>1.593798678098449E-2</v>
      </c>
      <c r="Q2166">
        <v>9.4569597374271003E-4</v>
      </c>
      <c r="R2166">
        <v>1.5501960394931284E-3</v>
      </c>
      <c r="S2166">
        <v>0.12672491064633934</v>
      </c>
      <c r="T2166">
        <v>0.82570922472926001</v>
      </c>
      <c r="U2166">
        <v>0</v>
      </c>
      <c r="V2166">
        <v>0.20876569137151851</v>
      </c>
      <c r="W2166">
        <v>9.5962741554388817E-2</v>
      </c>
      <c r="X2166">
        <v>2.8748429626164678E-2</v>
      </c>
      <c r="Y2166">
        <v>4.2191225975132156E-3</v>
      </c>
    </row>
    <row r="2167" spans="1:25" x14ac:dyDescent="0.25">
      <c r="A2167" s="1098"/>
      <c r="B2167" s="1457">
        <v>1917</v>
      </c>
      <c r="C2167" s="1102">
        <v>0.96775589036719301</v>
      </c>
      <c r="D2167" s="1102">
        <v>0.99007067632069512</v>
      </c>
      <c r="E2167" s="1102">
        <v>0.9645412233109909</v>
      </c>
      <c r="F2167" s="1102">
        <v>1.0210284744806604</v>
      </c>
      <c r="G2167" s="1102">
        <v>1.0310677874582315</v>
      </c>
      <c r="H2167" s="1102">
        <v>1.0405797319263697</v>
      </c>
      <c r="I2167" s="1102">
        <v>0.9959248087919963</v>
      </c>
      <c r="K2167">
        <v>1.6074867006894975</v>
      </c>
      <c r="L2167">
        <v>0</v>
      </c>
      <c r="M2167">
        <v>1.8141741334249918E-3</v>
      </c>
      <c r="N2167">
        <v>0.1499675187967594</v>
      </c>
      <c r="O2167">
        <v>0.12510952167341988</v>
      </c>
      <c r="P2167">
        <v>1.5703709231446435E-2</v>
      </c>
      <c r="Q2167">
        <v>8.9848360854188794E-4</v>
      </c>
      <c r="R2167">
        <v>1.8102142247327837E-3</v>
      </c>
      <c r="S2167">
        <v>0.12692426450585065</v>
      </c>
      <c r="T2167">
        <v>0.84501400999272924</v>
      </c>
      <c r="U2167">
        <v>0</v>
      </c>
      <c r="V2167">
        <v>0.21116510408794892</v>
      </c>
      <c r="W2167">
        <v>0.10064678595256553</v>
      </c>
      <c r="X2167">
        <v>2.7134456366163327E-2</v>
      </c>
      <c r="Y2167">
        <v>4.9268063827638299E-3</v>
      </c>
    </row>
    <row r="2168" spans="1:25" x14ac:dyDescent="0.25">
      <c r="A2168" s="1098"/>
      <c r="B2168" s="1457">
        <v>1918</v>
      </c>
      <c r="C2168" s="1102">
        <v>0.98719405929903759</v>
      </c>
      <c r="D2168" s="1102">
        <v>1.0243117422765096</v>
      </c>
      <c r="E2168" s="1102">
        <v>1.0121657262003407</v>
      </c>
      <c r="F2168" s="1102">
        <v>1.0090607956720634</v>
      </c>
      <c r="G2168" s="1102">
        <v>0.96447189666176469</v>
      </c>
      <c r="H2168" s="1102">
        <v>1.0116113778151874</v>
      </c>
      <c r="I2168" s="1102">
        <v>1.0048668826050344</v>
      </c>
      <c r="K2168">
        <v>1.5710815909799574</v>
      </c>
      <c r="L2168">
        <v>0</v>
      </c>
      <c r="M2168">
        <v>1.5375973363986851E-3</v>
      </c>
      <c r="N2168">
        <v>0.14678112345897201</v>
      </c>
      <c r="O2168">
        <v>0.12157506673755113</v>
      </c>
      <c r="P2168">
        <v>1.5928132170034706E-2</v>
      </c>
      <c r="Q2168">
        <v>9.1315798637480643E-4</v>
      </c>
      <c r="R2168">
        <v>1.5341274279716179E-3</v>
      </c>
      <c r="S2168">
        <v>0.12086046557467295</v>
      </c>
      <c r="T2168">
        <v>0.83191900155244514</v>
      </c>
      <c r="U2168">
        <v>0</v>
      </c>
      <c r="V2168">
        <v>0.20487810206978954</v>
      </c>
      <c r="W2168">
        <v>9.5733829371296333E-2</v>
      </c>
      <c r="X2168">
        <v>2.832079283328039E-2</v>
      </c>
      <c r="Y2168">
        <v>4.1753891339680301E-3</v>
      </c>
    </row>
    <row r="2169" spans="1:25" x14ac:dyDescent="0.25">
      <c r="A2169" s="1098"/>
      <c r="B2169" s="1457">
        <v>1919</v>
      </c>
      <c r="C2169" s="1102">
        <v>1.0234560432410151</v>
      </c>
      <c r="D2169" s="1102">
        <v>0.98885798940447633</v>
      </c>
      <c r="E2169" s="1102">
        <v>1.0264543714286056</v>
      </c>
      <c r="F2169" s="1102">
        <v>0.95850481046797942</v>
      </c>
      <c r="G2169" s="1102">
        <v>0.96300871013386713</v>
      </c>
      <c r="H2169" s="1102">
        <v>0.9790594706830984</v>
      </c>
      <c r="I2169" s="1102">
        <v>0.99961605732897107</v>
      </c>
      <c r="K2169">
        <v>1.504071577243318</v>
      </c>
      <c r="L2169">
        <v>0</v>
      </c>
      <c r="M2169">
        <v>1.4195634517878905E-3</v>
      </c>
      <c r="N2169">
        <v>0.14147375541266674</v>
      </c>
      <c r="O2169">
        <v>0.1176866792820865</v>
      </c>
      <c r="P2169">
        <v>1.536944748012308E-2</v>
      </c>
      <c r="Q2169">
        <v>9.0649782688286755E-4</v>
      </c>
      <c r="R2169">
        <v>1.4162684132708739E-3</v>
      </c>
      <c r="S2169">
        <v>0.11582153358967023</v>
      </c>
      <c r="T2169">
        <v>0.78934261213481272</v>
      </c>
      <c r="U2169">
        <v>0</v>
      </c>
      <c r="V2169">
        <v>0.20023087004438939</v>
      </c>
      <c r="W2169">
        <v>9.1503683361483887E-2</v>
      </c>
      <c r="X2169">
        <v>2.7885177401554606E-2</v>
      </c>
      <c r="Y2169">
        <v>3.8546157481663588E-3</v>
      </c>
    </row>
    <row r="2170" spans="1:25" x14ac:dyDescent="0.25">
      <c r="A2170" s="1098"/>
      <c r="B2170" s="1457">
        <v>1920</v>
      </c>
      <c r="C2170" s="1102">
        <v>0.98303495792337015</v>
      </c>
      <c r="D2170" s="1102">
        <v>0.98849174360186687</v>
      </c>
      <c r="E2170" s="1102">
        <v>0.97373215788027168</v>
      </c>
      <c r="F2170" s="1102">
        <v>1.034094963580056</v>
      </c>
      <c r="G2170" s="1102">
        <v>0.99518766653453172</v>
      </c>
      <c r="H2170" s="1102">
        <v>1.0211604786157022</v>
      </c>
      <c r="I2170" s="1102">
        <v>1.0091379333037305</v>
      </c>
      <c r="K2170">
        <v>1.6081983611663222</v>
      </c>
      <c r="L2170">
        <v>0</v>
      </c>
      <c r="M2170">
        <v>1.7249539730624223E-3</v>
      </c>
      <c r="N2170">
        <v>0.14661108453877281</v>
      </c>
      <c r="O2170">
        <v>0.12524710607801171</v>
      </c>
      <c r="P2170">
        <v>1.5899854543514929E-2</v>
      </c>
      <c r="Q2170">
        <v>8.9369981528433068E-4</v>
      </c>
      <c r="R2170">
        <v>1.7211264307402721E-3</v>
      </c>
      <c r="S2170">
        <v>0.12533878391987235</v>
      </c>
      <c r="T2170">
        <v>0.85519109585926689</v>
      </c>
      <c r="U2170">
        <v>0</v>
      </c>
      <c r="V2170">
        <v>0.20893348606245946</v>
      </c>
      <c r="W2170">
        <v>9.7844954208820792E-2</v>
      </c>
      <c r="X2170">
        <v>2.7557784907340052E-2</v>
      </c>
      <c r="Y2170">
        <v>4.6843387752996107E-3</v>
      </c>
    </row>
    <row r="2171" spans="1:25" x14ac:dyDescent="0.25">
      <c r="A2171" s="1098"/>
      <c r="B2171" s="1457">
        <v>1921</v>
      </c>
      <c r="C2171" s="1102">
        <v>1.0110751180552948</v>
      </c>
      <c r="D2171" s="1102">
        <v>1.014139341632714</v>
      </c>
      <c r="E2171" s="1102">
        <v>1.0203927559542658</v>
      </c>
      <c r="F2171" s="1102">
        <v>0.95183531182265957</v>
      </c>
      <c r="G2171" s="1102">
        <v>1.0076543317719555</v>
      </c>
      <c r="H2171" s="1102">
        <v>0.98708244627160169</v>
      </c>
      <c r="I2171" s="1102">
        <v>0.99652637419646828</v>
      </c>
      <c r="K2171">
        <v>1.4993858978697188</v>
      </c>
      <c r="L2171">
        <v>0</v>
      </c>
      <c r="M2171">
        <v>1.4442705249553952E-3</v>
      </c>
      <c r="N2171">
        <v>0.14132937507863363</v>
      </c>
      <c r="O2171">
        <v>0.11676022700145414</v>
      </c>
      <c r="P2171">
        <v>1.5254663455285859E-2</v>
      </c>
      <c r="Q2171">
        <v>9.0275807393223764E-4</v>
      </c>
      <c r="R2171">
        <v>1.4409267194749095E-3</v>
      </c>
      <c r="S2171">
        <v>0.11563179524676678</v>
      </c>
      <c r="T2171">
        <v>0.78422669501267017</v>
      </c>
      <c r="U2171">
        <v>0</v>
      </c>
      <c r="V2171">
        <v>0.20215228434503343</v>
      </c>
      <c r="W2171">
        <v>9.1734175817237085E-2</v>
      </c>
      <c r="X2171">
        <v>2.7475540115138735E-2</v>
      </c>
      <c r="Y2171">
        <v>3.9217275290452875E-3</v>
      </c>
    </row>
    <row r="2172" spans="1:25" x14ac:dyDescent="0.25">
      <c r="A2172" s="1098"/>
      <c r="B2172" s="1457">
        <v>1922</v>
      </c>
      <c r="C2172" s="1102">
        <v>0.99978091536534675</v>
      </c>
      <c r="D2172" s="1102">
        <v>0.98188672178889691</v>
      </c>
      <c r="E2172" s="1102">
        <v>0.96934685175619906</v>
      </c>
      <c r="F2172" s="1102">
        <v>1.0173490625803252</v>
      </c>
      <c r="G2172" s="1102">
        <v>1.0084565241711274</v>
      </c>
      <c r="H2172" s="1102">
        <v>0.97918507605230587</v>
      </c>
      <c r="I2172" s="1102">
        <v>1.014081728881429</v>
      </c>
      <c r="K2172">
        <v>1.5719871970802519</v>
      </c>
      <c r="L2172">
        <v>0</v>
      </c>
      <c r="M2172">
        <v>1.6473736538618125E-3</v>
      </c>
      <c r="N2172">
        <v>0.13815770930858581</v>
      </c>
      <c r="O2172">
        <v>0.12350037752102863</v>
      </c>
      <c r="P2172">
        <v>1.5586856764646865E-2</v>
      </c>
      <c r="Q2172">
        <v>8.7703223410658397E-4</v>
      </c>
      <c r="R2172">
        <v>1.643565788694089E-3</v>
      </c>
      <c r="S2172">
        <v>0.12091711018352044</v>
      </c>
      <c r="T2172">
        <v>0.84164093432226328</v>
      </c>
      <c r="U2172">
        <v>0</v>
      </c>
      <c r="V2172">
        <v>0.20741529701704786</v>
      </c>
      <c r="W2172">
        <v>9.2449483054721518E-2</v>
      </c>
      <c r="X2172">
        <v>2.6972960263989189E-2</v>
      </c>
      <c r="Y2172">
        <v>4.4732442755086805E-3</v>
      </c>
    </row>
    <row r="2173" spans="1:25" x14ac:dyDescent="0.25">
      <c r="A2173" s="1098"/>
      <c r="B2173" s="1457">
        <v>1923</v>
      </c>
      <c r="C2173" s="1102">
        <v>0.98752401090672781</v>
      </c>
      <c r="D2173" s="1102">
        <v>0.97153839835697386</v>
      </c>
      <c r="E2173" s="1102">
        <v>1.0272503817002803</v>
      </c>
      <c r="F2173" s="1102">
        <v>0.98333684044711012</v>
      </c>
      <c r="G2173" s="1102">
        <v>1.0021912604148211</v>
      </c>
      <c r="H2173" s="1102">
        <v>0.9674894022778916</v>
      </c>
      <c r="I2173" s="1102">
        <v>1.0241066222723569</v>
      </c>
      <c r="K2173">
        <v>1.5525083748457136</v>
      </c>
      <c r="L2173">
        <v>0</v>
      </c>
      <c r="M2173">
        <v>1.4649416823189633E-3</v>
      </c>
      <c r="N2173">
        <v>0.14634367727661843</v>
      </c>
      <c r="O2173">
        <v>0.1220325590113074</v>
      </c>
      <c r="P2173">
        <v>1.5857497045352959E-2</v>
      </c>
      <c r="Q2173">
        <v>9.4691551999636129E-4</v>
      </c>
      <c r="R2173">
        <v>1.4615082255935591E-3</v>
      </c>
      <c r="S2173">
        <v>0.12325809201149364</v>
      </c>
      <c r="T2173">
        <v>0.80974115589708484</v>
      </c>
      <c r="U2173">
        <v>0</v>
      </c>
      <c r="V2173">
        <v>0.20683088593228485</v>
      </c>
      <c r="W2173">
        <v>9.4609661691456431E-2</v>
      </c>
      <c r="X2173">
        <v>2.8913620312834048E-2</v>
      </c>
      <c r="Y2173">
        <v>3.9777436040085825E-3</v>
      </c>
    </row>
    <row r="2174" spans="1:25" x14ac:dyDescent="0.25">
      <c r="A2174" s="1098"/>
      <c r="B2174" s="1457">
        <v>1924</v>
      </c>
      <c r="C2174" s="1102">
        <v>1.0087314554148135</v>
      </c>
      <c r="D2174" s="1102">
        <v>1.0042068065049841</v>
      </c>
      <c r="E2174" s="1102">
        <v>0.98970689220893571</v>
      </c>
      <c r="F2174" s="1102">
        <v>0.99392219563132089</v>
      </c>
      <c r="G2174" s="1102">
        <v>0.97736974229655182</v>
      </c>
      <c r="H2174" s="1102">
        <v>1.0131036474467852</v>
      </c>
      <c r="I2174" s="1102">
        <v>1.0069423101847217</v>
      </c>
      <c r="K2174">
        <v>1.5491975192275382</v>
      </c>
      <c r="L2174">
        <v>0</v>
      </c>
      <c r="M2174">
        <v>1.5973666906736086E-3</v>
      </c>
      <c r="N2174">
        <v>0.14248565748083933</v>
      </c>
      <c r="O2174">
        <v>0.12034964526838721</v>
      </c>
      <c r="P2174">
        <v>1.548359559149457E-2</v>
      </c>
      <c r="Q2174">
        <v>8.8005275680956866E-4</v>
      </c>
      <c r="R2174">
        <v>1.5937805799472126E-3</v>
      </c>
      <c r="S2174">
        <v>0.12004187539536536</v>
      </c>
      <c r="T2174">
        <v>0.82091091279641459</v>
      </c>
      <c r="U2174">
        <v>0</v>
      </c>
      <c r="V2174">
        <v>0.20340777965669751</v>
      </c>
      <c r="W2174">
        <v>9.4180128731884763E-2</v>
      </c>
      <c r="X2174">
        <v>2.7123712311379871E-2</v>
      </c>
      <c r="Y2174">
        <v>4.3377453489893362E-3</v>
      </c>
    </row>
    <row r="2175" spans="1:25" x14ac:dyDescent="0.25">
      <c r="A2175" s="1098"/>
      <c r="B2175" s="1457">
        <v>1925</v>
      </c>
      <c r="C2175" s="1102">
        <v>0.99034339595909693</v>
      </c>
      <c r="D2175" s="1102">
        <v>0.9738569872607743</v>
      </c>
      <c r="E2175" s="1102">
        <v>1.0234858880008093</v>
      </c>
      <c r="F2175" s="1102">
        <v>1.0178137312707296</v>
      </c>
      <c r="G2175" s="1102">
        <v>0.99233649610818186</v>
      </c>
      <c r="H2175" s="1102">
        <v>0.98693195211246942</v>
      </c>
      <c r="I2175" s="1102">
        <v>1.0265107943063394</v>
      </c>
      <c r="K2175">
        <v>1.590809818340984</v>
      </c>
      <c r="L2175">
        <v>0</v>
      </c>
      <c r="M2175">
        <v>1.5042496054038868E-3</v>
      </c>
      <c r="N2175">
        <v>0.14858192536806086</v>
      </c>
      <c r="O2175">
        <v>0.12423957718285064</v>
      </c>
      <c r="P2175">
        <v>1.6248093291191878E-2</v>
      </c>
      <c r="Q2175">
        <v>9.3969433327178683E-4</v>
      </c>
      <c r="R2175">
        <v>1.5008022682246865E-3</v>
      </c>
      <c r="S2175">
        <v>0.12487370205658931</v>
      </c>
      <c r="T2175">
        <v>0.83838138314309008</v>
      </c>
      <c r="U2175">
        <v>0</v>
      </c>
      <c r="V2175">
        <v>0.2078712522792647</v>
      </c>
      <c r="W2175">
        <v>9.626756439044E-2</v>
      </c>
      <c r="X2175">
        <v>2.9325384598628677E-2</v>
      </c>
      <c r="Y2175">
        <v>4.0846890347728398E-3</v>
      </c>
    </row>
    <row r="2176" spans="1:25" x14ac:dyDescent="0.25">
      <c r="A2176" s="1098"/>
      <c r="B2176" s="1457">
        <v>1926</v>
      </c>
      <c r="C2176" s="1102">
        <v>0.97782735829586243</v>
      </c>
      <c r="D2176" s="1102">
        <v>0.97780674690701064</v>
      </c>
      <c r="E2176" s="1102">
        <v>0.97519576764877025</v>
      </c>
      <c r="F2176" s="1102">
        <v>1.0186537424707047</v>
      </c>
      <c r="G2176" s="1102">
        <v>0.99967770536137834</v>
      </c>
      <c r="H2176" s="1102">
        <v>1.0192529342444461</v>
      </c>
      <c r="I2176" s="1102">
        <v>1.0134768396682934</v>
      </c>
      <c r="K2176">
        <v>1.5990488541230414</v>
      </c>
      <c r="L2176">
        <v>0</v>
      </c>
      <c r="M2176">
        <v>1.7336244638381574E-3</v>
      </c>
      <c r="N2176">
        <v>0.14800171977097498</v>
      </c>
      <c r="O2176">
        <v>0.12492799893327226</v>
      </c>
      <c r="P2176">
        <v>1.5771483601346625E-2</v>
      </c>
      <c r="Q2176">
        <v>9.0376297169256811E-4</v>
      </c>
      <c r="R2176">
        <v>1.7297714409396105E-3</v>
      </c>
      <c r="S2176">
        <v>0.12708286072871802</v>
      </c>
      <c r="T2176">
        <v>0.84232163769068757</v>
      </c>
      <c r="U2176">
        <v>0</v>
      </c>
      <c r="V2176">
        <v>0.20913083681581901</v>
      </c>
      <c r="W2176">
        <v>9.8685395987731156E-2</v>
      </c>
      <c r="X2176">
        <v>2.7519143002461062E-2</v>
      </c>
      <c r="Y2176">
        <v>4.7078676432353644E-3</v>
      </c>
    </row>
    <row r="2177" spans="1:25" x14ac:dyDescent="0.25">
      <c r="A2177" s="1098"/>
      <c r="B2177" s="1457">
        <v>1927</v>
      </c>
      <c r="C2177" s="1102">
        <v>1.01586123271093</v>
      </c>
      <c r="D2177" s="1102">
        <v>1.032700124213213</v>
      </c>
      <c r="E2177" s="1102">
        <v>1.0070166829348832</v>
      </c>
      <c r="F2177" s="1102">
        <v>1.0445194188019111</v>
      </c>
      <c r="G2177" s="1102">
        <v>0.99548893519083392</v>
      </c>
      <c r="H2177" s="1102">
        <v>0.99234493767929166</v>
      </c>
      <c r="I2177" s="1102">
        <v>0.99935750735510587</v>
      </c>
      <c r="K2177">
        <v>1.5838505989632621</v>
      </c>
      <c r="L2177">
        <v>0</v>
      </c>
      <c r="M2177">
        <v>1.4812399097767547E-3</v>
      </c>
      <c r="N2177">
        <v>0.13921489749239366</v>
      </c>
      <c r="O2177">
        <v>0.12217907443079273</v>
      </c>
      <c r="P2177">
        <v>1.6201216791485708E-2</v>
      </c>
      <c r="Q2177">
        <v>8.7981332140468489E-4</v>
      </c>
      <c r="R2177">
        <v>1.4778427595202512E-3</v>
      </c>
      <c r="S2177">
        <v>0.11509222456596409</v>
      </c>
      <c r="T2177">
        <v>0.86150619776528037</v>
      </c>
      <c r="U2177">
        <v>0</v>
      </c>
      <c r="V2177">
        <v>0.20541771342248963</v>
      </c>
      <c r="W2177">
        <v>9.1075171121550419E-2</v>
      </c>
      <c r="X2177">
        <v>2.8265486381479101E-2</v>
      </c>
      <c r="Y2177">
        <v>4.0222008206793796E-3</v>
      </c>
    </row>
    <row r="2178" spans="1:25" x14ac:dyDescent="0.25">
      <c r="A2178" s="1098"/>
      <c r="B2178" s="1457">
        <v>1928</v>
      </c>
      <c r="C2178" s="1102">
        <v>1.0091835387732622</v>
      </c>
      <c r="D2178" s="1102">
        <v>1.0053342243678536</v>
      </c>
      <c r="E2178" s="1102">
        <v>0.97797954552172717</v>
      </c>
      <c r="F2178" s="1102">
        <v>0.98097213391404947</v>
      </c>
      <c r="G2178" s="1102">
        <v>0.97859917152740039</v>
      </c>
      <c r="H2178" s="1102">
        <v>1.0140233190143004</v>
      </c>
      <c r="I2178" s="1102">
        <v>1.0203219732556283</v>
      </c>
      <c r="K2178">
        <v>1.5359568461159874</v>
      </c>
      <c r="L2178">
        <v>0</v>
      </c>
      <c r="M2178">
        <v>1.6347330939414401E-3</v>
      </c>
      <c r="N2178">
        <v>0.14073672509607657</v>
      </c>
      <c r="O2178">
        <v>0.11940373575499635</v>
      </c>
      <c r="P2178">
        <v>1.5223242467554807E-2</v>
      </c>
      <c r="Q2178">
        <v>8.6854605838919147E-4</v>
      </c>
      <c r="R2178">
        <v>1.6310621978076431E-3</v>
      </c>
      <c r="S2178">
        <v>0.12147349770858575</v>
      </c>
      <c r="T2178">
        <v>0.81098049697525176</v>
      </c>
      <c r="U2178">
        <v>0</v>
      </c>
      <c r="V2178">
        <v>0.20270109365480768</v>
      </c>
      <c r="W2178">
        <v>9.3683170297323731E-2</v>
      </c>
      <c r="X2178">
        <v>2.6450795376210048E-2</v>
      </c>
      <c r="Y2178">
        <v>4.439213622923403E-3</v>
      </c>
    </row>
    <row r="2179" spans="1:25" x14ac:dyDescent="0.25">
      <c r="A2179" s="1098"/>
      <c r="B2179" s="1457">
        <v>1929</v>
      </c>
      <c r="C2179" s="1102">
        <v>0.98784278165524975</v>
      </c>
      <c r="D2179" s="1102">
        <v>1.0207870971563748</v>
      </c>
      <c r="E2179" s="1102">
        <v>1.0163554038159268</v>
      </c>
      <c r="F2179" s="1102">
        <v>0.99414208751770339</v>
      </c>
      <c r="G2179" s="1102">
        <v>1.004705209390913</v>
      </c>
      <c r="H2179" s="1102">
        <v>0.99234834389833326</v>
      </c>
      <c r="I2179" s="1102">
        <v>1.017677431884028</v>
      </c>
      <c r="K2179">
        <v>1.5545920819338421</v>
      </c>
      <c r="L2179">
        <v>0</v>
      </c>
      <c r="M2179">
        <v>1.49557025892511E-3</v>
      </c>
      <c r="N2179">
        <v>0.14457937824281755</v>
      </c>
      <c r="O2179">
        <v>0.12064121610147946</v>
      </c>
      <c r="P2179">
        <v>1.582017657968661E-2</v>
      </c>
      <c r="Q2179">
        <v>9.177654151060722E-4</v>
      </c>
      <c r="R2179">
        <v>1.4921279573241659E-3</v>
      </c>
      <c r="S2179">
        <v>0.12093991978694536</v>
      </c>
      <c r="T2179">
        <v>0.81934625137483208</v>
      </c>
      <c r="U2179">
        <v>0</v>
      </c>
      <c r="V2179">
        <v>0.20597523933839712</v>
      </c>
      <c r="W2179">
        <v>9.4065901606357541E-2</v>
      </c>
      <c r="X2179">
        <v>2.8248595369832746E-2</v>
      </c>
      <c r="Y2179">
        <v>4.0610804199874432E-3</v>
      </c>
    </row>
    <row r="2180" spans="1:25" x14ac:dyDescent="0.25">
      <c r="A2180" s="1098"/>
      <c r="B2180" s="1457">
        <v>1930</v>
      </c>
      <c r="C2180" s="1102">
        <v>0.9953114967564779</v>
      </c>
      <c r="D2180" s="1102">
        <v>1.0228552956448318</v>
      </c>
      <c r="E2180" s="1102">
        <v>1.0270733969393462</v>
      </c>
      <c r="F2180" s="1102">
        <v>0.99681988964343604</v>
      </c>
      <c r="G2180" s="1102">
        <v>0.98632387206756633</v>
      </c>
      <c r="H2180" s="1102">
        <v>0.98963472250857509</v>
      </c>
      <c r="I2180" s="1102">
        <v>0.98078314538680056</v>
      </c>
      <c r="K2180">
        <v>1.5483921969458052</v>
      </c>
      <c r="L2180">
        <v>0</v>
      </c>
      <c r="M2180">
        <v>1.4470541222477331E-3</v>
      </c>
      <c r="N2180">
        <v>0.14448495474545911</v>
      </c>
      <c r="O2180">
        <v>0.12032287132156524</v>
      </c>
      <c r="P2180">
        <v>1.5869754899806188E-2</v>
      </c>
      <c r="Q2180">
        <v>9.2019450414787703E-4</v>
      </c>
      <c r="R2180">
        <v>1.4437157202688094E-3</v>
      </c>
      <c r="S2180">
        <v>0.11540898490161478</v>
      </c>
      <c r="T2180">
        <v>0.82085543473339162</v>
      </c>
      <c r="U2180">
        <v>0</v>
      </c>
      <c r="V2180">
        <v>0.2046053293051264</v>
      </c>
      <c r="W2180">
        <v>9.3417635153183229E-2</v>
      </c>
      <c r="X2180">
        <v>2.8581057513676348E-2</v>
      </c>
      <c r="Y2180">
        <v>3.9293182698124192E-3</v>
      </c>
    </row>
    <row r="2181" spans="1:25" x14ac:dyDescent="0.25">
      <c r="A2181" s="1098"/>
      <c r="B2181" s="1457">
        <v>1931</v>
      </c>
      <c r="C2181" s="1102">
        <v>0.97339125322103914</v>
      </c>
      <c r="D2181" s="1102">
        <v>1.0100994107970007</v>
      </c>
      <c r="E2181" s="1102">
        <v>0.99851952959468637</v>
      </c>
      <c r="F2181" s="1102">
        <v>0.99470335116159114</v>
      </c>
      <c r="G2181" s="1102">
        <v>0.99215611965057626</v>
      </c>
      <c r="H2181" s="1102">
        <v>1.0241641518708908</v>
      </c>
      <c r="I2181" s="1102">
        <v>0.98567678876366349</v>
      </c>
      <c r="K2181">
        <v>1.5688353387747329</v>
      </c>
      <c r="L2181">
        <v>0</v>
      </c>
      <c r="M2181">
        <v>1.633534021757665E-3</v>
      </c>
      <c r="N2181">
        <v>0.14964764486263968</v>
      </c>
      <c r="O2181">
        <v>0.12195028978589417</v>
      </c>
      <c r="P2181">
        <v>1.5663195484990067E-2</v>
      </c>
      <c r="Q2181">
        <v>9.1825028359815571E-4</v>
      </c>
      <c r="R2181">
        <v>1.6298934988279749E-3</v>
      </c>
      <c r="S2181">
        <v>0.12204039482237414</v>
      </c>
      <c r="T2181">
        <v>0.82097575017401936</v>
      </c>
      <c r="U2181">
        <v>0</v>
      </c>
      <c r="V2181">
        <v>0.20698182472865059</v>
      </c>
      <c r="W2181">
        <v>9.8394920984152492E-2</v>
      </c>
      <c r="X2181">
        <v>2.7830675361779168E-2</v>
      </c>
      <c r="Y2181">
        <v>4.4360328095622596E-3</v>
      </c>
    </row>
    <row r="2182" spans="1:25" x14ac:dyDescent="0.25">
      <c r="A2182" s="1098"/>
      <c r="B2182" s="1457">
        <v>1932</v>
      </c>
      <c r="C2182" s="1102">
        <v>0.98984826186000363</v>
      </c>
      <c r="D2182" s="1102">
        <v>0.99471458481331609</v>
      </c>
      <c r="E2182" s="1102">
        <v>0.99500575344260966</v>
      </c>
      <c r="F2182" s="1102">
        <v>0.95309424784470376</v>
      </c>
      <c r="G2182" s="1102">
        <v>0.99699944537271035</v>
      </c>
      <c r="H2182" s="1102">
        <v>1.0344495211386948</v>
      </c>
      <c r="I2182" s="1102">
        <v>0.99161254244876107</v>
      </c>
      <c r="K2182">
        <v>1.5269979460588585</v>
      </c>
      <c r="L2182">
        <v>0</v>
      </c>
      <c r="M2182">
        <v>1.6451012518338799E-3</v>
      </c>
      <c r="N2182">
        <v>0.14911895667368016</v>
      </c>
      <c r="O2182">
        <v>0.11880138559139972</v>
      </c>
      <c r="P2182">
        <v>1.51245318428206E-2</v>
      </c>
      <c r="Q2182">
        <v>9.0523477189164597E-4</v>
      </c>
      <c r="R2182">
        <v>1.6414728726726639E-3</v>
      </c>
      <c r="S2182">
        <v>0.12247798491472242</v>
      </c>
      <c r="T2182">
        <v>0.78685521666959424</v>
      </c>
      <c r="U2182">
        <v>0</v>
      </c>
      <c r="V2182">
        <v>0.20403246708563205</v>
      </c>
      <c r="W2182">
        <v>9.8252803792184956E-2</v>
      </c>
      <c r="X2182">
        <v>2.6965445048064769E-2</v>
      </c>
      <c r="Y2182">
        <v>4.4675480480279427E-3</v>
      </c>
    </row>
    <row r="2183" spans="1:25" x14ac:dyDescent="0.25">
      <c r="A2183" s="1098"/>
      <c r="B2183" s="1457">
        <v>1933</v>
      </c>
      <c r="C2183" s="1102">
        <v>1.0112090972253851</v>
      </c>
      <c r="D2183" s="1102">
        <v>0.99597212977611482</v>
      </c>
      <c r="E2183" s="1102">
        <v>0.96780999271255974</v>
      </c>
      <c r="F2183" s="1102">
        <v>0.97322005398013367</v>
      </c>
      <c r="G2183" s="1102">
        <v>1.0146816706455142</v>
      </c>
      <c r="H2183" s="1102">
        <v>1.0291870903569813</v>
      </c>
      <c r="I2183" s="1102">
        <v>0.9977825473682721</v>
      </c>
      <c r="K2183">
        <v>1.5321324516674062</v>
      </c>
      <c r="L2183">
        <v>0</v>
      </c>
      <c r="M2183">
        <v>1.6991733206775297E-3</v>
      </c>
      <c r="N2183">
        <v>0.14185467202624719</v>
      </c>
      <c r="O2183">
        <v>0.11918247627416217</v>
      </c>
      <c r="P2183">
        <v>1.5031214418563118E-2</v>
      </c>
      <c r="Q2183">
        <v>8.6079822622978487E-4</v>
      </c>
      <c r="R2183">
        <v>1.6954179853429993E-3</v>
      </c>
      <c r="S2183">
        <v>0.12034474038516954</v>
      </c>
      <c r="T2183">
        <v>0.80523377695423304</v>
      </c>
      <c r="U2183">
        <v>0</v>
      </c>
      <c r="V2183">
        <v>0.2040118802575038</v>
      </c>
      <c r="W2183">
        <v>9.5012270836512619E-2</v>
      </c>
      <c r="X2183">
        <v>2.5990008762402244E-2</v>
      </c>
      <c r="Y2183">
        <v>4.6143688617149804E-3</v>
      </c>
    </row>
    <row r="2184" spans="1:25" x14ac:dyDescent="0.25">
      <c r="A2184" s="1098"/>
      <c r="B2184" s="1457">
        <v>1934</v>
      </c>
      <c r="C2184" s="1102">
        <v>0.97560364183201564</v>
      </c>
      <c r="D2184" s="1102">
        <v>1.0066700244120352</v>
      </c>
      <c r="E2184" s="1102">
        <v>0.99790822989991668</v>
      </c>
      <c r="F2184" s="1102">
        <v>0.97430310536916631</v>
      </c>
      <c r="G2184" s="1102">
        <v>1.0151088907812971</v>
      </c>
      <c r="H2184" s="1102">
        <v>1.0286853347844813</v>
      </c>
      <c r="I2184" s="1102">
        <v>0.97645085308437951</v>
      </c>
      <c r="K2184">
        <v>1.5495089914034801</v>
      </c>
      <c r="L2184">
        <v>0</v>
      </c>
      <c r="M2184">
        <v>1.6398686853682843E-3</v>
      </c>
      <c r="N2184">
        <v>0.14995190473731357</v>
      </c>
      <c r="O2184">
        <v>0.12053289262371274</v>
      </c>
      <c r="P2184">
        <v>1.5412917742304562E-2</v>
      </c>
      <c r="Q2184">
        <v>9.1683328749089658E-4</v>
      </c>
      <c r="R2184">
        <v>1.6362268598703329E-3</v>
      </c>
      <c r="S2184">
        <v>0.12110590412140372</v>
      </c>
      <c r="T2184">
        <v>0.80417781363817709</v>
      </c>
      <c r="U2184">
        <v>0</v>
      </c>
      <c r="V2184">
        <v>0.20685199663957282</v>
      </c>
      <c r="W2184">
        <v>9.8630854006119428E-2</v>
      </c>
      <c r="X2184">
        <v>2.7478246302353859E-2</v>
      </c>
      <c r="Y2184">
        <v>4.4532701305276508E-3</v>
      </c>
    </row>
    <row r="2185" spans="1:25" x14ac:dyDescent="0.25">
      <c r="A2185" s="1098"/>
      <c r="B2185" s="1457">
        <v>1935</v>
      </c>
      <c r="C2185" s="1102">
        <v>1.0049082891972585</v>
      </c>
      <c r="D2185" s="1102">
        <v>1.0164274494553824</v>
      </c>
      <c r="E2185" s="1102">
        <v>1.0273138718961119</v>
      </c>
      <c r="F2185" s="1102">
        <v>0.98652869323560277</v>
      </c>
      <c r="G2185" s="1102">
        <v>1.0290399821168807</v>
      </c>
      <c r="H2185" s="1102">
        <v>0.96100889073978457</v>
      </c>
      <c r="I2185" s="1102">
        <v>0.98888909759247601</v>
      </c>
      <c r="K2185">
        <v>1.5290067584627389</v>
      </c>
      <c r="L2185">
        <v>0</v>
      </c>
      <c r="M2185">
        <v>1.395934801362496E-3</v>
      </c>
      <c r="N2185">
        <v>0.13947262120593298</v>
      </c>
      <c r="O2185">
        <v>0.11939541349129314</v>
      </c>
      <c r="P2185">
        <v>1.5738216066569787E-2</v>
      </c>
      <c r="Q2185">
        <v>9.1393241580633967E-4</v>
      </c>
      <c r="R2185">
        <v>1.3926215925057683E-3</v>
      </c>
      <c r="S2185">
        <v>0.11346763633509419</v>
      </c>
      <c r="T2185">
        <v>0.81236544787351772</v>
      </c>
      <c r="U2185">
        <v>0</v>
      </c>
      <c r="V2185">
        <v>0.20538113837462429</v>
      </c>
      <c r="W2185">
        <v>9.016426545649428E-2</v>
      </c>
      <c r="X2185">
        <v>2.8321143555046436E-2</v>
      </c>
      <c r="Y2185">
        <v>3.7902568972161114E-3</v>
      </c>
    </row>
    <row r="2186" spans="1:25" x14ac:dyDescent="0.25">
      <c r="A2186" s="1098"/>
      <c r="B2186" s="1457">
        <v>1936</v>
      </c>
      <c r="C2186" s="1102">
        <v>1.0090668696036209</v>
      </c>
      <c r="D2186" s="1102">
        <v>1.0057705908232339</v>
      </c>
      <c r="E2186" s="1102">
        <v>1.0410352692240801</v>
      </c>
      <c r="F2186" s="1102">
        <v>1.0160624934767144</v>
      </c>
      <c r="G2186" s="1102">
        <v>1.0081989436411931</v>
      </c>
      <c r="H2186" s="1102">
        <v>1.0158607640304402</v>
      </c>
      <c r="I2186" s="1102">
        <v>0.99492020266212677</v>
      </c>
      <c r="K2186">
        <v>1.5791710849549585</v>
      </c>
      <c r="L2186">
        <v>0</v>
      </c>
      <c r="M2186">
        <v>1.4402534720526993E-3</v>
      </c>
      <c r="N2186">
        <v>0.14999660898923078</v>
      </c>
      <c r="O2186">
        <v>0.12165866004419257</v>
      </c>
      <c r="P2186">
        <v>1.6308928720010704E-2</v>
      </c>
      <c r="Q2186">
        <v>9.2687050967301386E-4</v>
      </c>
      <c r="R2186">
        <v>1.4370334332754143E-3</v>
      </c>
      <c r="S2186">
        <v>0.11890561238015332</v>
      </c>
      <c r="T2186">
        <v>0.83578035026696773</v>
      </c>
      <c r="U2186">
        <v>0</v>
      </c>
      <c r="V2186">
        <v>0.20595815034849296</v>
      </c>
      <c r="W2186">
        <v>9.6200888906195728E-2</v>
      </c>
      <c r="X2186">
        <v>2.9527103541387142E-2</v>
      </c>
      <c r="Y2186">
        <v>3.9111312874317138E-3</v>
      </c>
    </row>
    <row r="2187" spans="1:25" x14ac:dyDescent="0.25">
      <c r="A2187" s="1098"/>
      <c r="B2187" s="1457">
        <v>1937</v>
      </c>
      <c r="C2187" s="1102">
        <v>1.0330821391669145</v>
      </c>
      <c r="D2187" s="1102">
        <v>1.041954809252845</v>
      </c>
      <c r="E2187" s="1102">
        <v>0.99613787753467142</v>
      </c>
      <c r="F2187" s="1102">
        <v>0.96497012196752985</v>
      </c>
      <c r="G2187" s="1102">
        <v>0.98842483423438587</v>
      </c>
      <c r="H2187" s="1102">
        <v>1.0105949921514585</v>
      </c>
      <c r="I2187" s="1102">
        <v>1.0130932674329356</v>
      </c>
      <c r="K2187">
        <v>1.4997086550598977</v>
      </c>
      <c r="L2187">
        <v>0</v>
      </c>
      <c r="M2187">
        <v>1.5027257072563799E-3</v>
      </c>
      <c r="N2187">
        <v>0.13667205967847157</v>
      </c>
      <c r="O2187">
        <v>0.11554819066410017</v>
      </c>
      <c r="P2187">
        <v>1.5106645384956804E-2</v>
      </c>
      <c r="Q2187">
        <v>8.5240466196409646E-4</v>
      </c>
      <c r="R2187">
        <v>1.499321099420759E-3</v>
      </c>
      <c r="S2187">
        <v>0.11514374020098976</v>
      </c>
      <c r="T2187">
        <v>0.79658742233525592</v>
      </c>
      <c r="U2187">
        <v>0</v>
      </c>
      <c r="V2187">
        <v>0.19938780655736735</v>
      </c>
      <c r="W2187">
        <v>8.9990898236889799E-2</v>
      </c>
      <c r="X2187">
        <v>2.6342234166181824E-2</v>
      </c>
      <c r="Y2187">
        <v>4.0806577815557148E-3</v>
      </c>
    </row>
    <row r="2188" spans="1:25" x14ac:dyDescent="0.25">
      <c r="A2188" s="1098"/>
      <c r="B2188" s="1457">
        <v>1938</v>
      </c>
      <c r="C2188" s="1102">
        <v>1.0164301470054633</v>
      </c>
      <c r="D2188" s="1102">
        <v>0.98837198971278206</v>
      </c>
      <c r="E2188" s="1102">
        <v>0.99265308230444205</v>
      </c>
      <c r="F2188" s="1102">
        <v>1.0351277431618717</v>
      </c>
      <c r="G2188" s="1102">
        <v>1.0009765959334063</v>
      </c>
      <c r="H2188" s="1102">
        <v>1.010322086969657</v>
      </c>
      <c r="I2188" s="1102">
        <v>1.0033192331408494</v>
      </c>
      <c r="K2188">
        <v>1.5915069231573808</v>
      </c>
      <c r="L2188">
        <v>0</v>
      </c>
      <c r="M2188">
        <v>1.5912842285259437E-3</v>
      </c>
      <c r="N2188">
        <v>0.14321414855478495</v>
      </c>
      <c r="O2188">
        <v>0.12352139985002741</v>
      </c>
      <c r="P2188">
        <v>1.60160231651462E-2</v>
      </c>
      <c r="Q2188">
        <v>8.816590886765132E-4</v>
      </c>
      <c r="R2188">
        <v>1.5877243730801356E-3</v>
      </c>
      <c r="S2188">
        <v>0.11991139141516867</v>
      </c>
      <c r="T2188">
        <v>0.85474165143778968</v>
      </c>
      <c r="U2188">
        <v>0</v>
      </c>
      <c r="V2188">
        <v>0.20644531177218639</v>
      </c>
      <c r="W2188">
        <v>9.4494876646363746E-2</v>
      </c>
      <c r="X2188">
        <v>2.7962758732357047E-2</v>
      </c>
      <c r="Y2188">
        <v>4.3212623503252074E-3</v>
      </c>
    </row>
    <row r="2189" spans="1:25" x14ac:dyDescent="0.25">
      <c r="A2189" s="1098"/>
      <c r="B2189" s="1457">
        <v>1939</v>
      </c>
      <c r="C2189" s="1102">
        <v>0.99846613733624578</v>
      </c>
      <c r="D2189" s="1102">
        <v>0.9708439361089507</v>
      </c>
      <c r="E2189" s="1102">
        <v>0.98218624569848145</v>
      </c>
      <c r="F2189" s="1102">
        <v>1.0200468841893935</v>
      </c>
      <c r="G2189" s="1102">
        <v>1.0068025362385566</v>
      </c>
      <c r="H2189" s="1102">
        <v>1.0390446044480188</v>
      </c>
      <c r="I2189" s="1102">
        <v>1.0041424227852238</v>
      </c>
      <c r="K2189">
        <v>1.5987946199251919</v>
      </c>
      <c r="L2189">
        <v>0</v>
      </c>
      <c r="M2189">
        <v>1.7157124230934735E-3</v>
      </c>
      <c r="N2189">
        <v>0.14961114092150254</v>
      </c>
      <c r="O2189">
        <v>0.1242317955791223</v>
      </c>
      <c r="P2189">
        <v>1.5828973736047188E-2</v>
      </c>
      <c r="Q2189">
        <v>8.9414620637848154E-4</v>
      </c>
      <c r="R2189">
        <v>1.7119825371732704E-3</v>
      </c>
      <c r="S2189">
        <v>0.12559521893942963</v>
      </c>
      <c r="T2189">
        <v>0.84299799791855157</v>
      </c>
      <c r="U2189">
        <v>0</v>
      </c>
      <c r="V2189">
        <v>0.207964000828988</v>
      </c>
      <c r="W2189">
        <v>9.9337903895603513E-2</v>
      </c>
      <c r="X2189">
        <v>2.7677719674195172E-2</v>
      </c>
      <c r="Y2189">
        <v>4.6594521112939364E-3</v>
      </c>
    </row>
    <row r="2190" spans="1:25" x14ac:dyDescent="0.25">
      <c r="A2190" s="1098"/>
      <c r="B2190" s="1457">
        <v>1940</v>
      </c>
      <c r="C2190" s="1102">
        <v>1.0187662010564795</v>
      </c>
      <c r="D2190" s="1102">
        <v>1.0075643695687986</v>
      </c>
      <c r="E2190" s="1102">
        <v>1.0157668650495677</v>
      </c>
      <c r="F2190" s="1102">
        <v>1.0410005485000176</v>
      </c>
      <c r="G2190" s="1102">
        <v>0.95511200723393452</v>
      </c>
      <c r="H2190" s="1102">
        <v>0.97628231855281111</v>
      </c>
      <c r="I2190" s="1102">
        <v>1.0047380741488048</v>
      </c>
      <c r="K2190">
        <v>1.5809875827815316</v>
      </c>
      <c r="L2190">
        <v>0</v>
      </c>
      <c r="M2190">
        <v>1.4471310370814837E-3</v>
      </c>
      <c r="N2190">
        <v>0.13964567445345427</v>
      </c>
      <c r="O2190">
        <v>0.12287107795844705</v>
      </c>
      <c r="P2190">
        <v>1.6248253108883885E-2</v>
      </c>
      <c r="Q2190">
        <v>8.9401989858071626E-4</v>
      </c>
      <c r="R2190">
        <v>1.443771660668463E-3</v>
      </c>
      <c r="S2190">
        <v>0.1158591239116538</v>
      </c>
      <c r="T2190">
        <v>0.85800591244457836</v>
      </c>
      <c r="U2190">
        <v>0</v>
      </c>
      <c r="V2190">
        <v>0.20394025607768421</v>
      </c>
      <c r="W2190">
        <v>9.0887333226694178E-2</v>
      </c>
      <c r="X2190">
        <v>2.8709820556826946E-2</v>
      </c>
      <c r="Y2190">
        <v>3.9294705211395274E-3</v>
      </c>
    </row>
    <row r="2191" spans="1:25" x14ac:dyDescent="0.25">
      <c r="A2191" s="1098"/>
      <c r="B2191" s="1457">
        <v>1941</v>
      </c>
      <c r="C2191" s="1102">
        <v>1.0059256761471447</v>
      </c>
      <c r="D2191" s="1102">
        <v>1.0155265731636676</v>
      </c>
      <c r="E2191" s="1102">
        <v>0.96320890180708185</v>
      </c>
      <c r="F2191" s="1102">
        <v>0.98948439129271826</v>
      </c>
      <c r="G2191" s="1102">
        <v>0.99145688425913869</v>
      </c>
      <c r="H2191" s="1102">
        <v>0.98136696924406519</v>
      </c>
      <c r="I2191" s="1102">
        <v>1.0007390823222782</v>
      </c>
      <c r="K2191">
        <v>1.5290092651840816</v>
      </c>
      <c r="L2191">
        <v>0</v>
      </c>
      <c r="M2191">
        <v>1.6277280820980245E-3</v>
      </c>
      <c r="N2191">
        <v>0.13399425433473378</v>
      </c>
      <c r="O2191">
        <v>0.11976646314925489</v>
      </c>
      <c r="P2191">
        <v>1.5101763085493681E-2</v>
      </c>
      <c r="Q2191">
        <v>8.5445347303712642E-4</v>
      </c>
      <c r="R2191">
        <v>1.6239465445790581E-3</v>
      </c>
      <c r="S2191">
        <v>0.11626584005040085</v>
      </c>
      <c r="T2191">
        <v>0.81899635457560616</v>
      </c>
      <c r="U2191">
        <v>0</v>
      </c>
      <c r="V2191">
        <v>0.20366813032426834</v>
      </c>
      <c r="W2191">
        <v>9.0000053247643874E-2</v>
      </c>
      <c r="X2191">
        <v>2.5945887320652838E-2</v>
      </c>
      <c r="Y2191">
        <v>4.4198471605096509E-3</v>
      </c>
    </row>
    <row r="2192" spans="1:25" x14ac:dyDescent="0.25">
      <c r="A2192" s="1098"/>
      <c r="B2192" s="1457">
        <v>1942</v>
      </c>
      <c r="C2192" s="1102">
        <v>0.97966716979672186</v>
      </c>
      <c r="D2192" s="1102">
        <v>1.0112780603939164</v>
      </c>
      <c r="E2192" s="1102">
        <v>1.022259331586602</v>
      </c>
      <c r="F2192" s="1102">
        <v>1.0051903650126686</v>
      </c>
      <c r="G2192" s="1102">
        <v>1.0096773117649289</v>
      </c>
      <c r="H2192" s="1102">
        <v>1.0002259680912811</v>
      </c>
      <c r="I2192" s="1102">
        <v>0.99224672359745125</v>
      </c>
      <c r="K2192">
        <v>1.573114393098046</v>
      </c>
      <c r="L2192">
        <v>0</v>
      </c>
      <c r="M2192">
        <v>1.5097786806814889E-3</v>
      </c>
      <c r="N2192">
        <v>0.1485792062158709</v>
      </c>
      <c r="O2192">
        <v>0.12223409045775595</v>
      </c>
      <c r="P2192">
        <v>1.6024655612201816E-2</v>
      </c>
      <c r="Q2192">
        <v>9.3454039719477119E-4</v>
      </c>
      <c r="R2192">
        <v>1.5063371655847694E-3</v>
      </c>
      <c r="S2192">
        <v>0.12022456825789393</v>
      </c>
      <c r="T2192">
        <v>0.82806389352032128</v>
      </c>
      <c r="U2192">
        <v>0</v>
      </c>
      <c r="V2192">
        <v>0.20777081052182983</v>
      </c>
      <c r="W2192">
        <v>9.6334751899482277E-2</v>
      </c>
      <c r="X2192">
        <v>2.885156452978126E-2</v>
      </c>
      <c r="Y2192">
        <v>4.099753200808561E-3</v>
      </c>
    </row>
    <row r="2193" spans="1:25" x14ac:dyDescent="0.25">
      <c r="A2193" s="1098"/>
      <c r="B2193" s="1457">
        <v>1943</v>
      </c>
      <c r="C2193" s="1102">
        <v>0.99717466689639644</v>
      </c>
      <c r="D2193" s="1102">
        <v>0.99158039407738707</v>
      </c>
      <c r="E2193" s="1102">
        <v>0.98878792407494942</v>
      </c>
      <c r="F2193" s="1102">
        <v>0.99812237080180688</v>
      </c>
      <c r="G2193" s="1102">
        <v>0.96976470430077799</v>
      </c>
      <c r="H2193" s="1102">
        <v>1.0319302503609249</v>
      </c>
      <c r="I2193" s="1102">
        <v>0.99203146663515429</v>
      </c>
      <c r="K2193">
        <v>1.5665348006008919</v>
      </c>
      <c r="L2193">
        <v>0</v>
      </c>
      <c r="M2193">
        <v>1.6600224941097823E-3</v>
      </c>
      <c r="N2193">
        <v>0.14767028343077615</v>
      </c>
      <c r="O2193">
        <v>0.12178849795348341</v>
      </c>
      <c r="P2193">
        <v>1.5563426859484815E-2</v>
      </c>
      <c r="Q2193">
        <v>8.9391238433219136E-4</v>
      </c>
      <c r="R2193">
        <v>1.6563694696165717E-3</v>
      </c>
      <c r="S2193">
        <v>0.12198799477532851</v>
      </c>
      <c r="T2193">
        <v>0.82444083600300044</v>
      </c>
      <c r="U2193">
        <v>0</v>
      </c>
      <c r="V2193">
        <v>0.20462733512568942</v>
      </c>
      <c r="W2193">
        <v>9.7660842536642242E-2</v>
      </c>
      <c r="X2193">
        <v>2.7397232882398845E-2</v>
      </c>
      <c r="Y2193">
        <v>4.5080916742473963E-3</v>
      </c>
    </row>
    <row r="2194" spans="1:25" x14ac:dyDescent="0.25">
      <c r="A2194" s="1098"/>
      <c r="B2194" s="1457">
        <v>1944</v>
      </c>
      <c r="C2194" s="1102">
        <v>0.98484242479244133</v>
      </c>
      <c r="D2194" s="1102">
        <v>0.98886737053153939</v>
      </c>
      <c r="E2194" s="1102">
        <v>1.0067327689466457</v>
      </c>
      <c r="F2194" s="1102">
        <v>0.973757844013869</v>
      </c>
      <c r="G2194" s="1102">
        <v>1.0314907379449325</v>
      </c>
      <c r="H2194" s="1102">
        <v>0.97717472199927158</v>
      </c>
      <c r="I2194" s="1102">
        <v>0.99771034121840352</v>
      </c>
      <c r="K2194">
        <v>1.5373231928799385</v>
      </c>
      <c r="L2194">
        <v>0</v>
      </c>
      <c r="M2194">
        <v>1.531452244071923E-3</v>
      </c>
      <c r="N2194">
        <v>0.14380557491944315</v>
      </c>
      <c r="O2194">
        <v>0.12076443203932738</v>
      </c>
      <c r="P2194">
        <v>1.5489098424678721E-2</v>
      </c>
      <c r="Q2194">
        <v>9.2313511491319957E-4</v>
      </c>
      <c r="R2194">
        <v>1.5278846707639923E-3</v>
      </c>
      <c r="S2194">
        <v>0.11981035756481249</v>
      </c>
      <c r="T2194">
        <v>0.80316114903774938</v>
      </c>
      <c r="U2194">
        <v>0</v>
      </c>
      <c r="V2194">
        <v>0.20730492044185453</v>
      </c>
      <c r="W2194">
        <v>9.4094208709114932E-2</v>
      </c>
      <c r="X2194">
        <v>2.7815485794576555E-2</v>
      </c>
      <c r="Y2194">
        <v>4.1583984067732329E-3</v>
      </c>
    </row>
    <row r="2195" spans="1:25" x14ac:dyDescent="0.25">
      <c r="A2195" s="1098"/>
      <c r="B2195" s="1457">
        <v>1945</v>
      </c>
      <c r="C2195" s="1102">
        <v>1.0268279792562485</v>
      </c>
      <c r="D2195" s="1102">
        <v>0.99603970913819795</v>
      </c>
      <c r="E2195" s="1102">
        <v>0.99690686549190055</v>
      </c>
      <c r="F2195" s="1102">
        <v>0.97223183789688239</v>
      </c>
      <c r="G2195" s="1102">
        <v>1.0341424004353197</v>
      </c>
      <c r="H2195" s="1102">
        <v>1.0044665333916467</v>
      </c>
      <c r="I2195" s="1102">
        <v>0.99755573860212887</v>
      </c>
      <c r="K2195">
        <v>1.5210606302709506</v>
      </c>
      <c r="L2195">
        <v>0</v>
      </c>
      <c r="M2195">
        <v>1.5393106314409474E-3</v>
      </c>
      <c r="N2195">
        <v>0.14032565038321113</v>
      </c>
      <c r="O2195">
        <v>0.11826296268999749</v>
      </c>
      <c r="P2195">
        <v>1.5275183482642601E-2</v>
      </c>
      <c r="Q2195">
        <v>8.7389402306183267E-4</v>
      </c>
      <c r="R2195">
        <v>1.5358285352009722E-3</v>
      </c>
      <c r="S2195">
        <v>0.11671445068071155</v>
      </c>
      <c r="T2195">
        <v>0.80253256498006542</v>
      </c>
      <c r="U2195">
        <v>0</v>
      </c>
      <c r="V2195">
        <v>0.20361895199077404</v>
      </c>
      <c r="W2195">
        <v>9.2354247355170282E-2</v>
      </c>
      <c r="X2195">
        <v>2.6926187794480704E-2</v>
      </c>
      <c r="Y2195">
        <v>4.1800189870764854E-3</v>
      </c>
    </row>
    <row r="2196" spans="1:25" x14ac:dyDescent="0.25">
      <c r="A2196" s="1098"/>
      <c r="B2196" s="1457">
        <v>1946</v>
      </c>
      <c r="C2196" s="1102">
        <v>1.0160219805607762</v>
      </c>
      <c r="D2196" s="1102">
        <v>1.0259661239702242</v>
      </c>
      <c r="E2196" s="1102">
        <v>1.0177615163450424</v>
      </c>
      <c r="F2196" s="1102">
        <v>1.0059484756466153</v>
      </c>
      <c r="G2196" s="1102">
        <v>1.0023032648396601</v>
      </c>
      <c r="H2196" s="1102">
        <v>0.96475687081683648</v>
      </c>
      <c r="I2196" s="1102">
        <v>0.98992377627816364</v>
      </c>
      <c r="K2196">
        <v>1.5392932339011045</v>
      </c>
      <c r="L2196">
        <v>0</v>
      </c>
      <c r="M2196">
        <v>1.4095456346984519E-3</v>
      </c>
      <c r="N2196">
        <v>0.13683423219442975</v>
      </c>
      <c r="O2196">
        <v>0.11980415406792821</v>
      </c>
      <c r="P2196">
        <v>1.5820330345963279E-2</v>
      </c>
      <c r="Q2196">
        <v>8.917943220715218E-4</v>
      </c>
      <c r="R2196">
        <v>1.4062153260978188E-3</v>
      </c>
      <c r="S2196">
        <v>0.11214970775635527</v>
      </c>
      <c r="T2196">
        <v>0.82898417597728002</v>
      </c>
      <c r="U2196">
        <v>0</v>
      </c>
      <c r="V2196">
        <v>0.20396598789802131</v>
      </c>
      <c r="W2196">
        <v>8.895339524774204E-2</v>
      </c>
      <c r="X2196">
        <v>2.8065531841033744E-2</v>
      </c>
      <c r="Y2196">
        <v>3.827254558880598E-3</v>
      </c>
    </row>
    <row r="2197" spans="1:25" x14ac:dyDescent="0.25">
      <c r="A2197" s="1098"/>
      <c r="B2197" s="1457">
        <v>1947</v>
      </c>
      <c r="C2197" s="1102">
        <v>0.98014732145157257</v>
      </c>
      <c r="D2197" s="1102">
        <v>0.97729822528748223</v>
      </c>
      <c r="E2197" s="1102">
        <v>0.97938872012024158</v>
      </c>
      <c r="F2197" s="1102">
        <v>1.0124954914573059</v>
      </c>
      <c r="G2197" s="1102">
        <v>0.99319172178225079</v>
      </c>
      <c r="H2197" s="1102">
        <v>0.96456778479566374</v>
      </c>
      <c r="I2197" s="1102">
        <v>0.97640320630504962</v>
      </c>
      <c r="K2197">
        <v>1.5694481734192538</v>
      </c>
      <c r="L2197">
        <v>0</v>
      </c>
      <c r="M2197">
        <v>1.6226017714340256E-3</v>
      </c>
      <c r="N2197">
        <v>0.14027470700710648</v>
      </c>
      <c r="O2197">
        <v>0.12437885387187556</v>
      </c>
      <c r="P2197">
        <v>1.5614336097833867E-2</v>
      </c>
      <c r="Q2197">
        <v>9.0578846628029707E-4</v>
      </c>
      <c r="R2197">
        <v>1.6187902441914619E-3</v>
      </c>
      <c r="S2197">
        <v>0.11779499239220866</v>
      </c>
      <c r="T2197">
        <v>0.83694603558935854</v>
      </c>
      <c r="U2197">
        <v>0</v>
      </c>
      <c r="V2197">
        <v>0.20833583887452792</v>
      </c>
      <c r="W2197">
        <v>9.3296120462721233E-2</v>
      </c>
      <c r="X2197">
        <v>2.7499498773954193E-2</v>
      </c>
      <c r="Y2197">
        <v>4.4058134106285786E-3</v>
      </c>
    </row>
    <row r="2198" spans="1:25" x14ac:dyDescent="0.25">
      <c r="A2198" s="1098"/>
      <c r="B2198" s="1457">
        <v>1948</v>
      </c>
      <c r="C2198" s="1102">
        <v>0.96234499729323497</v>
      </c>
      <c r="D2198" s="1102">
        <v>0.99241462700827376</v>
      </c>
      <c r="E2198" s="1102">
        <v>0.98298692854498304</v>
      </c>
      <c r="F2198" s="1102">
        <v>1.0229983405564553</v>
      </c>
      <c r="G2198" s="1102">
        <v>1.0353836962021294</v>
      </c>
      <c r="H2198" s="1102">
        <v>1.01696384887632</v>
      </c>
      <c r="I2198" s="1102">
        <v>1.0114896206373378</v>
      </c>
      <c r="K2198">
        <v>1.608821449057811</v>
      </c>
      <c r="L2198">
        <v>0</v>
      </c>
      <c r="M2198">
        <v>1.7135567756874769E-3</v>
      </c>
      <c r="N2198">
        <v>0.1497763768806438</v>
      </c>
      <c r="O2198">
        <v>0.12538384987951934</v>
      </c>
      <c r="P2198">
        <v>1.5949413843852827E-2</v>
      </c>
      <c r="Q2198">
        <v>9.203594814228541E-4</v>
      </c>
      <c r="R2198">
        <v>1.7097271064096958E-3</v>
      </c>
      <c r="S2198">
        <v>0.12749175270183097</v>
      </c>
      <c r="T2198">
        <v>0.84538263957843329</v>
      </c>
      <c r="U2198">
        <v>0</v>
      </c>
      <c r="V2198">
        <v>0.21191145157952299</v>
      </c>
      <c r="W2198">
        <v>9.9399646254136997E-2</v>
      </c>
      <c r="X2198">
        <v>2.7956474955467277E-2</v>
      </c>
      <c r="Y2198">
        <v>4.653313572258037E-3</v>
      </c>
    </row>
    <row r="2199" spans="1:25" x14ac:dyDescent="0.25">
      <c r="A2199" s="1098"/>
      <c r="B2199" s="1457">
        <v>1949</v>
      </c>
      <c r="C2199" s="1102">
        <v>0.95326666172689201</v>
      </c>
      <c r="D2199" s="1102">
        <v>1.03479715847825</v>
      </c>
      <c r="E2199" s="1102">
        <v>0.9817315878313061</v>
      </c>
      <c r="F2199" s="1102">
        <v>1.0359662931449423</v>
      </c>
      <c r="G2199" s="1102">
        <v>0.97329286753488675</v>
      </c>
      <c r="H2199" s="1102">
        <v>1.0144334545588789</v>
      </c>
      <c r="I2199" s="1102">
        <v>0.97596174118916679</v>
      </c>
      <c r="K2199">
        <v>1.6055324597134366</v>
      </c>
      <c r="L2199">
        <v>0</v>
      </c>
      <c r="M2199">
        <v>1.6900874704054349E-3</v>
      </c>
      <c r="N2199">
        <v>0.14716204285809464</v>
      </c>
      <c r="O2199">
        <v>0.12490292642532327</v>
      </c>
      <c r="P2199">
        <v>1.5956556687343467E-2</v>
      </c>
      <c r="Q2199">
        <v>9.1251171158942851E-4</v>
      </c>
      <c r="R2199">
        <v>1.6862755784232324E-3</v>
      </c>
      <c r="S2199">
        <v>0.12094832242276156</v>
      </c>
      <c r="T2199">
        <v>0.85618565279359415</v>
      </c>
      <c r="U2199">
        <v>0</v>
      </c>
      <c r="V2199">
        <v>0.2093224019486124</v>
      </c>
      <c r="W2199">
        <v>9.7738553688456395E-2</v>
      </c>
      <c r="X2199">
        <v>2.7817816825769955E-2</v>
      </c>
      <c r="Y2199">
        <v>4.5894862438730071E-3</v>
      </c>
    </row>
    <row r="2200" spans="1:25" x14ac:dyDescent="0.25">
      <c r="A2200" s="1098"/>
      <c r="B2200" s="1457">
        <v>1950</v>
      </c>
      <c r="C2200" s="1102">
        <v>1.0200684667961109</v>
      </c>
      <c r="D2200" s="1102">
        <v>0.9857717558988891</v>
      </c>
      <c r="E2200" s="1102">
        <v>0.97534531486613862</v>
      </c>
      <c r="F2200" s="1102">
        <v>0.9999807886973231</v>
      </c>
      <c r="G2200" s="1102">
        <v>0.9609593879245848</v>
      </c>
      <c r="H2200" s="1102">
        <v>1.0204656793489844</v>
      </c>
      <c r="I2200" s="1102">
        <v>0.98088878208895958</v>
      </c>
      <c r="K2200">
        <v>1.5515614639011492</v>
      </c>
      <c r="L2200">
        <v>0</v>
      </c>
      <c r="M2200">
        <v>1.6585043724324125E-3</v>
      </c>
      <c r="N2200">
        <v>0.14165321299944048</v>
      </c>
      <c r="O2200">
        <v>0.12105496061370949</v>
      </c>
      <c r="P2200">
        <v>1.5351217489497306E-2</v>
      </c>
      <c r="Q2200">
        <v>8.636669542408141E-4</v>
      </c>
      <c r="R2200">
        <v>1.6548240072002094E-3</v>
      </c>
      <c r="S2200">
        <v>0.1175614914166275</v>
      </c>
      <c r="T2200">
        <v>0.82687103845513144</v>
      </c>
      <c r="U2200">
        <v>0</v>
      </c>
      <c r="V2200">
        <v>0.20257561489536591</v>
      </c>
      <c r="W2200">
        <v>9.4443743215681053E-2</v>
      </c>
      <c r="X2200">
        <v>2.6686312791675472E-2</v>
      </c>
      <c r="Y2200">
        <v>4.5038854350116075E-3</v>
      </c>
    </row>
    <row r="2201" spans="1:25" x14ac:dyDescent="0.25">
      <c r="A2201" s="1098"/>
      <c r="B2201" s="1457">
        <v>1951</v>
      </c>
      <c r="C2201" s="1102">
        <v>0.95427826206339594</v>
      </c>
      <c r="D2201" s="1102">
        <v>1.0265860331112513</v>
      </c>
      <c r="E2201" s="1102">
        <v>1.0147369359918164</v>
      </c>
      <c r="F2201" s="1102">
        <v>1.0195221768837346</v>
      </c>
      <c r="G2201" s="1102">
        <v>1.0224763606089393</v>
      </c>
      <c r="H2201" s="1102">
        <v>0.98745199091322799</v>
      </c>
      <c r="I2201" s="1102">
        <v>0.98775808057189229</v>
      </c>
      <c r="K2201">
        <v>1.5907043136138146</v>
      </c>
      <c r="L2201">
        <v>0</v>
      </c>
      <c r="M2201">
        <v>1.539863359319062E-3</v>
      </c>
      <c r="N2201">
        <v>0.1481337570659281</v>
      </c>
      <c r="O2201">
        <v>0.1239613777156699</v>
      </c>
      <c r="P2201">
        <v>1.6155129428578618E-2</v>
      </c>
      <c r="Q2201">
        <v>9.4631920221607607E-4</v>
      </c>
      <c r="R2201">
        <v>1.5362960633558294E-3</v>
      </c>
      <c r="S2201">
        <v>0.1206572071404321</v>
      </c>
      <c r="T2201">
        <v>0.84037196467378705</v>
      </c>
      <c r="U2201">
        <v>0</v>
      </c>
      <c r="V2201">
        <v>0.21090021405686615</v>
      </c>
      <c r="W2201">
        <v>9.6470066927183309E-2</v>
      </c>
      <c r="X2201">
        <v>2.8930553254523112E-2</v>
      </c>
      <c r="Y2201">
        <v>4.1812914445933909E-3</v>
      </c>
    </row>
    <row r="2202" spans="1:25" x14ac:dyDescent="0.25">
      <c r="A2202" s="1098"/>
      <c r="B2202" s="1457">
        <v>1952</v>
      </c>
      <c r="C2202" s="1102">
        <v>0.9985879408098316</v>
      </c>
      <c r="D2202" s="1102">
        <v>0.99869597655309328</v>
      </c>
      <c r="E2202" s="1102">
        <v>1.0150076916441084</v>
      </c>
      <c r="F2202" s="1102">
        <v>1.0327195287983313</v>
      </c>
      <c r="G2202" s="1102">
        <v>1.0010125911696237</v>
      </c>
      <c r="H2202" s="1102">
        <v>1.0110656365087127</v>
      </c>
      <c r="I2202" s="1102">
        <v>1.0205481827420035</v>
      </c>
      <c r="K2202">
        <v>1.6004027460606463</v>
      </c>
      <c r="L2202">
        <v>0</v>
      </c>
      <c r="M2202">
        <v>1.5360703118902784E-3</v>
      </c>
      <c r="N2202">
        <v>0.1479006325020277</v>
      </c>
      <c r="O2202">
        <v>0.12374160029094697</v>
      </c>
      <c r="P2202">
        <v>1.6299052966173982E-2</v>
      </c>
      <c r="Q2202">
        <v>9.1460199039540492E-4</v>
      </c>
      <c r="R2202">
        <v>1.5326254786264186E-3</v>
      </c>
      <c r="S2202">
        <v>0.12336627463924342</v>
      </c>
      <c r="T2202">
        <v>0.85123195666861096</v>
      </c>
      <c r="U2202">
        <v>0</v>
      </c>
      <c r="V2202">
        <v>0.20753945444030156</v>
      </c>
      <c r="W2202">
        <v>9.6302929886359981E-2</v>
      </c>
      <c r="X2202">
        <v>2.8938386186881677E-2</v>
      </c>
      <c r="Y2202">
        <v>4.1713013229678674E-3</v>
      </c>
    </row>
    <row r="2203" spans="1:25" x14ac:dyDescent="0.25">
      <c r="A2203" s="1098"/>
      <c r="B2203" s="1457">
        <v>1953</v>
      </c>
      <c r="C2203" s="1102">
        <v>0.99232090660049721</v>
      </c>
      <c r="D2203" s="1102">
        <v>1.0119193852133226</v>
      </c>
      <c r="E2203" s="1102">
        <v>0.99975398812413829</v>
      </c>
      <c r="F2203" s="1102">
        <v>1.0271438875426848</v>
      </c>
      <c r="G2203" s="1102">
        <v>1.0200205414443255</v>
      </c>
      <c r="H2203" s="1102">
        <v>0.9820657096140748</v>
      </c>
      <c r="I2203" s="1102">
        <v>1.0184052774560108</v>
      </c>
      <c r="K2203">
        <v>1.5829074310487923</v>
      </c>
      <c r="L2203">
        <v>0</v>
      </c>
      <c r="M2203">
        <v>1.5369067811422958E-3</v>
      </c>
      <c r="N2203">
        <v>0.14130940000949729</v>
      </c>
      <c r="O2203">
        <v>0.12314262951524109</v>
      </c>
      <c r="P2203">
        <v>1.6036841034895052E-2</v>
      </c>
      <c r="Q2203">
        <v>9.0123854132178054E-4</v>
      </c>
      <c r="R2203">
        <v>1.5333474005782702E-3</v>
      </c>
      <c r="S2203">
        <v>0.12046768079990959</v>
      </c>
      <c r="T2203">
        <v>0.84766672110471475</v>
      </c>
      <c r="U2203">
        <v>0</v>
      </c>
      <c r="V2203">
        <v>0.20822057522565904</v>
      </c>
      <c r="W2203">
        <v>9.2844245356927549E-2</v>
      </c>
      <c r="X2203">
        <v>2.8148392684651403E-2</v>
      </c>
      <c r="Y2203">
        <v>4.1732661565392981E-3</v>
      </c>
    </row>
    <row r="2204" spans="1:25" x14ac:dyDescent="0.25">
      <c r="A2204" s="1098"/>
      <c r="B2204" s="1457">
        <v>1954</v>
      </c>
      <c r="C2204" s="1102">
        <v>0.99650104739727885</v>
      </c>
      <c r="D2204" s="1102">
        <v>1.0045227760710915</v>
      </c>
      <c r="E2204" s="1102">
        <v>0.97620311457885012</v>
      </c>
      <c r="F2204" s="1102">
        <v>1.0410891073015993</v>
      </c>
      <c r="G2204" s="1102">
        <v>1.0323452101260697</v>
      </c>
      <c r="H2204" s="1102">
        <v>0.99413716356641635</v>
      </c>
      <c r="I2204" s="1102">
        <v>0.97232867749531071</v>
      </c>
      <c r="K2204">
        <v>1.5924581001513207</v>
      </c>
      <c r="L2204">
        <v>0</v>
      </c>
      <c r="M2204">
        <v>1.6356016957473356E-3</v>
      </c>
      <c r="N2204">
        <v>0.14005140997168633</v>
      </c>
      <c r="O2204">
        <v>0.12428094956754612</v>
      </c>
      <c r="P2204">
        <v>1.5885281841516528E-2</v>
      </c>
      <c r="Q2204">
        <v>8.7824519384215613E-4</v>
      </c>
      <c r="R2204">
        <v>1.6318692001116943E-3</v>
      </c>
      <c r="S2204">
        <v>0.11602695799765471</v>
      </c>
      <c r="T2204">
        <v>0.86080331789664699</v>
      </c>
      <c r="U2204">
        <v>0</v>
      </c>
      <c r="V2204">
        <v>0.20931277716067162</v>
      </c>
      <c r="W2204">
        <v>9.3327266432752673E-2</v>
      </c>
      <c r="X2204">
        <v>2.7454216567472867E-2</v>
      </c>
      <c r="Y2204">
        <v>4.4414100171667912E-3</v>
      </c>
    </row>
    <row r="2205" spans="1:25" x14ac:dyDescent="0.25">
      <c r="A2205" s="1098"/>
      <c r="B2205" s="1457">
        <v>1955</v>
      </c>
      <c r="C2205" s="1102">
        <v>0.98711530689435945</v>
      </c>
      <c r="D2205" s="1102">
        <v>0.97310128624094216</v>
      </c>
      <c r="E2205" s="1102">
        <v>1.0296474245271747</v>
      </c>
      <c r="F2205" s="1102">
        <v>0.99410077421140874</v>
      </c>
      <c r="G2205" s="1102">
        <v>1.0193732859048414</v>
      </c>
      <c r="H2205" s="1102">
        <v>1.0026948655998866</v>
      </c>
      <c r="I2205" s="1102">
        <v>0.9898544759459228</v>
      </c>
      <c r="K2205">
        <v>1.5718863533482732</v>
      </c>
      <c r="L2205">
        <v>0</v>
      </c>
      <c r="M2205">
        <v>1.511203499194691E-3</v>
      </c>
      <c r="N2205">
        <v>0.15207280490525937</v>
      </c>
      <c r="O2205">
        <v>0.12274476343241832</v>
      </c>
      <c r="P2205">
        <v>1.6007264778838671E-2</v>
      </c>
      <c r="Q2205">
        <v>9.4901908507712877E-4</v>
      </c>
      <c r="R2205">
        <v>1.5077879278311752E-3</v>
      </c>
      <c r="S2205">
        <v>0.12197993544488213</v>
      </c>
      <c r="T2205">
        <v>0.81844973890482908</v>
      </c>
      <c r="U2205">
        <v>0</v>
      </c>
      <c r="V2205">
        <v>0.20816262815521658</v>
      </c>
      <c r="W2205">
        <v>9.817661585152769E-2</v>
      </c>
      <c r="X2205">
        <v>2.924329666418822E-2</v>
      </c>
      <c r="Y2205">
        <v>4.1037016973996315E-3</v>
      </c>
    </row>
    <row r="2206" spans="1:25" x14ac:dyDescent="0.25">
      <c r="A2206" s="1098"/>
      <c r="B2206" s="1457">
        <v>1956</v>
      </c>
      <c r="C2206" s="1102">
        <v>0.98956264684971695</v>
      </c>
      <c r="D2206" s="1102">
        <v>1.0078365402309499</v>
      </c>
      <c r="E2206" s="1102">
        <v>1.0026510806823317</v>
      </c>
      <c r="F2206" s="1102">
        <v>0.96753872235880489</v>
      </c>
      <c r="G2206" s="1102">
        <v>0.99904106141408577</v>
      </c>
      <c r="H2206" s="1102">
        <v>1.0120883202572026</v>
      </c>
      <c r="I2206" s="1102">
        <v>0.99663186851066032</v>
      </c>
      <c r="K2206">
        <v>1.5324143460281374</v>
      </c>
      <c r="L2206">
        <v>0</v>
      </c>
      <c r="M2206">
        <v>1.5748747826489571E-3</v>
      </c>
      <c r="N2206">
        <v>0.14608188774585193</v>
      </c>
      <c r="O2206">
        <v>0.11926599663645925</v>
      </c>
      <c r="P2206">
        <v>1.5347506303857063E-2</v>
      </c>
      <c r="Q2206">
        <v>9.0793465593573292E-4</v>
      </c>
      <c r="R2206">
        <v>1.5713211278538793E-3</v>
      </c>
      <c r="S2206">
        <v>0.12051838394500217</v>
      </c>
      <c r="T2206">
        <v>0.79829168497267278</v>
      </c>
      <c r="U2206">
        <v>0</v>
      </c>
      <c r="V2206">
        <v>0.20453743028114171</v>
      </c>
      <c r="W2206">
        <v>9.5814937340702969E-2</v>
      </c>
      <c r="X2206">
        <v>2.7375519677160176E-2</v>
      </c>
      <c r="Y2206">
        <v>4.2766181241476742E-3</v>
      </c>
    </row>
    <row r="2207" spans="1:25" x14ac:dyDescent="0.25">
      <c r="A2207" s="1098"/>
      <c r="B2207" s="1457">
        <v>1957</v>
      </c>
      <c r="C2207" s="1102">
        <v>1.0010270369967951</v>
      </c>
      <c r="D2207" s="1102">
        <v>0.99997393991083494</v>
      </c>
      <c r="E2207" s="1102">
        <v>1.0013836770717353</v>
      </c>
      <c r="F2207" s="1102">
        <v>1.0008207271808394</v>
      </c>
      <c r="G2207" s="1102">
        <v>0.9727617856428119</v>
      </c>
      <c r="H2207" s="1102">
        <v>1.0137184462687652</v>
      </c>
      <c r="I2207" s="1102">
        <v>1.039435459683423</v>
      </c>
      <c r="K2207">
        <v>1.5667887160915339</v>
      </c>
      <c r="L2207">
        <v>0</v>
      </c>
      <c r="M2207">
        <v>1.5758319849665972E-3</v>
      </c>
      <c r="N2207">
        <v>0.14561421548136591</v>
      </c>
      <c r="O2207">
        <v>0.12137426613452272</v>
      </c>
      <c r="P2207">
        <v>1.5770967696871613E-2</v>
      </c>
      <c r="Q2207">
        <v>8.9917158636919272E-4</v>
      </c>
      <c r="R2207">
        <v>1.5722987265597323E-3</v>
      </c>
      <c r="S2207">
        <v>0.12525549911420894</v>
      </c>
      <c r="T2207">
        <v>0.82583547638130828</v>
      </c>
      <c r="U2207">
        <v>0</v>
      </c>
      <c r="V2207">
        <v>0.20434695075784179</v>
      </c>
      <c r="W2207">
        <v>9.5580048166757359E-2</v>
      </c>
      <c r="X2207">
        <v>2.7836375205134906E-2</v>
      </c>
      <c r="Y2207">
        <v>4.2792788255596789E-3</v>
      </c>
    </row>
    <row r="2208" spans="1:25" x14ac:dyDescent="0.25">
      <c r="A2208" s="1098"/>
      <c r="B2208" s="1457">
        <v>1958</v>
      </c>
      <c r="C2208" s="1102">
        <v>0.99304296321315833</v>
      </c>
      <c r="D2208" s="1102">
        <v>0.99475637015461205</v>
      </c>
      <c r="E2208" s="1102">
        <v>0.97704835205432028</v>
      </c>
      <c r="F2208" s="1102">
        <v>1.007766113490326</v>
      </c>
      <c r="G2208" s="1102">
        <v>0.9929257213267686</v>
      </c>
      <c r="H2208" s="1102">
        <v>0.99872049834260146</v>
      </c>
      <c r="I2208" s="1102">
        <v>0.99287519590618156</v>
      </c>
      <c r="K2208">
        <v>1.5659807242849297</v>
      </c>
      <c r="L2208">
        <v>0</v>
      </c>
      <c r="M2208">
        <v>1.6506722083783586E-3</v>
      </c>
      <c r="N2208">
        <v>0.14170501432757468</v>
      </c>
      <c r="O2208">
        <v>0.12257389025202012</v>
      </c>
      <c r="P2208">
        <v>1.5536500275875071E-2</v>
      </c>
      <c r="Q2208">
        <v>8.8553983751465829E-4</v>
      </c>
      <c r="R2208">
        <v>1.6469186116091228E-3</v>
      </c>
      <c r="S2208">
        <v>0.11973955364151344</v>
      </c>
      <c r="T2208">
        <v>0.83319400600368176</v>
      </c>
      <c r="U2208">
        <v>0</v>
      </c>
      <c r="V2208">
        <v>0.2064084909900033</v>
      </c>
      <c r="W2208">
        <v>9.4380882064102778E-2</v>
      </c>
      <c r="X2208">
        <v>2.707823093518746E-2</v>
      </c>
      <c r="Y2208">
        <v>4.4823695542256245E-3</v>
      </c>
    </row>
    <row r="2209" spans="1:25" x14ac:dyDescent="0.25">
      <c r="A2209" s="1098"/>
      <c r="B2209" s="1457">
        <v>1959</v>
      </c>
      <c r="C2209" s="1102">
        <v>0.98338845868467339</v>
      </c>
      <c r="D2209" s="1102">
        <v>1.0318745529388693</v>
      </c>
      <c r="E2209" s="1102">
        <v>0.99407831521884293</v>
      </c>
      <c r="F2209" s="1102">
        <v>0.97220669579171481</v>
      </c>
      <c r="G2209" s="1102">
        <v>0.99383563251963447</v>
      </c>
      <c r="H2209" s="1102">
        <v>0.98383130018132181</v>
      </c>
      <c r="I2209" s="1102">
        <v>0.9631365639839532</v>
      </c>
      <c r="K2209">
        <v>1.5186494550047231</v>
      </c>
      <c r="L2209">
        <v>0</v>
      </c>
      <c r="M2209">
        <v>1.5473272708566323E-3</v>
      </c>
      <c r="N2209">
        <v>0.1398462006983574</v>
      </c>
      <c r="O2209">
        <v>0.11891979642541374</v>
      </c>
      <c r="P2209">
        <v>1.5210130099820848E-2</v>
      </c>
      <c r="Q2209">
        <v>8.9704567435796624E-4</v>
      </c>
      <c r="R2209">
        <v>1.5437213217176237E-3</v>
      </c>
      <c r="S2209">
        <v>0.11339813712153853</v>
      </c>
      <c r="T2209">
        <v>0.80269374605369115</v>
      </c>
      <c r="U2209">
        <v>0</v>
      </c>
      <c r="V2209">
        <v>0.20436698365641187</v>
      </c>
      <c r="W2209">
        <v>9.2194113695545671E-2</v>
      </c>
      <c r="X2209">
        <v>2.6925406978605803E-2</v>
      </c>
      <c r="Y2209">
        <v>4.2015005501184347E-3</v>
      </c>
    </row>
    <row r="2210" spans="1:25" x14ac:dyDescent="0.25">
      <c r="A2210" s="1098"/>
      <c r="B2210" s="1457">
        <v>1960</v>
      </c>
      <c r="C2210" s="1102">
        <v>0.98217170362846851</v>
      </c>
      <c r="D2210" s="1102">
        <v>1.0129630479815781</v>
      </c>
      <c r="E2210" s="1102">
        <v>1.0043185749488155</v>
      </c>
      <c r="F2210" s="1102">
        <v>0.97785209787503213</v>
      </c>
      <c r="G2210" s="1102">
        <v>1.008406659687046</v>
      </c>
      <c r="H2210" s="1102">
        <v>1.0210233818898435</v>
      </c>
      <c r="I2210" s="1102">
        <v>1.0018415111367927</v>
      </c>
      <c r="K2210">
        <v>1.5492194399530328</v>
      </c>
      <c r="L2210">
        <v>0</v>
      </c>
      <c r="M2210">
        <v>1.5910690700154542E-3</v>
      </c>
      <c r="N2210">
        <v>0.14833197365419215</v>
      </c>
      <c r="O2210">
        <v>0.12015165421869109</v>
      </c>
      <c r="P2210">
        <v>1.5527501113488388E-2</v>
      </c>
      <c r="Q2210">
        <v>9.1448905671250491E-4</v>
      </c>
      <c r="R2210">
        <v>1.5875082770518436E-3</v>
      </c>
      <c r="S2210">
        <v>0.12243213948127812</v>
      </c>
      <c r="T2210">
        <v>0.80669353322275206</v>
      </c>
      <c r="U2210">
        <v>0</v>
      </c>
      <c r="V2210">
        <v>0.20598681149994966</v>
      </c>
      <c r="W2210">
        <v>9.7194656647887026E-2</v>
      </c>
      <c r="X2210">
        <v>2.766956764287264E-2</v>
      </c>
      <c r="Y2210">
        <v>4.320674208172233E-3</v>
      </c>
    </row>
    <row r="2211" spans="1:25" x14ac:dyDescent="0.25">
      <c r="A2211" s="1098"/>
      <c r="B2211" s="1457">
        <v>1961</v>
      </c>
      <c r="C2211" s="1102">
        <v>1.0144975943943206</v>
      </c>
      <c r="D2211" s="1102">
        <v>0.98502185329856906</v>
      </c>
      <c r="E2211" s="1102">
        <v>0.98377051214731315</v>
      </c>
      <c r="F2211" s="1102">
        <v>1.0253529118912008</v>
      </c>
      <c r="G2211" s="1102">
        <v>0.97268587837882647</v>
      </c>
      <c r="H2211" s="1102">
        <v>0.997795903735329</v>
      </c>
      <c r="I2211" s="1102">
        <v>1.0062302076110781</v>
      </c>
      <c r="K2211">
        <v>1.577422594035699</v>
      </c>
      <c r="L2211">
        <v>0</v>
      </c>
      <c r="M2211">
        <v>1.6055107504785459E-3</v>
      </c>
      <c r="N2211">
        <v>0.14066109457069656</v>
      </c>
      <c r="O2211">
        <v>0.12311536976453741</v>
      </c>
      <c r="P2211">
        <v>1.5784296798789583E-2</v>
      </c>
      <c r="Q2211">
        <v>8.7637938847017925E-4</v>
      </c>
      <c r="R2211">
        <v>1.6018729749262054E-3</v>
      </c>
      <c r="S2211">
        <v>0.11965176220676567</v>
      </c>
      <c r="T2211">
        <v>0.84727493392330655</v>
      </c>
      <c r="U2211">
        <v>0</v>
      </c>
      <c r="V2211">
        <v>0.20491009558956227</v>
      </c>
      <c r="W2211">
        <v>9.3306215621702673E-2</v>
      </c>
      <c r="X2211">
        <v>2.7486313766956268E-2</v>
      </c>
      <c r="Y2211">
        <v>4.3597701804648659E-3</v>
      </c>
    </row>
    <row r="2212" spans="1:25" x14ac:dyDescent="0.25">
      <c r="A2212" s="1098"/>
      <c r="B2212" s="1457">
        <v>1962</v>
      </c>
      <c r="C2212" s="1102">
        <v>1.0239421611244319</v>
      </c>
      <c r="D2212" s="1102">
        <v>0.98619887389361383</v>
      </c>
      <c r="E2212" s="1102">
        <v>0.99511647779208157</v>
      </c>
      <c r="F2212" s="1102">
        <v>1.0051719329827058</v>
      </c>
      <c r="G2212" s="1102">
        <v>0.98796880822115363</v>
      </c>
      <c r="H2212" s="1102">
        <v>0.99621837422597592</v>
      </c>
      <c r="I2212" s="1102">
        <v>0.9781283291227908</v>
      </c>
      <c r="K2212">
        <v>1.5508955942425231</v>
      </c>
      <c r="L2212">
        <v>0</v>
      </c>
      <c r="M2212">
        <v>1.5489699272313714E-3</v>
      </c>
      <c r="N2212">
        <v>0.14044288563106555</v>
      </c>
      <c r="O2212">
        <v>0.12115206535682578</v>
      </c>
      <c r="P2212">
        <v>1.5604259900237566E-2</v>
      </c>
      <c r="Q2212">
        <v>8.7820925297973104E-4</v>
      </c>
      <c r="R2212">
        <v>1.545451085075404E-3</v>
      </c>
      <c r="S2212">
        <v>0.11499220609495046</v>
      </c>
      <c r="T2212">
        <v>0.82984212888000852</v>
      </c>
      <c r="U2212">
        <v>0</v>
      </c>
      <c r="V2212">
        <v>0.2037710538380321</v>
      </c>
      <c r="W2212">
        <v>9.253012486881132E-2</v>
      </c>
      <c r="X2212">
        <v>2.7479970866003553E-2</v>
      </c>
      <c r="Y2212">
        <v>4.2062083957619756E-3</v>
      </c>
    </row>
    <row r="2213" spans="1:25" x14ac:dyDescent="0.25">
      <c r="A2213" s="1098"/>
      <c r="B2213" s="1457">
        <v>1963</v>
      </c>
      <c r="C2213" s="1102">
        <v>0.97853602758028368</v>
      </c>
      <c r="D2213" s="1102">
        <v>1.0036195467780422</v>
      </c>
      <c r="E2213" s="1102">
        <v>0.99494720614628729</v>
      </c>
      <c r="F2213" s="1102">
        <v>1.0090887097693662</v>
      </c>
      <c r="G2213" s="1102">
        <v>0.95969183261914404</v>
      </c>
      <c r="H2213" s="1102">
        <v>1.0317485909566413</v>
      </c>
      <c r="I2213" s="1102">
        <v>0.96865262533285978</v>
      </c>
      <c r="K2213">
        <v>1.5808237267618961</v>
      </c>
      <c r="L2213">
        <v>0</v>
      </c>
      <c r="M2213">
        <v>1.6576237439097084E-3</v>
      </c>
      <c r="N2213">
        <v>0.1502273082870621</v>
      </c>
      <c r="O2213">
        <v>0.12298396218584773</v>
      </c>
      <c r="P2213">
        <v>1.5751068270393732E-2</v>
      </c>
      <c r="Q2213">
        <v>9.1238544608289375E-4</v>
      </c>
      <c r="R2213">
        <v>1.6539660368525535E-3</v>
      </c>
      <c r="S2213">
        <v>0.12046573735206818</v>
      </c>
      <c r="T2213">
        <v>0.83308701466982005</v>
      </c>
      <c r="U2213">
        <v>0</v>
      </c>
      <c r="V2213">
        <v>0.2060000731588453</v>
      </c>
      <c r="W2213">
        <v>9.8986542306884875E-2</v>
      </c>
      <c r="X2213">
        <v>2.7911742469394263E-2</v>
      </c>
      <c r="Y2213">
        <v>4.5015503225551371E-3</v>
      </c>
    </row>
    <row r="2214" spans="1:25" x14ac:dyDescent="0.25">
      <c r="A2214" s="1098"/>
      <c r="B2214" s="1457">
        <v>1964</v>
      </c>
      <c r="C2214" s="1102">
        <v>0.97218041440796032</v>
      </c>
      <c r="D2214" s="1102">
        <v>1.0021328464618642</v>
      </c>
      <c r="E2214" s="1102">
        <v>1.0302058825555251</v>
      </c>
      <c r="F2214" s="1102">
        <v>1.0163573826521524</v>
      </c>
      <c r="G2214" s="1102">
        <v>0.97004686314818045</v>
      </c>
      <c r="H2214" s="1102">
        <v>0.99776239200932848</v>
      </c>
      <c r="I2214" s="1102">
        <v>1.0119704583033389</v>
      </c>
      <c r="K2214">
        <v>1.5918975303678717</v>
      </c>
      <c r="L2214">
        <v>0</v>
      </c>
      <c r="M2214">
        <v>1.5008632336219842E-3</v>
      </c>
      <c r="N2214">
        <v>0.15128357794946662</v>
      </c>
      <c r="O2214">
        <v>0.12380278368147846</v>
      </c>
      <c r="P2214">
        <v>1.6288805369943329E-2</v>
      </c>
      <c r="Q2214">
        <v>9.5287638841267785E-4</v>
      </c>
      <c r="R2214">
        <v>1.4974397197031306E-3</v>
      </c>
      <c r="S2214">
        <v>0.12406594282160954</v>
      </c>
      <c r="T2214">
        <v>0.8367368315698428</v>
      </c>
      <c r="U2214">
        <v>0</v>
      </c>
      <c r="V2214">
        <v>0.20752062148036751</v>
      </c>
      <c r="W2214">
        <v>9.7635441605044171E-2</v>
      </c>
      <c r="X2214">
        <v>2.9538535729464428E-2</v>
      </c>
      <c r="Y2214">
        <v>4.0755372861609879E-3</v>
      </c>
    </row>
    <row r="2215" spans="1:25" x14ac:dyDescent="0.25">
      <c r="A2215" s="1098"/>
      <c r="B2215" s="1457">
        <v>1965</v>
      </c>
      <c r="C2215" s="1102">
        <v>0.99980995018287644</v>
      </c>
      <c r="D2215" s="1102">
        <v>1.0115823047763193</v>
      </c>
      <c r="E2215" s="1102">
        <v>1.0127399734184217</v>
      </c>
      <c r="F2215" s="1102">
        <v>0.9783333008970434</v>
      </c>
      <c r="G2215" s="1102">
        <v>0.98231745968761797</v>
      </c>
      <c r="H2215" s="1102">
        <v>1.0020098135891671</v>
      </c>
      <c r="I2215" s="1102">
        <v>0.99985339254340089</v>
      </c>
      <c r="K2215">
        <v>1.5349717241445924</v>
      </c>
      <c r="L2215">
        <v>0</v>
      </c>
      <c r="M2215">
        <v>1.5105080286218475E-3</v>
      </c>
      <c r="N2215">
        <v>0.1444423815359375</v>
      </c>
      <c r="O2215">
        <v>0.11932263236313249</v>
      </c>
      <c r="P2215">
        <v>1.5536344110576751E-2</v>
      </c>
      <c r="Q2215">
        <v>9.0669294341687778E-4</v>
      </c>
      <c r="R2215">
        <v>1.5070688308146207E-3</v>
      </c>
      <c r="S2215">
        <v>0.11876099952564828</v>
      </c>
      <c r="T2215">
        <v>0.80654889312277034</v>
      </c>
      <c r="U2215">
        <v>0</v>
      </c>
      <c r="V2215">
        <v>0.20338922146458016</v>
      </c>
      <c r="W2215">
        <v>9.4176617312143079E-2</v>
      </c>
      <c r="X2215">
        <v>2.7789636411823464E-2</v>
      </c>
      <c r="Y2215">
        <v>4.1017445523708392E-3</v>
      </c>
    </row>
    <row r="2216" spans="1:25" x14ac:dyDescent="0.25">
      <c r="A2216" s="1098"/>
      <c r="B2216" s="1457">
        <v>1966</v>
      </c>
      <c r="C2216" s="1102">
        <v>1.0225532449989576</v>
      </c>
      <c r="D2216" s="1102">
        <v>1.026823909171787</v>
      </c>
      <c r="E2216" s="1102">
        <v>0.99794753276834325</v>
      </c>
      <c r="F2216" s="1102">
        <v>0.99390643144986157</v>
      </c>
      <c r="G2216" s="1102">
        <v>0.99825663131913656</v>
      </c>
      <c r="H2216" s="1102">
        <v>1.0042459459753761</v>
      </c>
      <c r="I2216" s="1102">
        <v>0.9910152052490927</v>
      </c>
      <c r="K2216">
        <v>1.533673239079457</v>
      </c>
      <c r="L2216">
        <v>0</v>
      </c>
      <c r="M2216">
        <v>1.5177337863022374E-3</v>
      </c>
      <c r="N2216">
        <v>0.13879320664672215</v>
      </c>
      <c r="O2216">
        <v>0.11867061149923461</v>
      </c>
      <c r="P2216">
        <v>1.5484268590691581E-2</v>
      </c>
      <c r="Q2216">
        <v>8.6786472587306737E-4</v>
      </c>
      <c r="R2216">
        <v>1.5142868942345129E-3</v>
      </c>
      <c r="S2216">
        <v>0.11442517564945399</v>
      </c>
      <c r="T2216">
        <v>0.82035557680710602</v>
      </c>
      <c r="U2216">
        <v>0</v>
      </c>
      <c r="V2216">
        <v>0.20257685617745669</v>
      </c>
      <c r="W2216">
        <v>9.1289085198566877E-2</v>
      </c>
      <c r="X2216">
        <v>2.7092650934852712E-2</v>
      </c>
      <c r="Y2216">
        <v>4.1213897415658188E-3</v>
      </c>
    </row>
    <row r="2217" spans="1:25" x14ac:dyDescent="0.25">
      <c r="A2217" s="1098"/>
      <c r="B2217" s="1457">
        <v>1967</v>
      </c>
      <c r="C2217" s="1102">
        <v>0.99634517430240632</v>
      </c>
      <c r="D2217" s="1102">
        <v>0.98284920404557263</v>
      </c>
      <c r="E2217" s="1102">
        <v>0.9719420137267023</v>
      </c>
      <c r="F2217" s="1102">
        <v>0.98394309920001954</v>
      </c>
      <c r="G2217" s="1102">
        <v>0.99643572257878277</v>
      </c>
      <c r="H2217" s="1102">
        <v>0.98437271920554781</v>
      </c>
      <c r="I2217" s="1102">
        <v>0.99293799189932153</v>
      </c>
      <c r="K2217">
        <v>1.5387936509545956</v>
      </c>
      <c r="L2217">
        <v>0</v>
      </c>
      <c r="M2217">
        <v>1.6473037939836229E-3</v>
      </c>
      <c r="N2217">
        <v>0.13924238252130364</v>
      </c>
      <c r="O2217">
        <v>0.12126655292930602</v>
      </c>
      <c r="P2217">
        <v>1.5193332792713775E-2</v>
      </c>
      <c r="Q2217">
        <v>8.8211948256645175E-4</v>
      </c>
      <c r="R2217">
        <v>1.643504705958196E-3</v>
      </c>
      <c r="S2217">
        <v>0.1189297763080705</v>
      </c>
      <c r="T2217">
        <v>0.81383358856760235</v>
      </c>
      <c r="U2217">
        <v>0</v>
      </c>
      <c r="V2217">
        <v>0.20539858604543887</v>
      </c>
      <c r="W2217">
        <v>9.3028322715060785E-2</v>
      </c>
      <c r="X2217">
        <v>2.6549710652121403E-2</v>
      </c>
      <c r="Y2217">
        <v>4.4730780284374981E-3</v>
      </c>
    </row>
    <row r="2218" spans="1:25" x14ac:dyDescent="0.25">
      <c r="A2218" s="1098"/>
      <c r="B2218" s="1457">
        <v>1968</v>
      </c>
      <c r="C2218" s="1102">
        <v>0.96639051094075434</v>
      </c>
      <c r="D2218" s="1102">
        <v>1.0000566460715306</v>
      </c>
      <c r="E2218" s="1102">
        <v>1.0154807106440658</v>
      </c>
      <c r="F2218" s="1102">
        <v>1.006876590289177</v>
      </c>
      <c r="G2218" s="1102">
        <v>0.97154081455194108</v>
      </c>
      <c r="H2218" s="1102">
        <v>0.99063886610374996</v>
      </c>
      <c r="I2218" s="1102">
        <v>1.016837372759362</v>
      </c>
      <c r="K2218">
        <v>1.5820522358660807</v>
      </c>
      <c r="L2218">
        <v>0</v>
      </c>
      <c r="M2218">
        <v>1.5457393337042491E-3</v>
      </c>
      <c r="N2218">
        <v>0.14903575213236658</v>
      </c>
      <c r="O2218">
        <v>0.12358200014449329</v>
      </c>
      <c r="P2218">
        <v>1.6032496550435642E-2</v>
      </c>
      <c r="Q2218">
        <v>9.4501902854176299E-4</v>
      </c>
      <c r="R2218">
        <v>1.5421851634807966E-3</v>
      </c>
      <c r="S2218">
        <v>0.12484434135492485</v>
      </c>
      <c r="T2218">
        <v>0.8298993860937367</v>
      </c>
      <c r="U2218">
        <v>0</v>
      </c>
      <c r="V2218">
        <v>0.2076478024314507</v>
      </c>
      <c r="W2218">
        <v>9.7015090882149435E-2</v>
      </c>
      <c r="X2218">
        <v>2.8856581784413648E-2</v>
      </c>
      <c r="Y2218">
        <v>4.1973196337922172E-3</v>
      </c>
    </row>
    <row r="2219" spans="1:25" x14ac:dyDescent="0.25">
      <c r="A2219" s="1098"/>
      <c r="B2219" s="1457">
        <v>1969</v>
      </c>
      <c r="C2219" s="1102">
        <v>1.0140953643331239</v>
      </c>
      <c r="D2219" s="1102">
        <v>1.0027769580008832</v>
      </c>
      <c r="E2219" s="1102">
        <v>1.0210950004937471</v>
      </c>
      <c r="F2219" s="1102">
        <v>0.98402402294011304</v>
      </c>
      <c r="G2219" s="1102">
        <v>1.010707523718354</v>
      </c>
      <c r="H2219" s="1102">
        <v>0.97579595963606325</v>
      </c>
      <c r="I2219" s="1102">
        <v>1.0137451955336338</v>
      </c>
      <c r="K2219">
        <v>1.532015377200233</v>
      </c>
      <c r="L2219">
        <v>0</v>
      </c>
      <c r="M2219">
        <v>1.4344798851938408E-3</v>
      </c>
      <c r="N2219">
        <v>0.14066673983465677</v>
      </c>
      <c r="O2219">
        <v>0.11936150030302954</v>
      </c>
      <c r="P2219">
        <v>1.5679847965587235E-2</v>
      </c>
      <c r="Q2219">
        <v>9.0478639297394373E-4</v>
      </c>
      <c r="R2219">
        <v>1.4311358694707307E-3</v>
      </c>
      <c r="S2219">
        <v>0.11739446358595239</v>
      </c>
      <c r="T2219">
        <v>0.81070214389266704</v>
      </c>
      <c r="U2219">
        <v>0</v>
      </c>
      <c r="V2219">
        <v>0.20405236134261726</v>
      </c>
      <c r="W2219">
        <v>9.1266589361367972E-2</v>
      </c>
      <c r="X2219">
        <v>2.8095208474217002E-2</v>
      </c>
      <c r="Y2219">
        <v>3.8950800628867492E-3</v>
      </c>
    </row>
    <row r="2220" spans="1:25" x14ac:dyDescent="0.25">
      <c r="A2220" s="1098"/>
      <c r="B2220" s="1457">
        <v>1970</v>
      </c>
      <c r="C2220" s="1102">
        <v>0.99215082783276443</v>
      </c>
      <c r="D2220" s="1102">
        <v>0.9849343426363969</v>
      </c>
      <c r="E2220" s="1102">
        <v>0.9575036667348672</v>
      </c>
      <c r="F2220" s="1102">
        <v>0.97933681601313383</v>
      </c>
      <c r="G2220" s="1102">
        <v>0.97120639058207758</v>
      </c>
      <c r="H2220" s="1102">
        <v>0.98967383496628381</v>
      </c>
      <c r="I2220" s="1102">
        <v>0.98280075077094764</v>
      </c>
      <c r="K2220">
        <v>1.5328086803127885</v>
      </c>
      <c r="L2220">
        <v>0</v>
      </c>
      <c r="M2220">
        <v>1.7102158350588256E-3</v>
      </c>
      <c r="N2220">
        <v>0.13837552245035778</v>
      </c>
      <c r="O2220">
        <v>0.12109595554425671</v>
      </c>
      <c r="P2220">
        <v>1.4965686943566696E-2</v>
      </c>
      <c r="Q2220">
        <v>8.7169818121758571E-4</v>
      </c>
      <c r="R2220">
        <v>1.7062886858723036E-3</v>
      </c>
      <c r="S2220">
        <v>0.11840125334903812</v>
      </c>
      <c r="T2220">
        <v>0.81097319034805249</v>
      </c>
      <c r="U2220">
        <v>0</v>
      </c>
      <c r="V2220">
        <v>0.20428331661110766</v>
      </c>
      <c r="W2220">
        <v>9.3268611821103464E-2</v>
      </c>
      <c r="X2220">
        <v>2.5933416888244385E-2</v>
      </c>
      <c r="Y2220">
        <v>4.6439553250302822E-3</v>
      </c>
    </row>
    <row r="2221" spans="1:25" x14ac:dyDescent="0.25">
      <c r="A2221" s="1098"/>
      <c r="B2221" s="1457">
        <v>1971</v>
      </c>
      <c r="C2221" s="1102">
        <v>0.98907752561698326</v>
      </c>
      <c r="D2221" s="1102">
        <v>1.0000498829439695</v>
      </c>
      <c r="E2221" s="1102">
        <v>1.0189126186335089</v>
      </c>
      <c r="F2221" s="1102">
        <v>1.0060936056638659</v>
      </c>
      <c r="G2221" s="1102">
        <v>1.031596945297282</v>
      </c>
      <c r="H2221" s="1102">
        <v>0.99002191749078627</v>
      </c>
      <c r="I2221" s="1102">
        <v>0.99419832576610123</v>
      </c>
      <c r="K2221">
        <v>1.5699548207835703</v>
      </c>
      <c r="L2221">
        <v>0</v>
      </c>
      <c r="M2221">
        <v>1.501101446296826E-3</v>
      </c>
      <c r="N2221">
        <v>0.14623879566720438</v>
      </c>
      <c r="O2221">
        <v>0.12230862667528514</v>
      </c>
      <c r="P2221">
        <v>1.5994265427774469E-2</v>
      </c>
      <c r="Q2221">
        <v>9.266064229965183E-4</v>
      </c>
      <c r="R2221">
        <v>1.4976534888800819E-3</v>
      </c>
      <c r="S2221">
        <v>0.1193536421774594</v>
      </c>
      <c r="T2221">
        <v>0.82902800918689745</v>
      </c>
      <c r="U2221">
        <v>0</v>
      </c>
      <c r="V2221">
        <v>0.20832028931633936</v>
      </c>
      <c r="W2221">
        <v>9.5003041755347822E-2</v>
      </c>
      <c r="X2221">
        <v>2.8708873016288172E-2</v>
      </c>
      <c r="Y2221">
        <v>4.0761190953916577E-3</v>
      </c>
    </row>
    <row r="2222" spans="1:25" x14ac:dyDescent="0.25">
      <c r="A2222" s="1098"/>
      <c r="B2222" s="1457">
        <v>1972</v>
      </c>
      <c r="C2222" s="1102">
        <v>0.95091504708614916</v>
      </c>
      <c r="D2222" s="1102">
        <v>1.0045346507214634</v>
      </c>
      <c r="E2222" s="1102">
        <v>1.002165342995083</v>
      </c>
      <c r="F2222" s="1102">
        <v>0.96861734534981536</v>
      </c>
      <c r="G2222" s="1102">
        <v>0.97047187392247558</v>
      </c>
      <c r="H2222" s="1102">
        <v>0.9911356600428658</v>
      </c>
      <c r="I2222" s="1102">
        <v>1.0380798291536162</v>
      </c>
      <c r="K2222">
        <v>1.5511711822962198</v>
      </c>
      <c r="L2222">
        <v>0</v>
      </c>
      <c r="M2222">
        <v>1.6048114876139137E-3</v>
      </c>
      <c r="N2222">
        <v>0.14863256160454399</v>
      </c>
      <c r="O2222">
        <v>0.12151781063238613</v>
      </c>
      <c r="P2222">
        <v>1.5499482050698643E-2</v>
      </c>
      <c r="Q2222">
        <v>9.4560073632272501E-4</v>
      </c>
      <c r="R2222">
        <v>1.6011048115989383E-3</v>
      </c>
      <c r="S2222">
        <v>0.12883303445199415</v>
      </c>
      <c r="T2222">
        <v>0.79921265210453529</v>
      </c>
      <c r="U2222">
        <v>0</v>
      </c>
      <c r="V2222">
        <v>0.20682706648255017</v>
      </c>
      <c r="W2222">
        <v>9.7516016269621322E-2</v>
      </c>
      <c r="X2222">
        <v>2.7832985146469594E-2</v>
      </c>
      <c r="Y2222">
        <v>4.3576794931130163E-3</v>
      </c>
    </row>
    <row r="2223" spans="1:25" x14ac:dyDescent="0.25">
      <c r="A2223" s="1098"/>
      <c r="B2223" s="1457">
        <v>1973</v>
      </c>
      <c r="C2223" s="1102">
        <v>1.0391005881166946</v>
      </c>
      <c r="D2223" s="1102">
        <v>1.0173634692567974</v>
      </c>
      <c r="E2223" s="1102">
        <v>1.0038451750919031</v>
      </c>
      <c r="F2223" s="1102">
        <v>1.0082557091636501</v>
      </c>
      <c r="G2223" s="1102">
        <v>1.0267012962256401</v>
      </c>
      <c r="H2223" s="1102">
        <v>0.99715366595235511</v>
      </c>
      <c r="I2223" s="1102">
        <v>1.0225231188046553</v>
      </c>
      <c r="K2223">
        <v>1.5465833071140227</v>
      </c>
      <c r="L2223">
        <v>0</v>
      </c>
      <c r="M2223">
        <v>1.4758988867519774E-3</v>
      </c>
      <c r="N2223">
        <v>0.13739269763745726</v>
      </c>
      <c r="O2223">
        <v>0.11923160493527922</v>
      </c>
      <c r="P2223">
        <v>1.5750289455975015E-2</v>
      </c>
      <c r="Q2223">
        <v>8.6246727742304451E-4</v>
      </c>
      <c r="R2223">
        <v>1.4725357055086852E-3</v>
      </c>
      <c r="S2223">
        <v>0.11645720448161817</v>
      </c>
      <c r="T2223">
        <v>0.83180688761261723</v>
      </c>
      <c r="U2223">
        <v>0</v>
      </c>
      <c r="V2223">
        <v>0.20355598013218754</v>
      </c>
      <c r="W2223">
        <v>9.0051938634168688E-2</v>
      </c>
      <c r="X2223">
        <v>2.7469843359409534E-2</v>
      </c>
      <c r="Y2223">
        <v>4.0077567691297802E-3</v>
      </c>
    </row>
    <row r="2224" spans="1:25" x14ac:dyDescent="0.25">
      <c r="A2224" s="1098"/>
      <c r="B2224" s="1457">
        <v>1974</v>
      </c>
      <c r="C2224" s="1102">
        <v>0.98410562129769197</v>
      </c>
      <c r="D2224" s="1102">
        <v>1.0001562881145647</v>
      </c>
      <c r="E2224" s="1102">
        <v>1.0151860744425756</v>
      </c>
      <c r="F2224" s="1102">
        <v>1.0157344395162968</v>
      </c>
      <c r="G2224" s="1102">
        <v>1.0487556132845539</v>
      </c>
      <c r="H2224" s="1102">
        <v>1.0170859433583805</v>
      </c>
      <c r="I2224" s="1102">
        <v>0.96394937469346131</v>
      </c>
      <c r="K2224">
        <v>1.5874873525255091</v>
      </c>
      <c r="L2224">
        <v>0</v>
      </c>
      <c r="M2224">
        <v>1.5624569354836173E-3</v>
      </c>
      <c r="N2224">
        <v>0.1505234211508289</v>
      </c>
      <c r="O2224">
        <v>0.12325312416211362</v>
      </c>
      <c r="P2224">
        <v>1.6073970778016054E-2</v>
      </c>
      <c r="Q2224">
        <v>9.2768940958152385E-4</v>
      </c>
      <c r="R2224">
        <v>1.5589647451001115E-3</v>
      </c>
      <c r="S2224">
        <v>0.11842217058171534</v>
      </c>
      <c r="T2224">
        <v>0.83721991222228487</v>
      </c>
      <c r="U2224">
        <v>0</v>
      </c>
      <c r="V2224">
        <v>0.21001612235861999</v>
      </c>
      <c r="W2224">
        <v>9.8000445469994854E-2</v>
      </c>
      <c r="X2224">
        <v>2.8811000459163089E-2</v>
      </c>
      <c r="Y2224">
        <v>4.2429881235723976E-3</v>
      </c>
    </row>
    <row r="2225" spans="1:25" x14ac:dyDescent="0.25">
      <c r="A2225" s="1098"/>
      <c r="B2225" s="1457">
        <v>1975</v>
      </c>
      <c r="C2225" s="1102">
        <v>1.0003007721185486</v>
      </c>
      <c r="D2225" s="1102">
        <v>1.0191426209668786</v>
      </c>
      <c r="E2225" s="1102">
        <v>1.0258997530368201</v>
      </c>
      <c r="F2225" s="1102">
        <v>0.97027494835249861</v>
      </c>
      <c r="G2225" s="1102">
        <v>0.98681336933313069</v>
      </c>
      <c r="H2225" s="1102">
        <v>0.97981350198370476</v>
      </c>
      <c r="I2225" s="1102">
        <v>0.9903391436208514</v>
      </c>
      <c r="K2225">
        <v>1.5183199923609059</v>
      </c>
      <c r="L2225">
        <v>0</v>
      </c>
      <c r="M2225">
        <v>1.4295701277531278E-3</v>
      </c>
      <c r="N2225">
        <v>0.14223130927822084</v>
      </c>
      <c r="O2225">
        <v>0.11837209205690678</v>
      </c>
      <c r="P2225">
        <v>1.5528898230929773E-2</v>
      </c>
      <c r="Q2225">
        <v>9.1583799393043933E-4</v>
      </c>
      <c r="R2225">
        <v>1.4262354006390999E-3</v>
      </c>
      <c r="S2225">
        <v>0.11531127269621433</v>
      </c>
      <c r="T2225">
        <v>0.7990705604793632</v>
      </c>
      <c r="U2225">
        <v>0</v>
      </c>
      <c r="V2225">
        <v>0.2029346111818163</v>
      </c>
      <c r="W2225">
        <v>9.2023371419883648E-2</v>
      </c>
      <c r="X2225">
        <v>2.8053631148587718E-2</v>
      </c>
      <c r="Y2225">
        <v>3.8817426021661673E-3</v>
      </c>
    </row>
    <row r="2226" spans="1:25" x14ac:dyDescent="0.25">
      <c r="A2226" s="1098"/>
      <c r="B2226" s="1457">
        <v>1976</v>
      </c>
      <c r="C2226" s="1102">
        <v>1.0159482853311617</v>
      </c>
      <c r="D2226" s="1102">
        <v>0.97549351368939885</v>
      </c>
      <c r="E2226" s="1102">
        <v>1.0063466114710715</v>
      </c>
      <c r="F2226" s="1102">
        <v>1.0122929103042284</v>
      </c>
      <c r="G2226" s="1102">
        <v>0.99167291273489699</v>
      </c>
      <c r="H2226" s="1102">
        <v>0.98708912845712882</v>
      </c>
      <c r="I2226" s="1102">
        <v>0.97300877598707591</v>
      </c>
      <c r="K2226">
        <v>1.5631724116986705</v>
      </c>
      <c r="L2226">
        <v>0</v>
      </c>
      <c r="M2226">
        <v>1.5205805457472032E-3</v>
      </c>
      <c r="N2226">
        <v>0.14262415192421607</v>
      </c>
      <c r="O2226">
        <v>0.12250334470252311</v>
      </c>
      <c r="P2226">
        <v>1.5831938966367521E-2</v>
      </c>
      <c r="Q2226">
        <v>8.9939943101696978E-4</v>
      </c>
      <c r="R2226">
        <v>1.51710052572479E-3</v>
      </c>
      <c r="S2226">
        <v>0.11535946715336445</v>
      </c>
      <c r="T2226">
        <v>0.83497081908833537</v>
      </c>
      <c r="U2226">
        <v>0</v>
      </c>
      <c r="V2226">
        <v>0.20531026352001813</v>
      </c>
      <c r="W2226">
        <v>9.3342495829314961E-2</v>
      </c>
      <c r="X2226">
        <v>2.8204963584568261E-2</v>
      </c>
      <c r="Y2226">
        <v>4.1290475189689809E-3</v>
      </c>
    </row>
    <row r="2227" spans="1:25" x14ac:dyDescent="0.25">
      <c r="A2227" s="1098"/>
      <c r="B2227" s="1457">
        <v>1977</v>
      </c>
      <c r="C2227" s="1102">
        <v>0.96363581856272296</v>
      </c>
      <c r="D2227" s="1102">
        <v>0.96666612804702479</v>
      </c>
      <c r="E2227" s="1102">
        <v>0.99436903603398852</v>
      </c>
      <c r="F2227" s="1102">
        <v>1.0452530957272803</v>
      </c>
      <c r="G2227" s="1102">
        <v>0.99764031802534703</v>
      </c>
      <c r="H2227" s="1102">
        <v>1.0420345697969267</v>
      </c>
      <c r="I2227" s="1102">
        <v>0.99252515924454809</v>
      </c>
      <c r="K2227">
        <v>1.6447487673590528</v>
      </c>
      <c r="L2227">
        <v>0</v>
      </c>
      <c r="M2227">
        <v>1.7413613570550848E-3</v>
      </c>
      <c r="N2227">
        <v>0.15754687668052209</v>
      </c>
      <c r="O2227">
        <v>0.12805938564887204</v>
      </c>
      <c r="P2227">
        <v>1.6351208627785267E-2</v>
      </c>
      <c r="Q2227">
        <v>9.3993581581687448E-4</v>
      </c>
      <c r="R2227">
        <v>1.7375864151986211E-3</v>
      </c>
      <c r="S2227">
        <v>0.12916896623270335</v>
      </c>
      <c r="T2227">
        <v>0.86298373473439605</v>
      </c>
      <c r="U2227">
        <v>0</v>
      </c>
      <c r="V2227">
        <v>0.21210051546567316</v>
      </c>
      <c r="W2227">
        <v>0.10384532146098992</v>
      </c>
      <c r="X2227">
        <v>2.9027460207187331E-2</v>
      </c>
      <c r="Y2227">
        <v>4.729137426962818E-3</v>
      </c>
    </row>
    <row r="2228" spans="1:25" x14ac:dyDescent="0.25">
      <c r="A2228" s="1098"/>
      <c r="B2228" s="1457">
        <v>1978</v>
      </c>
      <c r="C2228" s="1102">
        <v>1.006919803593872</v>
      </c>
      <c r="D2228" s="1102">
        <v>0.9901040908895099</v>
      </c>
      <c r="E2228" s="1102">
        <v>1.0082452334349787</v>
      </c>
      <c r="F2228" s="1102">
        <v>1.0207768808588111</v>
      </c>
      <c r="G2228" s="1102">
        <v>1.0348475082018811</v>
      </c>
      <c r="H2228" s="1102">
        <v>1.0224322998249873</v>
      </c>
      <c r="I2228" s="1102">
        <v>0.99489344654579681</v>
      </c>
      <c r="K2228">
        <v>1.5880364515082706</v>
      </c>
      <c r="L2228">
        <v>0</v>
      </c>
      <c r="M2228">
        <v>1.5695493113168097E-3</v>
      </c>
      <c r="N2228">
        <v>0.14807456343992853</v>
      </c>
      <c r="O2228">
        <v>0.12288765930227985</v>
      </c>
      <c r="P2228">
        <v>1.6059371665340664E-2</v>
      </c>
      <c r="Q2228">
        <v>9.0385410685740514E-4</v>
      </c>
      <c r="R2228">
        <v>1.5660726406412529E-3</v>
      </c>
      <c r="S2228">
        <v>0.12075005387979358</v>
      </c>
      <c r="T2228">
        <v>0.84184117994534846</v>
      </c>
      <c r="U2228">
        <v>0</v>
      </c>
      <c r="V2228">
        <v>0.2079967848318203</v>
      </c>
      <c r="W2228">
        <v>9.6800930864900533E-2</v>
      </c>
      <c r="X2228">
        <v>2.8463196670559139E-2</v>
      </c>
      <c r="Y2228">
        <v>4.2623334721182508E-3</v>
      </c>
    </row>
    <row r="2229" spans="1:25" x14ac:dyDescent="0.25">
      <c r="A2229" s="1098"/>
      <c r="B2229" s="1457">
        <v>1979</v>
      </c>
      <c r="C2229" s="1102">
        <v>1.0183261083510913</v>
      </c>
      <c r="D2229" s="1102">
        <v>0.99319454465091739</v>
      </c>
      <c r="E2229" s="1102">
        <v>0.97836693122729312</v>
      </c>
      <c r="F2229" s="1102">
        <v>0.99908043341514341</v>
      </c>
      <c r="G2229" s="1102">
        <v>1.0007095531484218</v>
      </c>
      <c r="H2229" s="1102">
        <v>0.97700128957117949</v>
      </c>
      <c r="I2229" s="1102">
        <v>1.0331247488025044</v>
      </c>
      <c r="K2229">
        <v>1.5440697136896016</v>
      </c>
      <c r="L2229">
        <v>0</v>
      </c>
      <c r="M2229">
        <v>1.5736590085130829E-3</v>
      </c>
      <c r="N2229">
        <v>0.13562739189577699</v>
      </c>
      <c r="O2229">
        <v>0.12074245194889034</v>
      </c>
      <c r="P2229">
        <v>1.5428518569959512E-2</v>
      </c>
      <c r="Q2229">
        <v>8.6529275549900703E-4</v>
      </c>
      <c r="R2229">
        <v>1.57000627447888E-3</v>
      </c>
      <c r="S2229">
        <v>0.11995716506175977</v>
      </c>
      <c r="T2229">
        <v>0.82592500616316211</v>
      </c>
      <c r="U2229">
        <v>0</v>
      </c>
      <c r="V2229">
        <v>0.20424577236767102</v>
      </c>
      <c r="W2229">
        <v>9.0260932182540984E-2</v>
      </c>
      <c r="X2229">
        <v>2.6747795951671375E-2</v>
      </c>
      <c r="Y2229">
        <v>4.2730395267022254E-3</v>
      </c>
    </row>
    <row r="2230" spans="1:25" x14ac:dyDescent="0.25">
      <c r="A2230" s="1098"/>
      <c r="B2230" s="1457">
        <v>1980</v>
      </c>
      <c r="C2230" s="1102">
        <v>0.99045466713105668</v>
      </c>
      <c r="D2230" s="1102">
        <v>1.0183138967773024</v>
      </c>
      <c r="E2230" s="1102">
        <v>1.0070499156254142</v>
      </c>
      <c r="F2230" s="1102">
        <v>1.0087815209186402</v>
      </c>
      <c r="G2230" s="1102">
        <v>1.0004690062455248</v>
      </c>
      <c r="H2230" s="1102">
        <v>0.99618057263936388</v>
      </c>
      <c r="I2230" s="1102">
        <v>1.0043932063626291</v>
      </c>
      <c r="K2230">
        <v>1.5667208772652206</v>
      </c>
      <c r="L2230">
        <v>0</v>
      </c>
      <c r="M2230">
        <v>1.5307014397254787E-3</v>
      </c>
      <c r="N2230">
        <v>0.14387864880373674</v>
      </c>
      <c r="O2230">
        <v>0.12166301420861492</v>
      </c>
      <c r="P2230">
        <v>1.5872768523637518E-2</v>
      </c>
      <c r="Q2230">
        <v>9.0749083834786579E-4</v>
      </c>
      <c r="R2230">
        <v>1.527197782642058E-3</v>
      </c>
      <c r="S2230">
        <v>0.11960802305757652</v>
      </c>
      <c r="T2230">
        <v>0.8320278332390062</v>
      </c>
      <c r="U2230">
        <v>0</v>
      </c>
      <c r="V2230">
        <v>0.20637512887744108</v>
      </c>
      <c r="W2230">
        <v>9.4124374686838888E-2</v>
      </c>
      <c r="X2230">
        <v>2.8110569763364797E-2</v>
      </c>
      <c r="Y2230">
        <v>4.1565289237379364E-3</v>
      </c>
    </row>
    <row r="2231" spans="1:25" x14ac:dyDescent="0.25">
      <c r="A2231" s="1098"/>
      <c r="B2231" s="1457">
        <v>1981</v>
      </c>
      <c r="C2231" s="1102">
        <v>1.0219285742069411</v>
      </c>
      <c r="D2231" s="1102">
        <v>0.99323411533292627</v>
      </c>
      <c r="E2231" s="1102">
        <v>0.98755345067514222</v>
      </c>
      <c r="F2231" s="1102">
        <v>0.98609767533288928</v>
      </c>
      <c r="G2231" s="1102">
        <v>1.0212687224601074</v>
      </c>
      <c r="H2231" s="1102">
        <v>0.97925306065713524</v>
      </c>
      <c r="I2231" s="1102">
        <v>1.0238400776752576</v>
      </c>
      <c r="K2231">
        <v>1.5312327473468466</v>
      </c>
      <c r="L2231">
        <v>0</v>
      </c>
      <c r="M2231">
        <v>1.5409658903803324E-3</v>
      </c>
      <c r="N2231">
        <v>0.13655263604586149</v>
      </c>
      <c r="O2231">
        <v>0.11962815176237332</v>
      </c>
      <c r="P2231">
        <v>1.5364573038596676E-2</v>
      </c>
      <c r="Q2231">
        <v>8.7055615928461054E-4</v>
      </c>
      <c r="R2231">
        <v>1.5373946109708667E-3</v>
      </c>
      <c r="S2231">
        <v>0.11859682992053015</v>
      </c>
      <c r="T2231">
        <v>0.81458936140723481</v>
      </c>
      <c r="U2231">
        <v>0</v>
      </c>
      <c r="V2231">
        <v>0.20422286894972688</v>
      </c>
      <c r="W2231">
        <v>9.0375160842750463E-2</v>
      </c>
      <c r="X2231">
        <v>2.6851899170832454E-2</v>
      </c>
      <c r="Y2231">
        <v>4.1842813290653997E-3</v>
      </c>
    </row>
    <row r="2232" spans="1:25" x14ac:dyDescent="0.25">
      <c r="A2232" s="1098"/>
      <c r="B2232" s="1457">
        <v>1982</v>
      </c>
      <c r="C2232" s="1102">
        <v>0.99297405646777759</v>
      </c>
      <c r="D2232" s="1102">
        <v>0.98167639373241133</v>
      </c>
      <c r="E2232" s="1102">
        <v>0.99699045518167362</v>
      </c>
      <c r="F2232" s="1102">
        <v>0.9907061388633005</v>
      </c>
      <c r="G2232" s="1102">
        <v>0.99551771466287675</v>
      </c>
      <c r="H2232" s="1102">
        <v>1.0178116805559152</v>
      </c>
      <c r="I2232" s="1102">
        <v>1.0006487898518035</v>
      </c>
      <c r="K2232">
        <v>1.5631129783503162</v>
      </c>
      <c r="L2232">
        <v>0</v>
      </c>
      <c r="M2232">
        <v>1.6242708093013685E-3</v>
      </c>
      <c r="N2232">
        <v>0.14811299752739543</v>
      </c>
      <c r="O2232">
        <v>0.12190289990607761</v>
      </c>
      <c r="P2232">
        <v>1.5604086927960597E-2</v>
      </c>
      <c r="Q2232">
        <v>9.0903286125123769E-4</v>
      </c>
      <c r="R2232">
        <v>1.6206496417714002E-3</v>
      </c>
      <c r="S2232">
        <v>0.12311261848700708</v>
      </c>
      <c r="T2232">
        <v>0.81777677384119329</v>
      </c>
      <c r="U2232">
        <v>0</v>
      </c>
      <c r="V2232">
        <v>0.20607895138460183</v>
      </c>
      <c r="W2232">
        <v>9.7474575522717918E-2</v>
      </c>
      <c r="X2232">
        <v>2.7733788981748983E-2</v>
      </c>
      <c r="Y2232">
        <v>4.410874077890925E-3</v>
      </c>
    </row>
    <row r="2233" spans="1:25" x14ac:dyDescent="0.25">
      <c r="A2233" s="1098"/>
      <c r="B2233" s="1457">
        <v>1983</v>
      </c>
      <c r="C2233" s="1102">
        <v>0.95840610942839033</v>
      </c>
      <c r="D2233" s="1102">
        <v>1.0017017761853686</v>
      </c>
      <c r="E2233" s="1102">
        <v>0.99665235783950024</v>
      </c>
      <c r="F2233" s="1102">
        <v>1.0367813630649383</v>
      </c>
      <c r="G2233" s="1102">
        <v>1.0216172676832946</v>
      </c>
      <c r="H2233" s="1102">
        <v>0.9788037155464967</v>
      </c>
      <c r="I2233" s="1102">
        <v>0.98671911936085743</v>
      </c>
      <c r="K2233">
        <v>1.6073701193707626</v>
      </c>
      <c r="L2233">
        <v>0</v>
      </c>
      <c r="M2233">
        <v>1.6025490110266934E-3</v>
      </c>
      <c r="N2233">
        <v>0.14596918794656968</v>
      </c>
      <c r="O2233">
        <v>0.12611371904339025</v>
      </c>
      <c r="P2233">
        <v>1.61731534963158E-2</v>
      </c>
      <c r="Q2233">
        <v>9.3391505586339009E-4</v>
      </c>
      <c r="R2233">
        <v>1.5988248081168035E-3</v>
      </c>
      <c r="S2233">
        <v>0.1211677405682921</v>
      </c>
      <c r="T2233">
        <v>0.85583266894865506</v>
      </c>
      <c r="U2233">
        <v>0</v>
      </c>
      <c r="V2233">
        <v>0.21210706975864146</v>
      </c>
      <c r="W2233">
        <v>9.6083068140996597E-2</v>
      </c>
      <c r="X2233">
        <v>2.8641846539708415E-2</v>
      </c>
      <c r="Y2233">
        <v>4.3514740752375923E-3</v>
      </c>
    </row>
    <row r="2234" spans="1:25" x14ac:dyDescent="0.25">
      <c r="A2234" s="1098"/>
      <c r="B2234" s="1457">
        <v>1984</v>
      </c>
      <c r="C2234" s="1102">
        <v>0.99629816745433164</v>
      </c>
      <c r="D2234" s="1102">
        <v>0.98680883919308249</v>
      </c>
      <c r="E2234" s="1102">
        <v>0.98012297487841993</v>
      </c>
      <c r="F2234" s="1102">
        <v>0.97966058362525343</v>
      </c>
      <c r="G2234" s="1102">
        <v>0.9789042260432318</v>
      </c>
      <c r="H2234" s="1102">
        <v>0.9735484883869765</v>
      </c>
      <c r="I2234" s="1102">
        <v>1.0014631929602127</v>
      </c>
      <c r="K2234">
        <v>1.5312488629271446</v>
      </c>
      <c r="L2234">
        <v>0</v>
      </c>
      <c r="M2234">
        <v>1.5977614301658264E-3</v>
      </c>
      <c r="N2234">
        <v>0.13843650811915467</v>
      </c>
      <c r="O2234">
        <v>0.1207605527680542</v>
      </c>
      <c r="P2234">
        <v>1.5216774415097042E-2</v>
      </c>
      <c r="Q2234">
        <v>8.8834294616448647E-4</v>
      </c>
      <c r="R2234">
        <v>1.5940318552921E-3</v>
      </c>
      <c r="S2234">
        <v>0.11879036299327136</v>
      </c>
      <c r="T2234">
        <v>0.80975618573818819</v>
      </c>
      <c r="U2234">
        <v>0</v>
      </c>
      <c r="V2234">
        <v>0.20427777863968205</v>
      </c>
      <c r="W2234">
        <v>9.2032721484754526E-2</v>
      </c>
      <c r="X2234">
        <v>2.6754936160004933E-2</v>
      </c>
      <c r="Y2234">
        <v>4.3384292376452234E-3</v>
      </c>
    </row>
    <row r="2235" spans="1:25" x14ac:dyDescent="0.25">
      <c r="A2235" s="1098"/>
      <c r="B2235" s="1457">
        <v>1985</v>
      </c>
      <c r="C2235" s="1102">
        <v>1.0054780109907644</v>
      </c>
      <c r="D2235" s="1102">
        <v>1.0048691040458246</v>
      </c>
      <c r="E2235" s="1102">
        <v>1.0002107759601084</v>
      </c>
      <c r="F2235" s="1102">
        <v>1.0400492414581579</v>
      </c>
      <c r="G2235" s="1102">
        <v>0.98932583857522394</v>
      </c>
      <c r="H2235" s="1102">
        <v>1.0173207479036785</v>
      </c>
      <c r="I2235" s="1102">
        <v>1.009334315060276</v>
      </c>
      <c r="K2235">
        <v>1.6003803096338862</v>
      </c>
      <c r="L2235">
        <v>0</v>
      </c>
      <c r="M2235">
        <v>1.5789373410080474E-3</v>
      </c>
      <c r="N2235">
        <v>0.14538702663786968</v>
      </c>
      <c r="O2235">
        <v>0.12365804015619694</v>
      </c>
      <c r="P2235">
        <v>1.6175958148365841E-2</v>
      </c>
      <c r="Q2235">
        <v>8.9235892685781467E-4</v>
      </c>
      <c r="R2235">
        <v>1.5754180347901661E-3</v>
      </c>
      <c r="S2235">
        <v>0.12127929742418517</v>
      </c>
      <c r="T2235">
        <v>0.85828570595329834</v>
      </c>
      <c r="U2235">
        <v>0</v>
      </c>
      <c r="V2235">
        <v>0.2065936403374006</v>
      </c>
      <c r="W2235">
        <v>9.5497430150818241E-2</v>
      </c>
      <c r="X2235">
        <v>2.8326602650827992E-2</v>
      </c>
      <c r="Y2235">
        <v>4.2877685542832391E-3</v>
      </c>
    </row>
    <row r="2236" spans="1:25" x14ac:dyDescent="0.25">
      <c r="A2236" s="1098"/>
      <c r="B2236" s="1457">
        <v>1986</v>
      </c>
      <c r="C2236" s="1102">
        <v>0.96374981275644966</v>
      </c>
      <c r="D2236" s="1102">
        <v>0.9808429820882576</v>
      </c>
      <c r="E2236" s="1102">
        <v>0.99088747806059374</v>
      </c>
      <c r="F2236" s="1102">
        <v>0.98871029592389259</v>
      </c>
      <c r="G2236" s="1102">
        <v>1.0126317005909686</v>
      </c>
      <c r="H2236" s="1102">
        <v>1.0066023182405137</v>
      </c>
      <c r="I2236" s="1102">
        <v>0.99929652279919623</v>
      </c>
      <c r="K2236">
        <v>1.5723175850593296</v>
      </c>
      <c r="L2236">
        <v>0</v>
      </c>
      <c r="M2236">
        <v>1.672866753418982E-3</v>
      </c>
      <c r="N2236">
        <v>0.14975169437029706</v>
      </c>
      <c r="O2236">
        <v>0.12336094609634779</v>
      </c>
      <c r="P2236">
        <v>1.5593528915325266E-2</v>
      </c>
      <c r="Q2236">
        <v>9.3098736010398513E-4</v>
      </c>
      <c r="R2236">
        <v>1.6690870085192119E-3</v>
      </c>
      <c r="S2236">
        <v>0.12559174337028009</v>
      </c>
      <c r="T2236">
        <v>0.81652882343833855</v>
      </c>
      <c r="U2236">
        <v>0</v>
      </c>
      <c r="V2236">
        <v>0.20932982083319859</v>
      </c>
      <c r="W2236">
        <v>9.8912867997250548E-2</v>
      </c>
      <c r="X2236">
        <v>2.777824780028364E-2</v>
      </c>
      <c r="Y2236">
        <v>4.5427046228048084E-3</v>
      </c>
    </row>
    <row r="2237" spans="1:25" x14ac:dyDescent="0.25">
      <c r="A2237" s="1098"/>
      <c r="B2237" s="1457">
        <v>1987</v>
      </c>
      <c r="C2237" s="1102">
        <v>1.0288950025409089</v>
      </c>
      <c r="D2237" s="1102">
        <v>0.96901938151101241</v>
      </c>
      <c r="E2237" s="1102">
        <v>0.98908448663438087</v>
      </c>
      <c r="F2237" s="1102">
        <v>1.0002062908192324</v>
      </c>
      <c r="G2237" s="1102">
        <v>1.0113856470979428</v>
      </c>
      <c r="H2237" s="1102">
        <v>1.0119436668817159</v>
      </c>
      <c r="I2237" s="1102">
        <v>1.0238844566160377</v>
      </c>
      <c r="K2237">
        <v>1.5594600299314143</v>
      </c>
      <c r="L2237">
        <v>0</v>
      </c>
      <c r="M2237">
        <v>1.6014023577656698E-3</v>
      </c>
      <c r="N2237">
        <v>0.1425792347379248</v>
      </c>
      <c r="O2237">
        <v>0.12134397028566481</v>
      </c>
      <c r="P2237">
        <v>1.5595003569360121E-2</v>
      </c>
      <c r="Q2237">
        <v>8.746365992279171E-4</v>
      </c>
      <c r="R2237">
        <v>1.5978314038064324E-3</v>
      </c>
      <c r="S2237">
        <v>0.12230918588660307</v>
      </c>
      <c r="T2237">
        <v>0.82614244943635207</v>
      </c>
      <c r="U2237">
        <v>0</v>
      </c>
      <c r="V2237">
        <v>0.20468287556709994</v>
      </c>
      <c r="W2237">
        <v>9.4277143714202621E-2</v>
      </c>
      <c r="X2237">
        <v>2.7310330732758219E-2</v>
      </c>
      <c r="Y2237">
        <v>4.3487703561804047E-3</v>
      </c>
    </row>
    <row r="2238" spans="1:25" x14ac:dyDescent="0.25">
      <c r="A2238" s="1098"/>
      <c r="B2238" s="1457">
        <v>1988</v>
      </c>
      <c r="C2238" s="1102">
        <v>0.98173992711359104</v>
      </c>
      <c r="D2238" s="1102">
        <v>0.98727863051430442</v>
      </c>
      <c r="E2238" s="1102">
        <v>1.0278163611539459</v>
      </c>
      <c r="F2238" s="1102">
        <v>1.0473910722446265</v>
      </c>
      <c r="G2238" s="1102">
        <v>1.0308896974559192</v>
      </c>
      <c r="H2238" s="1102">
        <v>1.0000425771986741</v>
      </c>
      <c r="I2238" s="1102">
        <v>1.0359358373307055</v>
      </c>
      <c r="K2238">
        <v>1.6286926627606089</v>
      </c>
      <c r="L2238">
        <v>0</v>
      </c>
      <c r="M2238">
        <v>1.5143680381585433E-3</v>
      </c>
      <c r="N2238">
        <v>0.15155183217694904</v>
      </c>
      <c r="O2238">
        <v>0.12614195551037194</v>
      </c>
      <c r="P2238">
        <v>1.6718966297996001E-2</v>
      </c>
      <c r="Q2238">
        <v>9.4693831498895368E-4</v>
      </c>
      <c r="R2238">
        <v>1.5109405270381832E-3</v>
      </c>
      <c r="S2238">
        <v>0.12733553771441905</v>
      </c>
      <c r="T2238">
        <v>0.86244881723957856</v>
      </c>
      <c r="U2238">
        <v>0</v>
      </c>
      <c r="V2238">
        <v>0.21148216816203347</v>
      </c>
      <c r="W2238">
        <v>9.7944433475827569E-2</v>
      </c>
      <c r="X2238">
        <v>3.0013159346376557E-2</v>
      </c>
      <c r="Y2238">
        <v>4.1122820331870591E-3</v>
      </c>
    </row>
    <row r="2239" spans="1:25" x14ac:dyDescent="0.25">
      <c r="A2239" s="1098"/>
      <c r="B2239" s="1457">
        <v>1989</v>
      </c>
      <c r="C2239" s="1102">
        <v>1.0054447635869077</v>
      </c>
      <c r="D2239" s="1102">
        <v>0.9847704606165939</v>
      </c>
      <c r="E2239" s="1102">
        <v>1.0083998367292781</v>
      </c>
      <c r="F2239" s="1102">
        <v>1.0161727246965335</v>
      </c>
      <c r="G2239" s="1102">
        <v>0.9936165673394447</v>
      </c>
      <c r="H2239" s="1102">
        <v>0.9918220515951931</v>
      </c>
      <c r="I2239" s="1102">
        <v>1.0243688454231366</v>
      </c>
      <c r="K2239">
        <v>1.5774855095897162</v>
      </c>
      <c r="L2239">
        <v>0</v>
      </c>
      <c r="M2239">
        <v>1.5282970610000614E-3</v>
      </c>
      <c r="N2239">
        <v>0.14424032801241676</v>
      </c>
      <c r="O2239">
        <v>0.12288206097103199</v>
      </c>
      <c r="P2239">
        <v>1.6006491261712105E-2</v>
      </c>
      <c r="Q2239">
        <v>9.0728273201495498E-4</v>
      </c>
      <c r="R2239">
        <v>1.524808879276587E-3</v>
      </c>
      <c r="S2239">
        <v>0.12237669011943465</v>
      </c>
      <c r="T2239">
        <v>0.83803377428534975</v>
      </c>
      <c r="U2239">
        <v>0</v>
      </c>
      <c r="V2239">
        <v>0.20618772005227343</v>
      </c>
      <c r="W2239">
        <v>9.4285764938601954E-2</v>
      </c>
      <c r="X2239">
        <v>2.8418858282323135E-2</v>
      </c>
      <c r="Y2239">
        <v>4.1500271162789072E-3</v>
      </c>
    </row>
    <row r="2240" spans="1:25" x14ac:dyDescent="0.25">
      <c r="A2240" s="1098"/>
      <c r="B2240" s="1457">
        <v>1990</v>
      </c>
      <c r="C2240" s="1102">
        <v>1.0190249258339754</v>
      </c>
      <c r="D2240" s="1102">
        <v>1.0418141081039243</v>
      </c>
      <c r="E2240" s="1102">
        <v>1.0381733613705542</v>
      </c>
      <c r="F2240" s="1102">
        <v>0.99056462662792066</v>
      </c>
      <c r="G2240" s="1102">
        <v>1.0297985941137868</v>
      </c>
      <c r="H2240" s="1102">
        <v>0.98725970675455355</v>
      </c>
      <c r="I2240" s="1102">
        <v>0.99056918830857088</v>
      </c>
      <c r="K2240">
        <v>1.5295906866704228</v>
      </c>
      <c r="L2240">
        <v>0</v>
      </c>
      <c r="M2240">
        <v>1.3650950630538507E-3</v>
      </c>
      <c r="N2240">
        <v>0.14093727272899181</v>
      </c>
      <c r="O2240">
        <v>0.11787943919789713</v>
      </c>
      <c r="P2240">
        <v>1.5863658380962837E-2</v>
      </c>
      <c r="Q2240">
        <v>9.0235158841488259E-4</v>
      </c>
      <c r="R2240">
        <v>1.3619322512765739E-3</v>
      </c>
      <c r="S2240">
        <v>0.11253685528975606</v>
      </c>
      <c r="T2240">
        <v>0.81499013945459353</v>
      </c>
      <c r="U2240">
        <v>0</v>
      </c>
      <c r="V2240">
        <v>0.20376158975316433</v>
      </c>
      <c r="W2240">
        <v>9.0539809334259452E-2</v>
      </c>
      <c r="X2240">
        <v>2.8476003127030039E-2</v>
      </c>
      <c r="Y2240">
        <v>3.706730627128862E-3</v>
      </c>
    </row>
    <row r="2241" spans="1:25" x14ac:dyDescent="0.25">
      <c r="A2241" s="1098"/>
      <c r="B2241" s="1457">
        <v>1991</v>
      </c>
      <c r="C2241" s="1102">
        <v>1.001201062675158</v>
      </c>
      <c r="D2241" s="1102">
        <v>1.0271615216032652</v>
      </c>
      <c r="E2241" s="1102">
        <v>1.009404182140839</v>
      </c>
      <c r="F2241" s="1102">
        <v>0.99904948366846003</v>
      </c>
      <c r="G2241" s="1102">
        <v>0.988670828410949</v>
      </c>
      <c r="H2241" s="1102">
        <v>0.96731193818421035</v>
      </c>
      <c r="I2241" s="1102">
        <v>0.96717774778929366</v>
      </c>
      <c r="K2241">
        <v>1.5354025373972677</v>
      </c>
      <c r="L2241">
        <v>0</v>
      </c>
      <c r="M2241">
        <v>1.4561283762573841E-3</v>
      </c>
      <c r="N2241">
        <v>0.137835636658837</v>
      </c>
      <c r="O2241">
        <v>0.12004847506187001</v>
      </c>
      <c r="P2241">
        <v>1.5642195000557056E-2</v>
      </c>
      <c r="Q2241">
        <v>8.9682595026002612E-4</v>
      </c>
      <c r="R2241">
        <v>1.4526911469349871E-3</v>
      </c>
      <c r="S2241">
        <v>0.11118322228155009</v>
      </c>
      <c r="T2241">
        <v>0.82384635327393585</v>
      </c>
      <c r="U2241">
        <v>0</v>
      </c>
      <c r="V2241">
        <v>0.20417651458609276</v>
      </c>
      <c r="W2241">
        <v>9.0045811337476495E-2</v>
      </c>
      <c r="X2241">
        <v>2.7777194053561598E-2</v>
      </c>
      <c r="Y2241">
        <v>3.9537464224491487E-3</v>
      </c>
    </row>
    <row r="2242" spans="1:25" x14ac:dyDescent="0.25">
      <c r="A2242" s="1098"/>
      <c r="B2242" s="1457">
        <v>1992</v>
      </c>
      <c r="C2242" s="1102">
        <v>0.9574740851959499</v>
      </c>
      <c r="D2242" s="1102">
        <v>1.0067992357906528</v>
      </c>
      <c r="E2242" s="1102">
        <v>0.98134315207074141</v>
      </c>
      <c r="F2242" s="1102">
        <v>1.0098097849951013</v>
      </c>
      <c r="G2242" s="1102">
        <v>0.99028446278320892</v>
      </c>
      <c r="H2242" s="1102">
        <v>0.9881488147038292</v>
      </c>
      <c r="I2242" s="1102">
        <v>0.99848404906745114</v>
      </c>
      <c r="K2242">
        <v>1.5802011592382117</v>
      </c>
      <c r="L2242">
        <v>0</v>
      </c>
      <c r="M2242">
        <v>1.6632832893535778E-3</v>
      </c>
      <c r="N2242">
        <v>0.14465028402163865</v>
      </c>
      <c r="O2242">
        <v>0.12407195042100011</v>
      </c>
      <c r="P2242">
        <v>1.5686451881774168E-2</v>
      </c>
      <c r="Q2242">
        <v>9.1815103099451487E-4</v>
      </c>
      <c r="R2242">
        <v>1.6594431957209883E-3</v>
      </c>
      <c r="S2242">
        <v>0.12292844072990287</v>
      </c>
      <c r="T2242">
        <v>0.83459444858101739</v>
      </c>
      <c r="U2242">
        <v>0</v>
      </c>
      <c r="V2242">
        <v>0.20918537277075938</v>
      </c>
      <c r="W2242">
        <v>9.6092862160178968E-2</v>
      </c>
      <c r="X2242">
        <v>2.756058039112666E-2</v>
      </c>
      <c r="Y2242">
        <v>4.5164573434500798E-3</v>
      </c>
    </row>
    <row r="2243" spans="1:25" x14ac:dyDescent="0.25">
      <c r="A2243" s="1098"/>
      <c r="B2243" s="1457">
        <v>1993</v>
      </c>
      <c r="C2243" s="1102">
        <v>0.9962853325914327</v>
      </c>
      <c r="D2243" s="1102">
        <v>0.99835482793325103</v>
      </c>
      <c r="E2243" s="1102">
        <v>0.99838139848719076</v>
      </c>
      <c r="F2243" s="1102">
        <v>0.98308940760612429</v>
      </c>
      <c r="G2243" s="1102">
        <v>1.0296850615049002</v>
      </c>
      <c r="H2243" s="1102">
        <v>0.97891824924553605</v>
      </c>
      <c r="I2243" s="1102">
        <v>0.99667504185149303</v>
      </c>
      <c r="K2243">
        <v>1.5374508256729273</v>
      </c>
      <c r="L2243">
        <v>0</v>
      </c>
      <c r="M2243">
        <v>1.5372778070086122E-3</v>
      </c>
      <c r="N2243">
        <v>0.14075723645822438</v>
      </c>
      <c r="O2243">
        <v>0.12044519493988319</v>
      </c>
      <c r="P2243">
        <v>1.5467100028876227E-2</v>
      </c>
      <c r="Q2243">
        <v>9.0122701834182382E-4</v>
      </c>
      <c r="R2243">
        <v>1.5337032390473145E-3</v>
      </c>
      <c r="S2243">
        <v>0.11788804764244046</v>
      </c>
      <c r="T2243">
        <v>0.81139918411925405</v>
      </c>
      <c r="U2243">
        <v>0</v>
      </c>
      <c r="V2243">
        <v>0.20643209637199586</v>
      </c>
      <c r="W2243">
        <v>9.2556990425213995E-2</v>
      </c>
      <c r="X2243">
        <v>2.7433088605108798E-2</v>
      </c>
      <c r="Y2243">
        <v>4.1742346315499172E-3</v>
      </c>
    </row>
    <row r="2244" spans="1:25" x14ac:dyDescent="0.25">
      <c r="A2244" s="1098"/>
      <c r="B2244" s="1457">
        <v>1994</v>
      </c>
      <c r="C2244" s="1102">
        <v>1.0345210007501062</v>
      </c>
      <c r="D2244" s="1102">
        <v>0.98068538926572801</v>
      </c>
      <c r="E2244" s="1102">
        <v>0.9882046798379378</v>
      </c>
      <c r="F2244" s="1102">
        <v>1.02795176796091</v>
      </c>
      <c r="G2244" s="1102">
        <v>0.99711406872850883</v>
      </c>
      <c r="H2244" s="1102">
        <v>0.99239819533629303</v>
      </c>
      <c r="I2244" s="1102">
        <v>0.96008099453165863</v>
      </c>
      <c r="K2244">
        <v>1.5664375184106367</v>
      </c>
      <c r="L2244">
        <v>0</v>
      </c>
      <c r="M2244">
        <v>1.5580015154970427E-3</v>
      </c>
      <c r="N2244">
        <v>0.13834060192475905</v>
      </c>
      <c r="O2244">
        <v>0.12247000023285713</v>
      </c>
      <c r="P2244">
        <v>1.5754966511086852E-2</v>
      </c>
      <c r="Q2244">
        <v>8.6493193141389966E-4</v>
      </c>
      <c r="R2244">
        <v>1.5544604963389822E-3</v>
      </c>
      <c r="S2244">
        <v>0.11197431516544325</v>
      </c>
      <c r="T2244">
        <v>0.84911947293134316</v>
      </c>
      <c r="U2244">
        <v>0</v>
      </c>
      <c r="V2244">
        <v>0.20465842819187738</v>
      </c>
      <c r="W2244">
        <v>9.1522724893085272E-2</v>
      </c>
      <c r="X2244">
        <v>2.7504888604659022E-2</v>
      </c>
      <c r="Y2244">
        <v>4.2307290432698104E-3</v>
      </c>
    </row>
    <row r="2245" spans="1:25" x14ac:dyDescent="0.25">
      <c r="A2245" s="1098"/>
      <c r="B2245" s="1457">
        <v>1995</v>
      </c>
      <c r="C2245" s="1102">
        <v>1.0052123017995416</v>
      </c>
      <c r="D2245" s="1102">
        <v>0.98187465960843112</v>
      </c>
      <c r="E2245" s="1102">
        <v>0.99067806398464742</v>
      </c>
      <c r="F2245" s="1102">
        <v>0.98846627524202768</v>
      </c>
      <c r="G2245" s="1102">
        <v>0.98738039573144343</v>
      </c>
      <c r="H2245" s="1102">
        <v>1.0065080755358566</v>
      </c>
      <c r="I2245" s="1102">
        <v>1.006415473795959</v>
      </c>
      <c r="K2245">
        <v>1.5504413643562667</v>
      </c>
      <c r="L2245">
        <v>0</v>
      </c>
      <c r="M2245">
        <v>1.6085839480258846E-3</v>
      </c>
      <c r="N2245">
        <v>0.14390703978923647</v>
      </c>
      <c r="O2245">
        <v>0.12112416249470083</v>
      </c>
      <c r="P2245">
        <v>1.5467407727320706E-2</v>
      </c>
      <c r="Q2245">
        <v>8.9201654964029251E-4</v>
      </c>
      <c r="R2245">
        <v>1.6049600601027109E-3</v>
      </c>
      <c r="S2245">
        <v>0.1214423545650602</v>
      </c>
      <c r="T2245">
        <v>0.816341024792547</v>
      </c>
      <c r="U2245">
        <v>0</v>
      </c>
      <c r="V2245">
        <v>0.20454131626488326</v>
      </c>
      <c r="W2245">
        <v>9.5064318369331671E-2</v>
      </c>
      <c r="X2245">
        <v>2.7297175482810992E-2</v>
      </c>
      <c r="Y2245">
        <v>4.3681722086579581E-3</v>
      </c>
    </row>
    <row r="2246" spans="1:25" x14ac:dyDescent="0.25">
      <c r="A2246" s="1098"/>
      <c r="B2246" s="1457">
        <v>1996</v>
      </c>
      <c r="C2246" s="1102">
        <v>1.0007157082454632</v>
      </c>
      <c r="D2246" s="1102">
        <v>0.99330750413075541</v>
      </c>
      <c r="E2246" s="1102">
        <v>1.0385128174222356</v>
      </c>
      <c r="F2246" s="1102">
        <v>0.96654317607391638</v>
      </c>
      <c r="G2246" s="1102">
        <v>1.0062173324014998</v>
      </c>
      <c r="H2246" s="1102">
        <v>0.99245029916124827</v>
      </c>
      <c r="I2246" s="1102">
        <v>1.0335354781483783</v>
      </c>
      <c r="K2246">
        <v>1.5339725509430098</v>
      </c>
      <c r="L2246">
        <v>0</v>
      </c>
      <c r="M2246">
        <v>1.4300319257585278E-3</v>
      </c>
      <c r="N2246">
        <v>0.14779606217195043</v>
      </c>
      <c r="O2246">
        <v>0.11915849206941077</v>
      </c>
      <c r="P2246">
        <v>1.5747978419836148E-2</v>
      </c>
      <c r="Q2246">
        <v>9.3687631518082827E-4</v>
      </c>
      <c r="R2246">
        <v>1.4267515585125482E-3</v>
      </c>
      <c r="S2246">
        <v>0.12318457064157373</v>
      </c>
      <c r="T2246">
        <v>0.79520516344791914</v>
      </c>
      <c r="U2246">
        <v>0</v>
      </c>
      <c r="V2246">
        <v>0.20435904160664964</v>
      </c>
      <c r="W2246">
        <v>9.4927393729941301E-2</v>
      </c>
      <c r="X2246">
        <v>2.8777105494049247E-2</v>
      </c>
      <c r="Y2246">
        <v>3.8831474137462968E-3</v>
      </c>
    </row>
    <row r="2247" spans="1:25" x14ac:dyDescent="0.25">
      <c r="A2247" s="1098"/>
      <c r="B2247" s="1457">
        <v>1997</v>
      </c>
      <c r="C2247" s="1102">
        <v>0.97363958178898447</v>
      </c>
      <c r="D2247" s="1102">
        <v>1.0153502717710046</v>
      </c>
      <c r="E2247" s="1102">
        <v>0.96849857696147323</v>
      </c>
      <c r="F2247" s="1102">
        <v>1.0320989053693219</v>
      </c>
      <c r="G2247" s="1102">
        <v>0.9842901887153338</v>
      </c>
      <c r="H2247" s="1102">
        <v>1.0040194340729458</v>
      </c>
      <c r="I2247" s="1102">
        <v>1.003012651792309</v>
      </c>
      <c r="K2247">
        <v>1.5953269130265915</v>
      </c>
      <c r="L2247">
        <v>0</v>
      </c>
      <c r="M2247">
        <v>1.7034192626609068E-3</v>
      </c>
      <c r="N2247">
        <v>0.14249760087742239</v>
      </c>
      <c r="O2247">
        <v>0.12441856868531086</v>
      </c>
      <c r="P2247">
        <v>1.5770812039306942E-2</v>
      </c>
      <c r="Q2247">
        <v>8.8779360430557347E-4</v>
      </c>
      <c r="R2247">
        <v>1.6995544646609168E-3</v>
      </c>
      <c r="S2247">
        <v>0.12231625819176575</v>
      </c>
      <c r="T2247">
        <v>0.85390197926154432</v>
      </c>
      <c r="U2247">
        <v>0</v>
      </c>
      <c r="V2247">
        <v>0.20833610534455313</v>
      </c>
      <c r="W2247">
        <v>9.5402845620446083E-2</v>
      </c>
      <c r="X2247">
        <v>2.7173187205107096E-2</v>
      </c>
      <c r="Y2247">
        <v>4.6256269948283125E-3</v>
      </c>
    </row>
    <row r="2248" spans="1:25" x14ac:dyDescent="0.25">
      <c r="A2248" s="1098"/>
      <c r="B2248" s="1457">
        <v>1998</v>
      </c>
      <c r="C2248" s="1102">
        <v>1.0079933311641114</v>
      </c>
      <c r="D2248" s="1102">
        <v>0.98598156949279248</v>
      </c>
      <c r="E2248" s="1102">
        <v>1.0354528602719681</v>
      </c>
      <c r="F2248" s="1102">
        <v>1.0449148825578845</v>
      </c>
      <c r="G2248" s="1102">
        <v>0.99707539558949376</v>
      </c>
      <c r="H2248" s="1102">
        <v>1.0023536096551664</v>
      </c>
      <c r="I2248" s="1102">
        <v>1.0044837399416819</v>
      </c>
      <c r="K2248">
        <v>1.6097611917338916</v>
      </c>
      <c r="L2248">
        <v>0</v>
      </c>
      <c r="M2248">
        <v>1.4585909318242333E-3</v>
      </c>
      <c r="N2248">
        <v>0.14937022975186298</v>
      </c>
      <c r="O2248">
        <v>0.12461178639559917</v>
      </c>
      <c r="P2248">
        <v>1.6628949169091974E-2</v>
      </c>
      <c r="Q2248">
        <v>9.299726962985048E-4</v>
      </c>
      <c r="R2248">
        <v>1.4553036757585242E-3</v>
      </c>
      <c r="S2248">
        <v>0.12068585563198422</v>
      </c>
      <c r="T2248">
        <v>0.85989125779275299</v>
      </c>
      <c r="U2248">
        <v>0</v>
      </c>
      <c r="V2248">
        <v>0.20762362831429856</v>
      </c>
      <c r="W2248">
        <v>9.6108088284102125E-2</v>
      </c>
      <c r="X2248">
        <v>2.9953854089278042E-2</v>
      </c>
      <c r="Y2248">
        <v>3.9608568646869223E-3</v>
      </c>
    </row>
    <row r="2249" spans="1:25" x14ac:dyDescent="0.25">
      <c r="A2249" s="1098"/>
      <c r="B2249" s="1457">
        <v>1999</v>
      </c>
      <c r="C2249" s="1102">
        <v>1.0031834575769594</v>
      </c>
      <c r="D2249" s="1102">
        <v>0.95548789560333358</v>
      </c>
      <c r="E2249" s="1102">
        <v>1.0259967239521262</v>
      </c>
      <c r="F2249" s="1102">
        <v>0.99596146324457946</v>
      </c>
      <c r="G2249" s="1102">
        <v>0.979240684373064</v>
      </c>
      <c r="H2249" s="1102">
        <v>1.0042411114866867</v>
      </c>
      <c r="I2249" s="1102">
        <v>1.0230959381314897</v>
      </c>
      <c r="K2249">
        <v>1.5734225289014485</v>
      </c>
      <c r="L2249">
        <v>0</v>
      </c>
      <c r="M2249">
        <v>1.5183267072720796E-3</v>
      </c>
      <c r="N2249">
        <v>0.15111909927436837</v>
      </c>
      <c r="O2249">
        <v>0.12286100078910764</v>
      </c>
      <c r="P2249">
        <v>1.6005123726186597E-2</v>
      </c>
      <c r="Q2249">
        <v>9.3716459887994432E-4</v>
      </c>
      <c r="R2249">
        <v>1.5149153535831948E-3</v>
      </c>
      <c r="S2249">
        <v>0.12565108224215607</v>
      </c>
      <c r="T2249">
        <v>0.82021841180082367</v>
      </c>
      <c r="U2249">
        <v>0</v>
      </c>
      <c r="V2249">
        <v>0.20562603458670276</v>
      </c>
      <c r="W2249">
        <v>9.7768232707115058E-2</v>
      </c>
      <c r="X2249">
        <v>2.9116690329055873E-2</v>
      </c>
      <c r="Y2249">
        <v>4.1231002007413612E-3</v>
      </c>
    </row>
    <row r="2250" spans="1:25" x14ac:dyDescent="0.25">
      <c r="A2250" s="1098"/>
      <c r="B2250" s="1457">
        <v>2000</v>
      </c>
      <c r="C2250" s="1102">
        <v>0.98164946948700349</v>
      </c>
      <c r="D2250" s="1102">
        <v>0.97208488324701781</v>
      </c>
      <c r="E2250" s="1102">
        <v>1.0088909823428378</v>
      </c>
      <c r="F2250" s="1102">
        <v>1.0196449070616536</v>
      </c>
      <c r="G2250" s="1102">
        <v>1.0285126114325442</v>
      </c>
      <c r="H2250" s="1102">
        <v>1.0248432259686375</v>
      </c>
      <c r="I2250" s="1102">
        <v>0.97354686568331739</v>
      </c>
      <c r="K2250">
        <v>1.6031892917961463</v>
      </c>
      <c r="L2250">
        <v>0</v>
      </c>
      <c r="M2250">
        <v>1.6252598312425088E-3</v>
      </c>
      <c r="N2250">
        <v>0.1536308301775102</v>
      </c>
      <c r="O2250">
        <v>0.12496140892694672</v>
      </c>
      <c r="P2250">
        <v>1.6111522867886325E-2</v>
      </c>
      <c r="Q2250">
        <v>9.3458088083235059E-4</v>
      </c>
      <c r="R2250">
        <v>1.6216721804142376E-3</v>
      </c>
      <c r="S2250">
        <v>0.12257003638906769</v>
      </c>
      <c r="T2250">
        <v>0.84086435024799422</v>
      </c>
      <c r="U2250">
        <v>0</v>
      </c>
      <c r="V2250">
        <v>0.21038930519864282</v>
      </c>
      <c r="W2250">
        <v>0.10039495549824567</v>
      </c>
      <c r="X2250">
        <v>2.8922232168851019E-2</v>
      </c>
      <c r="Y2250">
        <v>4.4136570909969544E-3</v>
      </c>
    </row>
  </sheetData>
  <mergeCells count="3">
    <mergeCell ref="P12:Q12"/>
    <mergeCell ref="R12:U12"/>
    <mergeCell ref="B11:C11"/>
  </mergeCells>
  <dataValidations count="2">
    <dataValidation type="list" allowBlank="1" showInputMessage="1" showErrorMessage="1" sqref="D11" xr:uid="{8C7B4247-66FA-4E01-A74E-38C3F9453CF9}">
      <formula1>"Yes, No"</formula1>
    </dataValidation>
    <dataValidation type="list" allowBlank="1" showInputMessage="1" showErrorMessage="1" sqref="R12:U12" xr:uid="{0A7B5D4B-E6DE-4AAD-AFAF-42FAC3382FBE}">
      <formula1>$B$224:$B$245</formula1>
    </dataValidation>
  </dataValidation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ransitionEvaluation="1" codeName="Sheet9">
    <tabColor indexed="44"/>
    <pageSetUpPr fitToPage="1"/>
  </sheetPr>
  <dimension ref="A1:AG282"/>
  <sheetViews>
    <sheetView topLeftCell="A46" workbookViewId="0">
      <selection activeCell="Q65" sqref="Q65:Q113"/>
    </sheetView>
  </sheetViews>
  <sheetFormatPr defaultColWidth="11" defaultRowHeight="12.5" x14ac:dyDescent="0.25"/>
  <cols>
    <col min="1" max="1" width="27.26953125" style="53" customWidth="1"/>
    <col min="2" max="2" width="28.7265625" style="53" customWidth="1"/>
    <col min="3" max="3" width="25.26953125" style="53" customWidth="1"/>
    <col min="4" max="4" width="18.7265625" style="53" customWidth="1"/>
    <col min="5" max="5" width="49.7265625" style="53" customWidth="1"/>
    <col min="6" max="6" width="24.81640625" style="53" customWidth="1"/>
    <col min="7" max="7" width="25.7265625" style="53" customWidth="1"/>
    <col min="8" max="8" width="21.1796875" style="53" customWidth="1"/>
    <col min="9" max="9" width="29.7265625" style="53" customWidth="1"/>
    <col min="10" max="10" width="27.26953125" style="53" customWidth="1"/>
    <col min="11" max="11" width="25" style="53" customWidth="1"/>
    <col min="12" max="12" width="25.81640625" style="53" customWidth="1"/>
    <col min="13" max="13" width="21" style="53" customWidth="1"/>
    <col min="14" max="14" width="22.7265625" style="53" customWidth="1"/>
    <col min="15" max="15" width="28.26953125" style="53" customWidth="1"/>
    <col min="16" max="16" width="28.81640625" style="53" customWidth="1"/>
    <col min="17" max="17" width="26.81640625" style="53" customWidth="1"/>
    <col min="18" max="18" width="23.54296875" style="53" customWidth="1"/>
    <col min="19" max="19" width="22.1796875" style="53" customWidth="1"/>
    <col min="20" max="20" width="20.81640625" style="53" customWidth="1"/>
    <col min="21" max="21" width="21.453125" style="53" customWidth="1"/>
    <col min="22" max="22" width="18.81640625" style="53" customWidth="1"/>
    <col min="23" max="23" width="20.453125" style="53" customWidth="1"/>
    <col min="24" max="24" width="19.26953125" style="53" customWidth="1"/>
    <col min="25" max="25" width="14.7265625" style="53" customWidth="1"/>
    <col min="26" max="26" width="15.7265625" style="53" customWidth="1"/>
    <col min="27" max="27" width="15.54296875" style="53" customWidth="1"/>
    <col min="28" max="28" width="15.7265625" style="53" customWidth="1"/>
    <col min="29" max="29" width="16.7265625" style="53" customWidth="1"/>
    <col min="30" max="30" width="14.81640625" style="53" customWidth="1"/>
    <col min="31" max="31" width="15.453125" style="53" customWidth="1"/>
    <col min="32" max="32" width="11" style="53"/>
    <col min="33" max="33" width="14.81640625" style="53" customWidth="1"/>
    <col min="34" max="16384" width="11" style="53"/>
  </cols>
  <sheetData>
    <row r="1" spans="1:23" ht="15" customHeight="1" thickBot="1" x14ac:dyDescent="0.3">
      <c r="D1" s="41"/>
    </row>
    <row r="2" spans="1:23" ht="15" customHeight="1" thickTop="1" x14ac:dyDescent="0.3">
      <c r="A2" s="594" t="s">
        <v>493</v>
      </c>
      <c r="B2" s="588"/>
      <c r="C2" s="589"/>
      <c r="D2" s="41"/>
    </row>
    <row r="3" spans="1:23" ht="15" customHeight="1" x14ac:dyDescent="0.25">
      <c r="A3" s="595" t="s">
        <v>494</v>
      </c>
      <c r="B3" s="590"/>
      <c r="C3" s="591"/>
      <c r="E3" s="152"/>
      <c r="F3" s="40"/>
      <c r="G3" s="41"/>
    </row>
    <row r="4" spans="1:23" ht="30.75" customHeight="1" x14ac:dyDescent="0.25">
      <c r="A4" s="595" t="s">
        <v>495</v>
      </c>
      <c r="B4" s="590"/>
      <c r="C4" s="591"/>
      <c r="T4" s="155"/>
      <c r="U4" s="138"/>
      <c r="V4" s="138"/>
      <c r="W4" s="138"/>
    </row>
    <row r="5" spans="1:23" ht="26.25" customHeight="1" x14ac:dyDescent="0.25">
      <c r="A5" s="595" t="s">
        <v>79</v>
      </c>
      <c r="B5" s="590"/>
      <c r="C5" s="591"/>
      <c r="T5" s="155"/>
      <c r="U5" s="138"/>
      <c r="V5" s="138"/>
      <c r="W5" s="138"/>
    </row>
    <row r="6" spans="1:23" ht="15" customHeight="1" thickBot="1" x14ac:dyDescent="0.3">
      <c r="A6" s="596" t="s">
        <v>496</v>
      </c>
      <c r="B6" s="592"/>
      <c r="C6" s="593"/>
      <c r="T6" s="155"/>
      <c r="U6" s="138"/>
      <c r="V6" s="138"/>
      <c r="W6" s="138"/>
    </row>
    <row r="7" spans="1:23" ht="15" customHeight="1" thickTop="1" x14ac:dyDescent="0.25">
      <c r="T7" s="155"/>
      <c r="U7" s="138"/>
      <c r="V7" s="138"/>
      <c r="W7" s="138"/>
    </row>
    <row r="8" spans="1:23" ht="15" customHeight="1" x14ac:dyDescent="0.25">
      <c r="T8" s="155"/>
      <c r="U8" s="138"/>
      <c r="V8" s="138"/>
      <c r="W8" s="138"/>
    </row>
    <row r="9" spans="1:23" ht="15" customHeight="1" x14ac:dyDescent="0.25">
      <c r="T9" s="155"/>
      <c r="U9" s="138"/>
      <c r="V9" s="138"/>
      <c r="W9" s="138"/>
    </row>
    <row r="10" spans="1:23" ht="15" customHeight="1" x14ac:dyDescent="0.25">
      <c r="T10" s="155"/>
      <c r="U10" s="138"/>
      <c r="V10" s="138"/>
      <c r="W10" s="138"/>
    </row>
    <row r="11" spans="1:23" ht="15" customHeight="1" x14ac:dyDescent="0.25">
      <c r="T11" s="155"/>
      <c r="U11" s="138"/>
      <c r="V11" s="138"/>
      <c r="W11" s="138"/>
    </row>
    <row r="12" spans="1:23" ht="29.25" customHeight="1" x14ac:dyDescent="0.25">
      <c r="T12" s="155"/>
      <c r="U12" s="138"/>
      <c r="V12" s="138"/>
      <c r="W12" s="138"/>
    </row>
    <row r="13" spans="1:23" ht="15" customHeight="1" x14ac:dyDescent="0.35">
      <c r="A13" s="141"/>
      <c r="B13" s="151"/>
      <c r="C13" s="151"/>
      <c r="D13" s="151"/>
      <c r="E13" s="151"/>
      <c r="F13" s="138"/>
      <c r="G13" s="40"/>
      <c r="H13" s="41"/>
    </row>
    <row r="14" spans="1:23" ht="15" customHeight="1" thickBot="1" x14ac:dyDescent="0.45">
      <c r="A14" s="137"/>
    </row>
    <row r="15" spans="1:23" ht="29.25" customHeight="1" thickTop="1" thickBot="1" x14ac:dyDescent="0.4">
      <c r="A15" s="159" t="s">
        <v>89</v>
      </c>
      <c r="B15" s="154"/>
      <c r="D15" s="1642" t="s">
        <v>65</v>
      </c>
      <c r="E15" s="1643"/>
    </row>
    <row r="16" spans="1:23" ht="39.5" thickTop="1" x14ac:dyDescent="0.3">
      <c r="A16" s="160" t="s">
        <v>90</v>
      </c>
      <c r="B16" s="161"/>
      <c r="D16" s="321" t="str">
        <f>"Hydrogen Cost (Year "&amp;TEXT(ref_year,"0")&amp;" Real $/kg)"</f>
        <v>Hydrogen Cost (Year 2016 Real $/kg)</v>
      </c>
      <c r="E16" s="1216">
        <f ca="1">H2_price_nominal/INFLATION_FACTOR</f>
        <v>1.558219786529391</v>
      </c>
    </row>
    <row r="17" spans="1:10" ht="37.5" x14ac:dyDescent="0.25">
      <c r="A17" s="162" t="s">
        <v>91</v>
      </c>
      <c r="B17" s="163">
        <f ca="1">output_kgyear</f>
        <v>124628629.5</v>
      </c>
      <c r="D17" s="142" t="s">
        <v>935</v>
      </c>
      <c r="E17" s="1087">
        <f ca="1">+SUM(X57:AB57)/AC57*(1+inflation_rate)^construct</f>
        <v>1.5291656393811492</v>
      </c>
    </row>
    <row r="18" spans="1:10" ht="25" x14ac:dyDescent="0.25">
      <c r="A18" s="162" t="s">
        <v>92</v>
      </c>
      <c r="B18" s="163">
        <f ca="1">B17*H2_LHV_MJ_p_kg/1000/mmBTU_to_GJ</f>
        <v>14200769.412962679</v>
      </c>
      <c r="D18" s="143" t="s">
        <v>983</v>
      </c>
      <c r="E18" s="144">
        <f ca="1">((E20+1)/(1+B30))-1</f>
        <v>8.0000000000001181E-2</v>
      </c>
    </row>
    <row r="19" spans="1:10" ht="28.5" customHeight="1" x14ac:dyDescent="0.3">
      <c r="A19" s="162" t="s">
        <v>93</v>
      </c>
      <c r="B19" s="163">
        <f ca="1">B17*H2_LHV_MJ_p_kg</f>
        <v>14981811730.675625</v>
      </c>
      <c r="C19" s="140"/>
      <c r="D19" s="143" t="s">
        <v>991</v>
      </c>
      <c r="E19" s="144">
        <f ca="1">((E21+1)/(1+B30))-1</f>
        <v>9.8716187314101145E-2</v>
      </c>
    </row>
    <row r="20" spans="1:10" ht="15" customHeight="1" x14ac:dyDescent="0.25">
      <c r="A20" s="164" t="s">
        <v>94</v>
      </c>
      <c r="B20" s="163">
        <f ca="1">design_cap</f>
        <v>379387</v>
      </c>
      <c r="D20" s="145" t="s">
        <v>982</v>
      </c>
      <c r="E20" s="146">
        <f ca="1">IRR(AA65:AA113)</f>
        <v>0.10052000000000105</v>
      </c>
    </row>
    <row r="21" spans="1:10" ht="15" customHeight="1" x14ac:dyDescent="0.25">
      <c r="A21" s="164" t="s">
        <v>95</v>
      </c>
      <c r="B21" s="163">
        <f ca="1">B20*365</f>
        <v>138476255</v>
      </c>
      <c r="D21" s="145" t="s">
        <v>990</v>
      </c>
      <c r="E21" s="146">
        <f ca="1">IRR(AC65:AC113)</f>
        <v>0.11959179487306892</v>
      </c>
    </row>
    <row r="22" spans="1:10" ht="15" customHeight="1" x14ac:dyDescent="0.25">
      <c r="A22" s="165" t="s">
        <v>96</v>
      </c>
      <c r="B22" s="166">
        <f ca="1">cap_factor</f>
        <v>0.9</v>
      </c>
      <c r="D22" s="148" t="s">
        <v>66</v>
      </c>
      <c r="E22" s="149">
        <f ca="1">(real_irr*(1+real_irr)^anal_period)/(((1+real_irr)^anal_period)-1)</f>
        <v>8.3860161500585326E-2</v>
      </c>
    </row>
    <row r="23" spans="1:10" ht="15" customHeight="1" x14ac:dyDescent="0.25">
      <c r="A23" s="164"/>
      <c r="B23" s="167"/>
      <c r="D23" s="148" t="s">
        <v>76</v>
      </c>
      <c r="E23" s="149">
        <f ca="1">(nominal_irr*(1+nominal_irr)^anal_period)/(((1+nominal_irr)^anal_period)-1)</f>
        <v>0.10274768859314053</v>
      </c>
    </row>
    <row r="24" spans="1:10" ht="24.75" customHeight="1" x14ac:dyDescent="0.3">
      <c r="A24" s="160" t="s">
        <v>97</v>
      </c>
      <c r="B24" s="161"/>
      <c r="D24" s="145" t="s">
        <v>77</v>
      </c>
      <c r="E24" s="149">
        <f ca="1">(E22*(1-total_tax_rate*INDEX(Depreciation!B12:H37,MATCH("NPV - Real IRR",Depreciation!B12:B37,0),MATCH(depr_length,recovery_period,0))))/(1-total_tax_rate)</f>
        <v>9.8212531813322054E-2</v>
      </c>
    </row>
    <row r="25" spans="1:10" ht="15" customHeight="1" x14ac:dyDescent="0.25">
      <c r="A25" s="143" t="s">
        <v>98</v>
      </c>
      <c r="B25" s="168">
        <f>startup_year</f>
        <v>2015</v>
      </c>
      <c r="D25" s="148" t="s">
        <v>78</v>
      </c>
      <c r="E25" s="149">
        <f ca="1">(E23*(1-total_tax_rate*INDEX(Depreciation!B12:H37,MATCH("NPV - Nominal IRR",Depreciation!B12:B37,0),MATCH(depr_length,recovery_period,0))))/(1-total_tax_rate)</f>
        <v>0.12265813940348715</v>
      </c>
    </row>
    <row r="26" spans="1:10" ht="15" customHeight="1" thickBot="1" x14ac:dyDescent="0.3">
      <c r="A26" s="164" t="s">
        <v>99</v>
      </c>
      <c r="B26" s="158">
        <f ca="1">real_irr</f>
        <v>0.08</v>
      </c>
      <c r="C26" s="169"/>
      <c r="D26" s="150" t="s">
        <v>249</v>
      </c>
      <c r="E26" s="1086">
        <f ca="1">NPV(nominal_irr,AA65:AA113)</f>
        <v>1.3074668136707323E-6</v>
      </c>
    </row>
    <row r="27" spans="1:10" ht="15" customHeight="1" thickTop="1" x14ac:dyDescent="0.25">
      <c r="A27" s="143" t="s">
        <v>988</v>
      </c>
      <c r="B27" s="158">
        <f ca="1">((1+B26)*(1+B30))-1</f>
        <v>0.10051999999999994</v>
      </c>
      <c r="C27" s="169"/>
      <c r="D27" s="170"/>
    </row>
    <row r="28" spans="1:10" ht="15" customHeight="1" x14ac:dyDescent="0.25">
      <c r="A28" s="164" t="s">
        <v>100</v>
      </c>
      <c r="B28" s="168">
        <f>anal_period</f>
        <v>40</v>
      </c>
      <c r="C28" s="169"/>
      <c r="D28" s="170"/>
      <c r="F28" s="170"/>
    </row>
    <row r="29" spans="1:10" ht="15" customHeight="1" x14ac:dyDescent="0.25">
      <c r="A29" s="164" t="s">
        <v>101</v>
      </c>
      <c r="B29" s="168">
        <f>plant_life</f>
        <v>40</v>
      </c>
      <c r="C29" s="169"/>
      <c r="D29" s="170"/>
    </row>
    <row r="30" spans="1:10" ht="15" customHeight="1" x14ac:dyDescent="0.25">
      <c r="A30" s="164" t="s">
        <v>102</v>
      </c>
      <c r="B30" s="158">
        <f>inflation_rate</f>
        <v>1.9E-2</v>
      </c>
      <c r="F30" s="1085"/>
      <c r="G30" s="1084"/>
      <c r="H30" s="1084"/>
      <c r="I30" s="1084"/>
      <c r="J30" s="1084"/>
    </row>
    <row r="31" spans="1:10" ht="15" customHeight="1" x14ac:dyDescent="0.25">
      <c r="A31" s="164" t="s">
        <v>103</v>
      </c>
      <c r="B31" s="171">
        <f>100%-equity</f>
        <v>0.6</v>
      </c>
    </row>
    <row r="32" spans="1:10" ht="15" customHeight="1" x14ac:dyDescent="0.25">
      <c r="A32" s="143" t="s">
        <v>104</v>
      </c>
      <c r="B32" s="172">
        <f>equity</f>
        <v>0.4</v>
      </c>
    </row>
    <row r="33" spans="1:12" ht="15" customHeight="1" x14ac:dyDescent="0.25">
      <c r="A33" s="143" t="s">
        <v>105</v>
      </c>
      <c r="B33" s="158">
        <f>total_tax_rate</f>
        <v>0.25739999999999996</v>
      </c>
    </row>
    <row r="34" spans="1:12" ht="15" customHeight="1" x14ac:dyDescent="0.25">
      <c r="A34" s="143"/>
      <c r="B34" s="173"/>
    </row>
    <row r="35" spans="1:12" ht="28.5" customHeight="1" x14ac:dyDescent="0.3">
      <c r="A35" s="174" t="s">
        <v>106</v>
      </c>
      <c r="B35" s="175"/>
    </row>
    <row r="36" spans="1:12" ht="15" customHeight="1" x14ac:dyDescent="0.25">
      <c r="A36" s="164" t="s">
        <v>107</v>
      </c>
      <c r="B36" s="168">
        <f>debt_period</f>
        <v>0</v>
      </c>
    </row>
    <row r="37" spans="1:12" ht="15" customHeight="1" x14ac:dyDescent="0.25">
      <c r="A37" s="164" t="s">
        <v>108</v>
      </c>
      <c r="B37" s="176">
        <f>debt_interest</f>
        <v>3.6999999999999998E-2</v>
      </c>
      <c r="K37" s="1084"/>
    </row>
    <row r="38" spans="1:12" ht="15" customHeight="1" x14ac:dyDescent="0.25">
      <c r="A38" s="143"/>
      <c r="B38" s="161"/>
      <c r="K38" s="1084"/>
    </row>
    <row r="39" spans="1:12" ht="28.5" customHeight="1" x14ac:dyDescent="0.3">
      <c r="A39" s="174" t="s">
        <v>109</v>
      </c>
      <c r="B39" s="161"/>
      <c r="F39" s="1084"/>
      <c r="G39" s="1084"/>
      <c r="H39" s="1084"/>
      <c r="I39" s="1084"/>
      <c r="J39" s="1084"/>
      <c r="K39" s="1084"/>
      <c r="L39" s="1084"/>
    </row>
    <row r="40" spans="1:12" ht="15" customHeight="1" x14ac:dyDescent="0.25">
      <c r="A40" s="143" t="s">
        <v>110</v>
      </c>
      <c r="B40" s="168">
        <f>construct</f>
        <v>3</v>
      </c>
      <c r="G40" s="1084"/>
      <c r="H40" s="1084"/>
    </row>
    <row r="41" spans="1:12" ht="15" customHeight="1" x14ac:dyDescent="0.25">
      <c r="A41" s="143" t="s">
        <v>111</v>
      </c>
      <c r="B41" s="166">
        <f>start_time</f>
        <v>1</v>
      </c>
    </row>
    <row r="42" spans="1:12" ht="15" customHeight="1" x14ac:dyDescent="0.25">
      <c r="A42" s="162" t="s">
        <v>112</v>
      </c>
      <c r="B42" s="171">
        <f>percnt_revs</f>
        <v>0.5</v>
      </c>
    </row>
    <row r="43" spans="1:12" ht="15" customHeight="1" x14ac:dyDescent="0.25">
      <c r="A43" s="162" t="s">
        <v>113</v>
      </c>
      <c r="B43" s="171">
        <f>percnt_var</f>
        <v>0.75</v>
      </c>
    </row>
    <row r="44" spans="1:12" ht="15" customHeight="1" x14ac:dyDescent="0.25">
      <c r="A44" s="162" t="s">
        <v>114</v>
      </c>
      <c r="B44" s="171">
        <f>percnt_fixed</f>
        <v>0.75</v>
      </c>
    </row>
    <row r="45" spans="1:12" ht="15" customHeight="1" x14ac:dyDescent="0.25">
      <c r="A45" s="143"/>
      <c r="B45" s="161"/>
    </row>
    <row r="46" spans="1:12" ht="28.5" customHeight="1" x14ac:dyDescent="0.3">
      <c r="A46" s="174" t="s">
        <v>115</v>
      </c>
      <c r="B46" s="161"/>
      <c r="F46" s="177"/>
    </row>
    <row r="47" spans="1:12" ht="15" customHeight="1" x14ac:dyDescent="0.25">
      <c r="A47" s="143" t="s">
        <v>389</v>
      </c>
      <c r="B47" s="178" t="str">
        <f>depr_type</f>
        <v>MACRS</v>
      </c>
      <c r="F47" s="177"/>
    </row>
    <row r="48" spans="1:12" ht="15" customHeight="1" x14ac:dyDescent="0.25">
      <c r="A48" s="143" t="s">
        <v>53</v>
      </c>
      <c r="B48" s="168">
        <f>depr_length</f>
        <v>20</v>
      </c>
      <c r="F48" s="177"/>
    </row>
    <row r="49" spans="1:32" ht="15" customHeight="1" x14ac:dyDescent="0.25">
      <c r="A49" s="143"/>
      <c r="B49" s="161"/>
      <c r="F49" s="177"/>
    </row>
    <row r="50" spans="1:32" ht="28.5" customHeight="1" x14ac:dyDescent="0.3">
      <c r="A50" s="174" t="s">
        <v>116</v>
      </c>
      <c r="B50" s="161"/>
    </row>
    <row r="51" spans="1:32" ht="30.75" customHeight="1" x14ac:dyDescent="0.25">
      <c r="A51" s="142" t="s">
        <v>979</v>
      </c>
      <c r="B51" s="179">
        <f ca="1">(total_cap-non_dep_cap)*INFLATION_FACTOR</f>
        <v>474101567.68222404</v>
      </c>
      <c r="F51" s="177"/>
    </row>
    <row r="52" spans="1:32" ht="30" customHeight="1" thickBot="1" x14ac:dyDescent="0.3">
      <c r="A52" s="142" t="s">
        <v>981</v>
      </c>
      <c r="B52" s="179">
        <f ca="1">non_dep_cap*INFLATION_FACTOR</f>
        <v>1080200.3794391444</v>
      </c>
      <c r="F52" s="177"/>
    </row>
    <row r="53" spans="1:32" ht="15" customHeight="1" thickBot="1" x14ac:dyDescent="0.4">
      <c r="A53" s="142" t="s">
        <v>117</v>
      </c>
      <c r="B53" s="179">
        <f ca="1">SUM(B51:B52)</f>
        <v>475181768.06166315</v>
      </c>
      <c r="F53" s="177"/>
      <c r="W53" s="1644" t="s">
        <v>1173</v>
      </c>
      <c r="X53" s="1645"/>
      <c r="Y53" s="1135"/>
      <c r="Z53" s="1135"/>
      <c r="AA53" s="1135"/>
      <c r="AB53" s="1135"/>
      <c r="AC53" s="1136"/>
    </row>
    <row r="54" spans="1:32" ht="15" customHeight="1" thickTop="1" x14ac:dyDescent="0.3">
      <c r="A54" s="142" t="s">
        <v>984</v>
      </c>
      <c r="B54" s="179">
        <f ca="1">decom_percent*depr_cap_infl</f>
        <v>47410156.768222407</v>
      </c>
      <c r="F54" s="177"/>
      <c r="W54" s="1137"/>
      <c r="X54" s="1130" t="s">
        <v>83</v>
      </c>
      <c r="Y54" s="1131" t="s">
        <v>1123</v>
      </c>
      <c r="Z54" s="1131" t="s">
        <v>1124</v>
      </c>
      <c r="AA54" s="1130" t="s">
        <v>1125</v>
      </c>
      <c r="AB54" s="1131" t="s">
        <v>1130</v>
      </c>
      <c r="AC54" s="1138" t="s">
        <v>1126</v>
      </c>
    </row>
    <row r="55" spans="1:32" ht="15" customHeight="1" x14ac:dyDescent="0.25">
      <c r="A55" s="142" t="s">
        <v>993</v>
      </c>
      <c r="B55" s="179">
        <f ca="1">salvage_perct*B53</f>
        <v>47518176.806166321</v>
      </c>
      <c r="F55" s="177"/>
      <c r="W55" s="1139" t="s">
        <v>1121</v>
      </c>
      <c r="X55" s="1132">
        <f ca="1">-SUM(H116:K116)</f>
        <v>319779524.01910436</v>
      </c>
      <c r="Y55" s="1132">
        <f ca="1">-U116</f>
        <v>233678624.77761087</v>
      </c>
      <c r="Z55" s="1132">
        <f ca="1">-Z116</f>
        <v>4812676.0667416221</v>
      </c>
      <c r="AA55" s="1132">
        <f ca="1">-SUM(L116:S116)</f>
        <v>1413798248.841049</v>
      </c>
      <c r="AB55" s="1132">
        <f ca="1">+AF116</f>
        <v>0</v>
      </c>
      <c r="AC55" s="1140">
        <f ca="1">+AE116</f>
        <v>1224665447.1183949</v>
      </c>
    </row>
    <row r="56" spans="1:32" ht="15" customHeight="1" x14ac:dyDescent="0.25">
      <c r="A56" s="164" t="s">
        <v>985</v>
      </c>
      <c r="B56" s="62">
        <f ca="1">fixed*INFLATION_FACTOR</f>
        <v>14328973.107416833</v>
      </c>
      <c r="F56" s="177"/>
      <c r="W56" s="1139" t="s">
        <v>1131</v>
      </c>
      <c r="X56" s="1133">
        <v>1</v>
      </c>
      <c r="Y56" s="1133">
        <f>-total_tax_rate</f>
        <v>-0.25739999999999996</v>
      </c>
      <c r="Z56" s="1133">
        <v>1</v>
      </c>
      <c r="AA56" s="1133">
        <f>1-total_tax_rate</f>
        <v>0.74260000000000004</v>
      </c>
      <c r="AB56" s="1133">
        <v>-1</v>
      </c>
      <c r="AC56" s="1141">
        <f>1-total_tax_rate</f>
        <v>0.74260000000000004</v>
      </c>
    </row>
    <row r="57" spans="1:32" ht="15" customHeight="1" x14ac:dyDescent="0.25">
      <c r="A57" s="164" t="s">
        <v>986</v>
      </c>
      <c r="B57" s="62">
        <f ca="1">total_other_raw*INFLATION_FACTOR</f>
        <v>0</v>
      </c>
      <c r="F57" s="177"/>
      <c r="W57" s="1139" t="s">
        <v>1122</v>
      </c>
      <c r="X57" s="1134">
        <f t="shared" ref="X57:Z57" ca="1" si="0">+X55*X56</f>
        <v>319779524.01910436</v>
      </c>
      <c r="Y57" s="1134">
        <f t="shared" ca="1" si="0"/>
        <v>-60148878.017757028</v>
      </c>
      <c r="Z57" s="1134">
        <f t="shared" ca="1" si="0"/>
        <v>4812676.0667416221</v>
      </c>
      <c r="AA57" s="1134">
        <f ca="1">+AA55*AA56</f>
        <v>1049886579.589363</v>
      </c>
      <c r="AB57" s="1134">
        <f ca="1">+AB55*AB56</f>
        <v>0</v>
      </c>
      <c r="AC57" s="1142">
        <f ca="1">+AC55*AC56</f>
        <v>909436561.03012002</v>
      </c>
    </row>
    <row r="58" spans="1:32" ht="45.75" customHeight="1" thickBot="1" x14ac:dyDescent="0.3">
      <c r="A58" s="180" t="s">
        <v>987</v>
      </c>
      <c r="B58" s="66">
        <f ca="1">(var_misc+royalties+operator_profit+CO2_OandMcost+waste_treat+solidwaste_treat)*INFLATION_FACTOR</f>
        <v>15822758.952032993</v>
      </c>
      <c r="F58" s="177"/>
      <c r="W58" s="1143"/>
      <c r="X58" s="1144"/>
      <c r="Y58" s="1144"/>
      <c r="Z58" s="1144"/>
      <c r="AA58" s="1144"/>
      <c r="AB58" s="1144"/>
      <c r="AC58" s="1145"/>
    </row>
    <row r="59" spans="1:32" ht="15" customHeight="1" thickTop="1" x14ac:dyDescent="0.25">
      <c r="F59" s="177"/>
      <c r="W59" s="1146" t="s">
        <v>1120</v>
      </c>
      <c r="X59" s="1087">
        <f ca="1">+(1+real_irr)*(1+inflation_rate)-1</f>
        <v>0.10051999999999994</v>
      </c>
      <c r="Y59" s="1144"/>
      <c r="Z59" s="1144"/>
      <c r="AA59" s="1144"/>
      <c r="AB59" s="1144"/>
      <c r="AC59" s="1145"/>
    </row>
    <row r="60" spans="1:32" ht="15" customHeight="1" thickBot="1" x14ac:dyDescent="0.3">
      <c r="F60" s="177"/>
      <c r="W60" s="1147" t="str">
        <f>+D16</f>
        <v>Hydrogen Cost (Year 2016 Real $/kg)</v>
      </c>
      <c r="X60" s="1148">
        <f ca="1">+SUM(X57:AB57)/AC57*(1+inflation_rate)^construct/INFLATION_FACTOR</f>
        <v>1.558219786529391</v>
      </c>
      <c r="Y60" s="1149"/>
      <c r="Z60" s="1149"/>
      <c r="AA60" s="1149"/>
      <c r="AB60" s="1149"/>
      <c r="AC60" s="1150"/>
    </row>
    <row r="61" spans="1:32" ht="39.75" customHeight="1" x14ac:dyDescent="0.25">
      <c r="F61" s="177"/>
    </row>
    <row r="62" spans="1:32" ht="17.25" customHeight="1" thickBot="1" x14ac:dyDescent="0.3">
      <c r="F62" s="177"/>
    </row>
    <row r="63" spans="1:32" ht="29.25" customHeight="1" thickTop="1" thickBot="1" x14ac:dyDescent="0.4">
      <c r="A63" s="49" t="s">
        <v>118</v>
      </c>
      <c r="B63" s="181"/>
      <c r="C63" s="181"/>
      <c r="D63" s="181"/>
      <c r="E63" s="181"/>
      <c r="F63" s="181"/>
      <c r="G63" s="181"/>
      <c r="H63" s="1174"/>
      <c r="I63" s="1174"/>
      <c r="J63" s="1174"/>
      <c r="K63" s="1174"/>
      <c r="L63" s="1174"/>
      <c r="M63" s="1174"/>
      <c r="N63" s="1174"/>
      <c r="O63" s="1174"/>
      <c r="P63" s="1174"/>
      <c r="Q63" s="1174"/>
      <c r="R63" s="1174"/>
      <c r="S63" s="1174"/>
      <c r="T63" s="1174"/>
      <c r="U63" s="1174"/>
      <c r="V63" s="1174"/>
      <c r="W63" s="1174"/>
      <c r="X63" s="1174"/>
      <c r="Y63" s="1174"/>
      <c r="Z63" s="1174"/>
      <c r="AA63" s="1174"/>
      <c r="AB63" s="1174"/>
      <c r="AC63" s="1175"/>
    </row>
    <row r="64" spans="1:32" ht="66" thickTop="1" thickBot="1" x14ac:dyDescent="0.35">
      <c r="A64" s="1151" t="s">
        <v>1128</v>
      </c>
      <c r="B64" s="1152" t="s">
        <v>40</v>
      </c>
      <c r="C64" s="1152" t="s">
        <v>56</v>
      </c>
      <c r="D64" s="1152" t="s">
        <v>119</v>
      </c>
      <c r="E64" s="1153" t="s">
        <v>120</v>
      </c>
      <c r="F64" s="1153" t="s">
        <v>1133</v>
      </c>
      <c r="G64" s="1154" t="s">
        <v>121</v>
      </c>
      <c r="H64" s="1176" t="s">
        <v>122</v>
      </c>
      <c r="I64" s="1177" t="s">
        <v>123</v>
      </c>
      <c r="J64" s="1177" t="s">
        <v>1127</v>
      </c>
      <c r="K64" s="1177" t="s">
        <v>135</v>
      </c>
      <c r="L64" s="1177" t="s">
        <v>993</v>
      </c>
      <c r="M64" s="1177" t="s">
        <v>84</v>
      </c>
      <c r="N64" s="1177" t="s">
        <v>136</v>
      </c>
      <c r="O64" s="1177" t="s">
        <v>1132</v>
      </c>
      <c r="P64" s="1177" t="s">
        <v>137</v>
      </c>
      <c r="Q64" s="1177" t="s">
        <v>1134</v>
      </c>
      <c r="R64" s="1177" t="s">
        <v>138</v>
      </c>
      <c r="S64" s="1177" t="s">
        <v>139</v>
      </c>
      <c r="T64" s="1177" t="s">
        <v>140</v>
      </c>
      <c r="U64" s="1177" t="s">
        <v>60</v>
      </c>
      <c r="V64" s="1177" t="s">
        <v>141</v>
      </c>
      <c r="W64" s="1177" t="s">
        <v>142</v>
      </c>
      <c r="X64" s="1177" t="s">
        <v>144</v>
      </c>
      <c r="Y64" s="1177" t="s">
        <v>145</v>
      </c>
      <c r="Z64" s="1177" t="s">
        <v>45</v>
      </c>
      <c r="AA64" s="1178" t="s">
        <v>146</v>
      </c>
      <c r="AB64" s="1178" t="s">
        <v>147</v>
      </c>
      <c r="AC64" s="1156" t="s">
        <v>148</v>
      </c>
      <c r="AD64" s="182"/>
      <c r="AE64" s="1155" t="s">
        <v>1119</v>
      </c>
      <c r="AF64" s="1156" t="s">
        <v>1129</v>
      </c>
    </row>
    <row r="65" spans="1:32" ht="13" thickTop="1" x14ac:dyDescent="0.25">
      <c r="A65" s="183">
        <f>startup_year-construct</f>
        <v>2012</v>
      </c>
      <c r="B65" s="184">
        <v>1</v>
      </c>
      <c r="C65" s="184">
        <f>IF(construct=0,1,-construct)</f>
        <v>-3</v>
      </c>
      <c r="D65" s="184">
        <f t="shared" ref="D65:D96" si="1">IF(C65="","",IF(C65&lt;=plant_life,C65,IF(D64=plant_life,1,D64+1)))</f>
        <v>-3</v>
      </c>
      <c r="E65" s="185">
        <f t="shared" ref="E65:E96" si="2">IF(C65="","",(1+inflation_rate)^(A65-$B$25))</f>
        <v>0.94509931410277337</v>
      </c>
      <c r="F65" s="186">
        <f t="shared" ref="F65:F96" si="3">IF(C65="","",IF(C65&lt;0,0,IF(AND(C65=1,start_time&lt;1),E65*(H2_price_nominal*output_kgyear*start_time*percnt_revs+H2_price_nominal*output_kgyear*(1-start_time)),IF(C65&lt;=start_time,H2_price_nominal*E65*output_kgyear*percnt_revs,H2_price_nominal*output_kgyear*E65))))</f>
        <v>0</v>
      </c>
      <c r="G65" s="1170">
        <f ca="1">-$B$31*depr_cap_infl*E65</f>
        <v>-268843839.85891169</v>
      </c>
      <c r="H65" s="1179">
        <f ca="1">IF(C65&lt;0,-E65*equity*depr_cap_infl*percent_cap1,IF(C65=1,-E65*equity*depr_cap_infl,0))</f>
        <v>-14338338.125808626</v>
      </c>
      <c r="I65" s="187" t="str">
        <f>IF(OR(C65&lt;0,C65=""),"",-E65*INDEX('Replacement Costs'!$A$16:$H$57,MATCH(C65,'Replacement Costs'!$C$16:$C$57,0),MATCH("Total Yearly Replacement Costs",'Replacement Costs'!$A$16:$H$16,0)))</f>
        <v/>
      </c>
      <c r="J65" s="187">
        <f>IF(AND(C65&gt;=1,C65&lt;anal_period),WorkingCap*SUM(N65:R65)-WorkingCap*SUM(N64:R64),0)</f>
        <v>0</v>
      </c>
      <c r="K65" s="187">
        <f t="shared" ref="K65:K96" ca="1" si="4">IF(C65=-construct,-E65*non_dep_infl,"")</f>
        <v>-1020896.6377014909</v>
      </c>
      <c r="L65" s="187" t="str">
        <f t="shared" ref="L65:L96" si="5">IF(C65=anal_period,salvage*E65,"")</f>
        <v/>
      </c>
      <c r="M65" s="187" t="str">
        <f t="shared" ref="M65:M96" si="6">IF(D65=plant_life,-E65*decom,"")</f>
        <v/>
      </c>
      <c r="N65" s="187">
        <f t="shared" ref="N65:N96" si="7">IF(C65="","",IF(C65&lt;0,0,IF(AND(C65=1,start_time&lt;1),-(inflated_fixed*percnt_fixed*start_time+(inflated_fixed*(1-start_time))),IF(C65&lt;=start_time,-inflated_fixed*percnt_fixed*E65,-inflated_fixed*E65))))</f>
        <v>0</v>
      </c>
      <c r="O65" s="187">
        <f t="shared" ref="O65:O96" si="8">IF(C65="","",IF(C65&lt;0,0,IF(AND(C65=1,start_time&lt;1),-(SUM(B139:E139)*output_kgyear*E65*percnt_var*start_time+SUM(B139:E139)*output_kgyear*E65*(1-start_time)),IF(C65&lt;=start_time,-SUM(B139:E139)*output_kgyear*E65*percnt_var,-SUM(B139:E139)*output_kgyear*E65))))</f>
        <v>0</v>
      </c>
      <c r="P65" s="187">
        <f t="shared" ref="P65:P96" si="9">IF(C65="","",IF(C65&lt;0,0,IF(AND(C65=1,start_time&lt;1),-(inflated_otherraw*E65*percnt_var*start_time+inflated_otherraw*E65*(1-start_time)),IF(C65&lt;=start_time,-inflated_otherraw*E65*percnt_var,-(inflated_otherraw*E65)))))</f>
        <v>0</v>
      </c>
      <c r="Q65" s="187">
        <f t="shared" ref="Q65:Q109" si="10">IF(C65="","",IF(C65&lt;0,0,IF(AND(C65=1,start_time&lt;1),SUM(K139:N139,T139:V139)*output_kgyear*E65*percnt_revs*start_time+SUM(K139:N139,T139:V139)*output_kgyear*E65*(1-start_time),IF(C65&lt;=start_time,SUM(K139:N139,T139:V139)*output_kgyear*E65*percnt_revs,SUM(K139:N139,T139:V139)*output_kgyear*E65))))</f>
        <v>0</v>
      </c>
      <c r="R65" s="187">
        <f t="shared" ref="R65:R96" si="11">IF(C65="","",IF(C65&lt;0,0,IF(AND(C65=1,start_time&lt;1),-((SUM(F139:J139,P139:R139)*output_kgyear+inflated_othervar)*E65*percnt_var*start_time+(SUM(F139:J139,P139:R139)*output_kgyear+inflated_othervar)*E65*(1-start_time)),IF(C65&lt;=start_time,-(SUM(F139:J139,P139:R139)*output_kgyear+inflated_othervar)*E65*percnt_var,-E65*(SUM(F139:J139,P139:R139)*output_kgyear+inflated_othervar)))))</f>
        <v>0</v>
      </c>
      <c r="S65" s="187">
        <f ca="1">IF(B65="","",IF($B$31=0,"",-'Debt Financing Calculations'!E14))</f>
        <v>-9947222.0747797322</v>
      </c>
      <c r="T65" s="187">
        <f t="shared" ref="T65:T96" ca="1" si="12">IF(C65="","",F65+SUM(L65:S65))</f>
        <v>-9947222.0747797322</v>
      </c>
      <c r="U65" s="187">
        <f>IF(C65="","",IF(C65&lt;-1,0,IF(C65=anal_period,-LOOKUP(C65,depr_yr,depr_cost)-Depreciation!$C$141-Depreciation!$B$166,-LOOKUP(C65,depr_yr,depr_cost))))</f>
        <v>0</v>
      </c>
      <c r="V65" s="187">
        <f t="shared" ref="V65:V96" ca="1" si="13">IF(C65="","",SUM(T65:U65))</f>
        <v>-9947222.0747797322</v>
      </c>
      <c r="W65" s="188">
        <f t="shared" ref="W65:W96" si="14">IF(C65="","",$B$33)</f>
        <v>0.25739999999999996</v>
      </c>
      <c r="X65" s="187">
        <f t="shared" ref="X65:X96" ca="1" si="15">IF(C65="","",tax_credit-(V65*W65 +Upstream_CO2_taxpYear + Proc_CO2_taxpYear))</f>
        <v>2560414.9620483029</v>
      </c>
      <c r="Y65" s="187">
        <f t="shared" ref="Y65:Y96" ca="1" si="16">IF(C65="","",SUM(T65,X65))</f>
        <v>-7386807.1127314288</v>
      </c>
      <c r="Z65" s="187">
        <f>IF(C65="","",IF($B$31=0,"",-'Debt Financing Calculations'!F14))</f>
        <v>0</v>
      </c>
      <c r="AA65" s="187">
        <f t="shared" ref="AA65:AA96" ca="1" si="17">IF(C65="","",SUM(H65,I65,J65,K65,T65,X65,Z65))</f>
        <v>-22746041.876241546</v>
      </c>
      <c r="AB65" s="187">
        <f ca="1">AA65</f>
        <v>-22746041.876241546</v>
      </c>
      <c r="AC65" s="1157">
        <f t="shared" ref="AC65:AC96" ca="1" si="18">IF(C65="","",SUM(H65,I65,J65,K65,T65,Z65))</f>
        <v>-25306456.838289849</v>
      </c>
      <c r="AD65" s="138"/>
      <c r="AE65" s="1161">
        <f t="shared" ref="AE65:AE96" si="19">IF(C65="","",IF(C65&lt;0,0,IF(AND(C65=1,start_time&lt;1),(output_kgyear*start_time*percnt_revs+output_kgyear*(1-start_time)),IF(C65&lt;=start_time,output_kgyear*percnt_revs,output_kgyear))))</f>
        <v>0</v>
      </c>
      <c r="AF65" s="1157">
        <f t="shared" ref="AF65:AF96" si="20">IF(C65="","",tax_credit)</f>
        <v>0</v>
      </c>
    </row>
    <row r="66" spans="1:32" x14ac:dyDescent="0.25">
      <c r="A66" s="59">
        <f t="shared" ref="A66:A113" si="21">IF(B66&lt;&gt;"",A65+1,"")</f>
        <v>2013</v>
      </c>
      <c r="B66" s="189">
        <f>IF(MAX($B$65:B65)&lt;(construct+anal_period),B65+1,"")</f>
        <v>2</v>
      </c>
      <c r="C66" s="189">
        <f t="shared" ref="C66:C113" si="22">IF(B66="","",IF(C65=-1,1,C65+1))</f>
        <v>-2</v>
      </c>
      <c r="D66" s="189">
        <f t="shared" si="1"/>
        <v>-2</v>
      </c>
      <c r="E66" s="190">
        <f t="shared" si="2"/>
        <v>0.96305620107072598</v>
      </c>
      <c r="F66" s="61">
        <f t="shared" si="3"/>
        <v>0</v>
      </c>
      <c r="G66" s="1171"/>
      <c r="H66" s="1180">
        <f ca="1">IF(C66&lt;0,-E66*equity*depr_cap_infl*percent_cap2,0)</f>
        <v>-109580749.12649241</v>
      </c>
      <c r="I66" s="191" t="str">
        <f>IF(OR(C66&lt;0,C66=""),"",-E66*INDEX('Replacement Costs'!$A$16:$H$57,MATCH(C66,'Replacement Costs'!$C$16:$C$57,0),MATCH("Total Yearly Replacement Costs",'Replacement Costs'!$A$16:$H$16,0)))</f>
        <v/>
      </c>
      <c r="J66" s="191">
        <f>IF(AND(C66&gt;=1,C66&lt;anal_period),WorkingCap*SUM(N66:R66)-WorkingCap*SUM(N65:R65),IF(C66&lt;0,0,IF(B66="","",-SUM(J$65:J65))))</f>
        <v>0</v>
      </c>
      <c r="K66" s="191" t="str">
        <f t="shared" si="4"/>
        <v/>
      </c>
      <c r="L66" s="191" t="str">
        <f t="shared" si="5"/>
        <v/>
      </c>
      <c r="M66" s="191" t="str">
        <f t="shared" si="6"/>
        <v/>
      </c>
      <c r="N66" s="191">
        <f t="shared" si="7"/>
        <v>0</v>
      </c>
      <c r="O66" s="191">
        <f t="shared" si="8"/>
        <v>0</v>
      </c>
      <c r="P66" s="191">
        <f t="shared" si="9"/>
        <v>0</v>
      </c>
      <c r="Q66" s="191">
        <f t="shared" si="10"/>
        <v>0</v>
      </c>
      <c r="R66" s="191">
        <f t="shared" si="11"/>
        <v>0</v>
      </c>
      <c r="S66" s="191">
        <f ca="1">IF(B66="","",IF($B$31=0,"",-'Debt Financing Calculations'!E15))</f>
        <v>-9947222.0747797322</v>
      </c>
      <c r="T66" s="191">
        <f t="shared" ca="1" si="12"/>
        <v>-9947222.0747797322</v>
      </c>
      <c r="U66" s="191">
        <f>IF(C66="","",IF(C66&lt;-1,0,IF(C66=anal_period,-LOOKUP(C66,depr_yr,depr_cost)-Depreciation!$C$141-Depreciation!$B$166,-LOOKUP(C66,depr_yr,depr_cost))))</f>
        <v>0</v>
      </c>
      <c r="V66" s="191">
        <f t="shared" ca="1" si="13"/>
        <v>-9947222.0747797322</v>
      </c>
      <c r="W66" s="192">
        <f t="shared" si="14"/>
        <v>0.25739999999999996</v>
      </c>
      <c r="X66" s="191">
        <f t="shared" ca="1" si="15"/>
        <v>2560414.9620483029</v>
      </c>
      <c r="Y66" s="191">
        <f t="shared" ca="1" si="16"/>
        <v>-7386807.1127314288</v>
      </c>
      <c r="Z66" s="191">
        <f>IF(C66="","",IF($B$31=0,"",-'Debt Financing Calculations'!F15))</f>
        <v>0</v>
      </c>
      <c r="AA66" s="191">
        <f t="shared" ca="1" si="17"/>
        <v>-116967556.23922384</v>
      </c>
      <c r="AB66" s="191">
        <f t="shared" ref="AB66:AB113" ca="1" si="23">IF(C66="","",AB65+AA66)</f>
        <v>-139713598.11546537</v>
      </c>
      <c r="AC66" s="1158">
        <f t="shared" ca="1" si="18"/>
        <v>-119527971.20127214</v>
      </c>
      <c r="AD66" s="138"/>
      <c r="AE66" s="1162">
        <f t="shared" si="19"/>
        <v>0</v>
      </c>
      <c r="AF66" s="1158">
        <f t="shared" si="20"/>
        <v>0</v>
      </c>
    </row>
    <row r="67" spans="1:32" x14ac:dyDescent="0.25">
      <c r="A67" s="59">
        <f t="shared" si="21"/>
        <v>2014</v>
      </c>
      <c r="B67" s="189">
        <f>IF(MAX($B$65:B66)&lt;(construct+anal_period),B66+1,"")</f>
        <v>3</v>
      </c>
      <c r="C67" s="189">
        <f t="shared" si="22"/>
        <v>-1</v>
      </c>
      <c r="D67" s="189">
        <f t="shared" si="1"/>
        <v>-1</v>
      </c>
      <c r="E67" s="190">
        <f t="shared" si="2"/>
        <v>0.9813542688910698</v>
      </c>
      <c r="F67" s="61">
        <f t="shared" si="3"/>
        <v>0</v>
      </c>
      <c r="G67" s="1171"/>
      <c r="H67" s="1180">
        <f ca="1">IF(C67&lt;0,-E67*equity*depr_cap_infl*percent_cap3,0)</f>
        <v>-59553484.458611079</v>
      </c>
      <c r="I67" s="191" t="str">
        <f>IF(OR(C67&lt;0,C67=""),"",-E67*INDEX('Replacement Costs'!$A$16:$H$57,MATCH(C67,'Replacement Costs'!$C$16:$C$57,0),MATCH("Total Yearly Replacement Costs",'Replacement Costs'!$A$16:$H$16,0)))</f>
        <v/>
      </c>
      <c r="J67" s="191">
        <f>IF(AND(C67&gt;=1,C67&lt;anal_period),WorkingCap*SUM(N67:R67)-WorkingCap*SUM(N66:R66),IF(C67&lt;0,0,IF(B67="","",-SUM(J$65:J66))))</f>
        <v>0</v>
      </c>
      <c r="K67" s="191" t="str">
        <f t="shared" si="4"/>
        <v/>
      </c>
      <c r="L67" s="191" t="str">
        <f t="shared" si="5"/>
        <v/>
      </c>
      <c r="M67" s="191" t="str">
        <f t="shared" si="6"/>
        <v/>
      </c>
      <c r="N67" s="191">
        <f t="shared" si="7"/>
        <v>0</v>
      </c>
      <c r="O67" s="191">
        <f t="shared" si="8"/>
        <v>0</v>
      </c>
      <c r="P67" s="191">
        <f t="shared" si="9"/>
        <v>0</v>
      </c>
      <c r="Q67" s="191">
        <f t="shared" si="10"/>
        <v>0</v>
      </c>
      <c r="R67" s="191">
        <f t="shared" si="11"/>
        <v>0</v>
      </c>
      <c r="S67" s="191">
        <f ca="1">IF(B67="","",IF($B$31=0,"",-'Debt Financing Calculations'!E16))</f>
        <v>-9947222.0747797322</v>
      </c>
      <c r="T67" s="191">
        <f t="shared" ca="1" si="12"/>
        <v>-9947222.0747797322</v>
      </c>
      <c r="U67" s="191">
        <f>IF(C67="","",IF(C67&lt;-1,0,IF(C67=anal_period,-LOOKUP(C67,depr_yr,depr_cost)-Depreciation!$C$141-Depreciation!$B$166,-LOOKUP(C67,depr_yr,depr_cost))))</f>
        <v>0</v>
      </c>
      <c r="V67" s="191">
        <f t="shared" ca="1" si="13"/>
        <v>-9947222.0747797322</v>
      </c>
      <c r="W67" s="192">
        <f t="shared" si="14"/>
        <v>0.25739999999999996</v>
      </c>
      <c r="X67" s="191">
        <f t="shared" ca="1" si="15"/>
        <v>2560414.9620483029</v>
      </c>
      <c r="Y67" s="191">
        <f t="shared" ca="1" si="16"/>
        <v>-7386807.1127314288</v>
      </c>
      <c r="Z67" s="191">
        <f>IF(C67="","",IF($B$31=0,"",-'Debt Financing Calculations'!F16))</f>
        <v>0</v>
      </c>
      <c r="AA67" s="191">
        <f t="shared" ca="1" si="17"/>
        <v>-66940291.571342506</v>
      </c>
      <c r="AB67" s="191">
        <f t="shared" ca="1" si="23"/>
        <v>-206653889.68680787</v>
      </c>
      <c r="AC67" s="1158">
        <f t="shared" ca="1" si="18"/>
        <v>-69500706.533390805</v>
      </c>
      <c r="AD67" s="138"/>
      <c r="AE67" s="1162">
        <f t="shared" si="19"/>
        <v>0</v>
      </c>
      <c r="AF67" s="1158">
        <f t="shared" si="20"/>
        <v>0</v>
      </c>
    </row>
    <row r="68" spans="1:32" ht="13" x14ac:dyDescent="0.3">
      <c r="A68" s="1092">
        <f t="shared" si="21"/>
        <v>2015</v>
      </c>
      <c r="B68" s="1093">
        <f>IF(MAX($B$65:B67)&lt;(construct+anal_period),B67+1,"")</f>
        <v>4</v>
      </c>
      <c r="C68" s="1093">
        <f t="shared" si="22"/>
        <v>1</v>
      </c>
      <c r="D68" s="1093">
        <f t="shared" si="1"/>
        <v>1</v>
      </c>
      <c r="E68" s="1094">
        <f t="shared" si="2"/>
        <v>1</v>
      </c>
      <c r="F68" s="1095">
        <f t="shared" ca="1" si="3"/>
        <v>95288908.957281932</v>
      </c>
      <c r="G68" s="1172"/>
      <c r="H68" s="1181">
        <f>IF(C68&lt;0,-E68*equity*depr_cap_infl*percent_cap4,0)</f>
        <v>0</v>
      </c>
      <c r="I68" s="1096">
        <f ca="1">IF(OR(C68&lt;0,C68=""),"",-E68*INDEX('Replacement Costs'!$A$16:$H$57,MATCH(C68,'Replacement Costs'!$C$16:$C$57,0),MATCH("Total Yearly Replacement Costs",'Replacement Costs'!$A$16:$H$16,0)))</f>
        <v>-2370507.8384111202</v>
      </c>
      <c r="J68" s="1096">
        <f ca="1">IF(AND(C68&gt;=1,C68&lt;anal_period),WorkingCap*SUM(N68:R68)-WorkingCap*SUM(N67:R67),IF(C68&lt;0,0,IF(B68="","",-SUM(J$65:J67))))</f>
        <v>-12356027.378504956</v>
      </c>
      <c r="K68" s="1096" t="str">
        <f t="shared" si="4"/>
        <v/>
      </c>
      <c r="L68" s="1096" t="str">
        <f t="shared" si="5"/>
        <v/>
      </c>
      <c r="M68" s="1096" t="str">
        <f t="shared" si="6"/>
        <v/>
      </c>
      <c r="N68" s="1096">
        <f t="shared" ca="1" si="7"/>
        <v>-10746729.830562625</v>
      </c>
      <c r="O68" s="1096">
        <f t="shared" ca="1" si="8"/>
        <v>-53359142.563998953</v>
      </c>
      <c r="P68" s="1096">
        <f t="shared" ca="1" si="9"/>
        <v>0</v>
      </c>
      <c r="Q68" s="1096">
        <f t="shared" ca="1" si="10"/>
        <v>0</v>
      </c>
      <c r="R68" s="1096">
        <f t="shared" ca="1" si="11"/>
        <v>-18267643.462138135</v>
      </c>
      <c r="S68" s="1096">
        <f ca="1">IF(B68="","",IF($B$31=0,"",-'Debt Financing Calculations'!E17))</f>
        <v>-9947222.0747797322</v>
      </c>
      <c r="T68" s="1096">
        <f t="shared" ca="1" si="12"/>
        <v>2968171.0258024931</v>
      </c>
      <c r="U68" s="1096">
        <f ca="1">IF(C68="","",IF(C68&lt;-1,0,IF(C68=anal_period,-LOOKUP(C68,depr_yr,depr_cost)-Depreciation!$C$141-Depreciation!$B$166,-LOOKUP(C68,depr_yr,depr_cost))))</f>
        <v>-17050759.477808807</v>
      </c>
      <c r="V68" s="1096">
        <f t="shared" ca="1" si="13"/>
        <v>-14082588.452006314</v>
      </c>
      <c r="W68" s="1097">
        <f t="shared" si="14"/>
        <v>0.25739999999999996</v>
      </c>
      <c r="X68" s="1096">
        <f t="shared" ca="1" si="15"/>
        <v>3624858.2675464246</v>
      </c>
      <c r="Y68" s="1096">
        <f ca="1">IF(C68="","",SUM(T68,X68))</f>
        <v>6593029.2933489177</v>
      </c>
      <c r="Z68" s="1096">
        <f>IF(C68="","",IF($B$31=0,"",-'Debt Financing Calculations'!F17))</f>
        <v>0</v>
      </c>
      <c r="AA68" s="1096">
        <f t="shared" ca="1" si="17"/>
        <v>-8133505.9235671591</v>
      </c>
      <c r="AB68" s="1096">
        <f t="shared" ca="1" si="23"/>
        <v>-214787395.61037502</v>
      </c>
      <c r="AC68" s="1159">
        <f t="shared" ca="1" si="18"/>
        <v>-11758364.191113584</v>
      </c>
      <c r="AD68" s="1088"/>
      <c r="AE68" s="1163">
        <f t="shared" ca="1" si="19"/>
        <v>62314314.75</v>
      </c>
      <c r="AF68" s="1159">
        <f t="shared" si="20"/>
        <v>0</v>
      </c>
    </row>
    <row r="69" spans="1:32" x14ac:dyDescent="0.25">
      <c r="A69" s="59">
        <f t="shared" si="21"/>
        <v>2016</v>
      </c>
      <c r="B69" s="189">
        <f>IF(MAX($B$65:B68)&lt;(construct+anal_period),B68+1,"")</f>
        <v>5</v>
      </c>
      <c r="C69" s="189">
        <f t="shared" si="22"/>
        <v>2</v>
      </c>
      <c r="D69" s="189">
        <f t="shared" si="1"/>
        <v>2</v>
      </c>
      <c r="E69" s="190">
        <f t="shared" si="2"/>
        <v>1.0189999999999999</v>
      </c>
      <c r="F69" s="61">
        <f t="shared" ca="1" si="3"/>
        <v>194198796.45494056</v>
      </c>
      <c r="G69" s="1171"/>
      <c r="H69" s="1180">
        <f t="shared" ref="H69:H113" si="24">IF(C69="","",0)</f>
        <v>0</v>
      </c>
      <c r="I69" s="191">
        <f ca="1">IF(OR(C69&lt;0,C69=""),"",-E69*INDEX('Replacement Costs'!$A$16:$H$57,MATCH(C69,'Replacement Costs'!$C$16:$C$57,0),MATCH("Total Yearly Replacement Costs",'Replacement Costs'!$A$16:$H$16,0)))</f>
        <v>-15559809.268803576</v>
      </c>
      <c r="J69" s="191">
        <f ca="1">IF(AND(C69&gt;=1,C69&lt;anal_period),WorkingCap*SUM(N69:R69)-WorkingCap*SUM(N68:R68),IF(C69&lt;0,0,IF(B69="","",-SUM(J$65:J68))))</f>
        <v>-3719898.1283505931</v>
      </c>
      <c r="K69" s="191" t="str">
        <f t="shared" si="4"/>
        <v/>
      </c>
      <c r="L69" s="191" t="str">
        <f t="shared" si="5"/>
        <v/>
      </c>
      <c r="M69" s="191" t="str">
        <f t="shared" si="6"/>
        <v/>
      </c>
      <c r="N69" s="191">
        <f t="shared" ca="1" si="7"/>
        <v>-14601223.596457751</v>
      </c>
      <c r="O69" s="191">
        <f t="shared" ca="1" si="8"/>
        <v>-67945744.474610254</v>
      </c>
      <c r="P69" s="191">
        <f t="shared" ca="1" si="9"/>
        <v>0</v>
      </c>
      <c r="Q69" s="191">
        <f t="shared" ca="1" si="10"/>
        <v>0</v>
      </c>
      <c r="R69" s="191">
        <f t="shared" ca="1" si="11"/>
        <v>-24625868.641302325</v>
      </c>
      <c r="S69" s="191">
        <f ca="1">IF(B69="","",IF($B$31=0,"",-'Debt Financing Calculations'!E18))</f>
        <v>-9947222.0747797322</v>
      </c>
      <c r="T69" s="191">
        <f t="shared" ca="1" si="12"/>
        <v>77078737.667790487</v>
      </c>
      <c r="U69" s="191">
        <f ca="1">IF(C69="","",IF(C69&lt;-1,0,IF(C69=anal_period,-LOOKUP(C69,depr_yr,depr_cost)-Depreciation!$C$141-Depreciation!$B$166,-LOOKUP(C69,depr_yr,depr_cost))))</f>
        <v>-33407341.559660614</v>
      </c>
      <c r="V69" s="191">
        <f t="shared" ca="1" si="13"/>
        <v>43671396.108129874</v>
      </c>
      <c r="W69" s="192">
        <f t="shared" si="14"/>
        <v>0.25739999999999996</v>
      </c>
      <c r="X69" s="191">
        <f t="shared" ca="1" si="15"/>
        <v>-11241017.358232629</v>
      </c>
      <c r="Y69" s="191">
        <f t="shared" ca="1" si="16"/>
        <v>65837720.309557855</v>
      </c>
      <c r="Z69" s="191">
        <f>IF(C69="","",IF($B$31=0,"",-'Debt Financing Calculations'!F18))</f>
        <v>0</v>
      </c>
      <c r="AA69" s="191">
        <f t="shared" ca="1" si="17"/>
        <v>46558012.912403688</v>
      </c>
      <c r="AB69" s="191">
        <f t="shared" ca="1" si="23"/>
        <v>-168229382.69797134</v>
      </c>
      <c r="AC69" s="1158">
        <f t="shared" ca="1" si="18"/>
        <v>57799030.27063632</v>
      </c>
      <c r="AD69" s="138"/>
      <c r="AE69" s="1162">
        <f t="shared" ca="1" si="19"/>
        <v>124628629.5</v>
      </c>
      <c r="AF69" s="1158">
        <f t="shared" si="20"/>
        <v>0</v>
      </c>
    </row>
    <row r="70" spans="1:32" x14ac:dyDescent="0.25">
      <c r="A70" s="59">
        <f t="shared" si="21"/>
        <v>2017</v>
      </c>
      <c r="B70" s="189">
        <f>IF(MAX($B$65:B69)&lt;(construct+anal_period),B69+1,"")</f>
        <v>6</v>
      </c>
      <c r="C70" s="189">
        <f t="shared" si="22"/>
        <v>3</v>
      </c>
      <c r="D70" s="189">
        <f t="shared" si="1"/>
        <v>3</v>
      </c>
      <c r="E70" s="190">
        <f t="shared" si="2"/>
        <v>1.0383609999999999</v>
      </c>
      <c r="F70" s="61">
        <f t="shared" ca="1" si="3"/>
        <v>197888573.58758444</v>
      </c>
      <c r="G70" s="1171"/>
      <c r="H70" s="1180">
        <f t="shared" si="24"/>
        <v>0</v>
      </c>
      <c r="I70" s="191">
        <f ca="1">IF(OR(C70&lt;0,C70=""),"",-E70*INDEX('Replacement Costs'!$A$16:$H$57,MATCH(C70,'Replacement Costs'!$C$16:$C$57,0),MATCH("Total Yearly Replacement Costs",'Replacement Costs'!$A$16:$H$16,0)))</f>
        <v>-15855445.644910842</v>
      </c>
      <c r="J70" s="191">
        <f ca="1">IF(AND(C70&gt;=1,C70&lt;anal_period),WorkingCap*SUM(N70:R70)-WorkingCap*SUM(N69:R69),IF(C70&lt;0,0,IF(B70="","",-SUM(J$65:J69))))</f>
        <v>-2067288.4859682526</v>
      </c>
      <c r="K70" s="191" t="str">
        <f t="shared" si="4"/>
        <v/>
      </c>
      <c r="L70" s="191" t="str">
        <f t="shared" si="5"/>
        <v/>
      </c>
      <c r="M70" s="191" t="str">
        <f t="shared" si="6"/>
        <v/>
      </c>
      <c r="N70" s="191">
        <f t="shared" ca="1" si="7"/>
        <v>-14878646.844790448</v>
      </c>
      <c r="O70" s="191">
        <f t="shared" ca="1" si="8"/>
        <v>-80755510.332918987</v>
      </c>
      <c r="P70" s="191">
        <f t="shared" ca="1" si="9"/>
        <v>0</v>
      </c>
      <c r="Q70" s="191">
        <f t="shared" ca="1" si="10"/>
        <v>0</v>
      </c>
      <c r="R70" s="191">
        <f t="shared" ca="1" si="11"/>
        <v>-25320602.774449263</v>
      </c>
      <c r="S70" s="191">
        <f ca="1">IF(B70="","",IF($B$31=0,"",-'Debt Financing Calculations'!E19))</f>
        <v>-9947222.0747797322</v>
      </c>
      <c r="T70" s="191">
        <f t="shared" ca="1" si="12"/>
        <v>66986591.560646012</v>
      </c>
      <c r="U70" s="191">
        <f ca="1">IF(C70="","",IF(C70&lt;-1,0,IF(C70=anal_period,-LOOKUP(C70,depr_yr,depr_cost)-Depreciation!$C$141-Depreciation!$B$166,-LOOKUP(C70,depr_yr,depr_cost))))</f>
        <v>-32077287.45168693</v>
      </c>
      <c r="V70" s="191">
        <f t="shared" ca="1" si="13"/>
        <v>34909304.108959079</v>
      </c>
      <c r="W70" s="192">
        <f t="shared" si="14"/>
        <v>0.25739999999999996</v>
      </c>
      <c r="X70" s="191">
        <f t="shared" ca="1" si="15"/>
        <v>-8985654.8776460662</v>
      </c>
      <c r="Y70" s="191">
        <f t="shared" ca="1" si="16"/>
        <v>58000936.682999946</v>
      </c>
      <c r="Z70" s="191">
        <f>IF(C70="","",IF($B$31=0,"",-'Debt Financing Calculations'!F19))</f>
        <v>0</v>
      </c>
      <c r="AA70" s="191">
        <f t="shared" ca="1" si="17"/>
        <v>40078202.552120849</v>
      </c>
      <c r="AB70" s="191">
        <f t="shared" ca="1" si="23"/>
        <v>-128151180.14585049</v>
      </c>
      <c r="AC70" s="1158">
        <f t="shared" ca="1" si="18"/>
        <v>49063857.429766916</v>
      </c>
      <c r="AD70" s="138"/>
      <c r="AE70" s="1162">
        <f t="shared" ca="1" si="19"/>
        <v>124628629.5</v>
      </c>
      <c r="AF70" s="1158">
        <f t="shared" si="20"/>
        <v>0</v>
      </c>
    </row>
    <row r="71" spans="1:32" x14ac:dyDescent="0.25">
      <c r="A71" s="59">
        <f t="shared" si="21"/>
        <v>2018</v>
      </c>
      <c r="B71" s="189">
        <f>IF(MAX($B$65:B70)&lt;(construct+anal_period),B70+1,"")</f>
        <v>7</v>
      </c>
      <c r="C71" s="189">
        <f t="shared" si="22"/>
        <v>4</v>
      </c>
      <c r="D71" s="189">
        <f t="shared" si="1"/>
        <v>4</v>
      </c>
      <c r="E71" s="190">
        <f t="shared" si="2"/>
        <v>1.0580898589999999</v>
      </c>
      <c r="F71" s="61">
        <f t="shared" ca="1" si="3"/>
        <v>201648456.48574853</v>
      </c>
      <c r="G71" s="1171"/>
      <c r="H71" s="1180">
        <f t="shared" si="24"/>
        <v>0</v>
      </c>
      <c r="I71" s="191">
        <f ca="1">IF(OR(C71&lt;0,C71=""),"",-E71*INDEX('Replacement Costs'!$A$16:$H$57,MATCH(C71,'Replacement Costs'!$C$16:$C$57,0),MATCH("Total Yearly Replacement Costs",'Replacement Costs'!$A$16:$H$16,0)))</f>
        <v>-16156699.112164149</v>
      </c>
      <c r="J71" s="191">
        <f ca="1">IF(AND(C71&gt;=1,C71&lt;anal_period),WorkingCap*SUM(N71:R71)-WorkingCap*SUM(N70:R70),IF(C71&lt;0,0,IF(B71="","",-SUM(J$65:J70))))</f>
        <v>-1478780.6604195312</v>
      </c>
      <c r="K71" s="191" t="str">
        <f t="shared" si="4"/>
        <v/>
      </c>
      <c r="L71" s="191" t="str">
        <f t="shared" si="5"/>
        <v/>
      </c>
      <c r="M71" s="191" t="str">
        <f t="shared" si="6"/>
        <v/>
      </c>
      <c r="N71" s="191">
        <f t="shared" ca="1" si="7"/>
        <v>-15161341.134841466</v>
      </c>
      <c r="O71" s="191">
        <f t="shared" ca="1" si="8"/>
        <v>-89984990.072716355</v>
      </c>
      <c r="P71" s="191">
        <f t="shared" ca="1" si="9"/>
        <v>0</v>
      </c>
      <c r="Q71" s="191">
        <f t="shared" ca="1" si="10"/>
        <v>0</v>
      </c>
      <c r="R71" s="191">
        <f t="shared" ca="1" si="11"/>
        <v>-25666966.480731051</v>
      </c>
      <c r="S71" s="191">
        <f ca="1">IF(B71="","",IF($B$31=0,"",-'Debt Financing Calculations'!E20))</f>
        <v>-9947222.0747797322</v>
      </c>
      <c r="T71" s="191">
        <f t="shared" ca="1" si="12"/>
        <v>60887936.722679913</v>
      </c>
      <c r="U71" s="191">
        <f ca="1">IF(C71="","",IF(C71&lt;-1,0,IF(C71=anal_period,-LOOKUP(C71,depr_yr,depr_cost)-Depreciation!$C$141-Depreciation!$B$166,-LOOKUP(C71,depr_yr,depr_cost))))</f>
        <v>-30875420.314536955</v>
      </c>
      <c r="V71" s="191">
        <f t="shared" ca="1" si="13"/>
        <v>30012516.408142958</v>
      </c>
      <c r="W71" s="192">
        <f t="shared" si="14"/>
        <v>0.25739999999999996</v>
      </c>
      <c r="X71" s="191">
        <f t="shared" ca="1" si="15"/>
        <v>-7725221.7234559963</v>
      </c>
      <c r="Y71" s="191">
        <f t="shared" ca="1" si="16"/>
        <v>53162714.999223918</v>
      </c>
      <c r="Z71" s="191">
        <f>IF(C71="","",IF($B$31=0,"",-'Debt Financing Calculations'!F20))</f>
        <v>0</v>
      </c>
      <c r="AA71" s="191">
        <f t="shared" ca="1" si="17"/>
        <v>35527235.226640239</v>
      </c>
      <c r="AB71" s="191">
        <f t="shared" ca="1" si="23"/>
        <v>-92623944.919210255</v>
      </c>
      <c r="AC71" s="1158">
        <f t="shared" ca="1" si="18"/>
        <v>43252456.950096235</v>
      </c>
      <c r="AD71" s="138"/>
      <c r="AE71" s="1162">
        <f t="shared" ca="1" si="19"/>
        <v>124628629.5</v>
      </c>
      <c r="AF71" s="1158">
        <f t="shared" si="20"/>
        <v>0</v>
      </c>
    </row>
    <row r="72" spans="1:32" x14ac:dyDescent="0.25">
      <c r="A72" s="59">
        <f t="shared" si="21"/>
        <v>2019</v>
      </c>
      <c r="B72" s="189">
        <f>IF(MAX($B$65:B71)&lt;(construct+anal_period),B71+1,"")</f>
        <v>8</v>
      </c>
      <c r="C72" s="189">
        <f t="shared" si="22"/>
        <v>5</v>
      </c>
      <c r="D72" s="189">
        <f t="shared" si="1"/>
        <v>5</v>
      </c>
      <c r="E72" s="190">
        <f t="shared" si="2"/>
        <v>1.0781935663209998</v>
      </c>
      <c r="F72" s="61">
        <f t="shared" ca="1" si="3"/>
        <v>205479777.15897775</v>
      </c>
      <c r="G72" s="1171"/>
      <c r="H72" s="1180">
        <f t="shared" si="24"/>
        <v>0</v>
      </c>
      <c r="I72" s="191">
        <f ca="1">IF(OR(C72&lt;0,C72=""),"",-E72*INDEX('Replacement Costs'!$A$16:$H$57,MATCH(C72,'Replacement Costs'!$C$16:$C$57,0),MATCH("Total Yearly Replacement Costs",'Replacement Costs'!$A$16:$H$16,0)))</f>
        <v>-16463676.395295268</v>
      </c>
      <c r="J72" s="191">
        <f ca="1">IF(AND(C72&gt;=1,C72&lt;anal_period),WorkingCap*SUM(N72:R72)-WorkingCap*SUM(N71:R71),IF(C72&lt;0,0,IF(B72="","",-SUM(J$65:J71))))</f>
        <v>-1707742.9268382825</v>
      </c>
      <c r="K72" s="191" t="str">
        <f t="shared" si="4"/>
        <v/>
      </c>
      <c r="L72" s="191" t="str">
        <f t="shared" si="5"/>
        <v/>
      </c>
      <c r="M72" s="191" t="str">
        <f t="shared" si="6"/>
        <v/>
      </c>
      <c r="N72" s="191">
        <f t="shared" ca="1" si="7"/>
        <v>-15449406.616403453</v>
      </c>
      <c r="O72" s="191">
        <f t="shared" ca="1" si="8"/>
        <v>-100517875.62290823</v>
      </c>
      <c r="P72" s="191">
        <f t="shared" ca="1" si="9"/>
        <v>0</v>
      </c>
      <c r="Q72" s="191">
        <f t="shared" ca="1" si="10"/>
        <v>0</v>
      </c>
      <c r="R72" s="191">
        <f t="shared" ca="1" si="11"/>
        <v>-26230968.294565722</v>
      </c>
      <c r="S72" s="191">
        <f ca="1">IF(B72="","",IF($B$31=0,"",-'Debt Financing Calculations'!E21))</f>
        <v>-9947222.0747797322</v>
      </c>
      <c r="T72" s="191">
        <f t="shared" ca="1" si="12"/>
        <v>53334304.550320596</v>
      </c>
      <c r="U72" s="191">
        <f ca="1">IF(C72="","",IF(C72&lt;-1,0,IF(C72=anal_period,-LOOKUP(C72,depr_yr,depr_cost)-Depreciation!$C$141-Depreciation!$B$166,-LOOKUP(C72,depr_yr,depr_cost))))</f>
        <v>-29779801.203767855</v>
      </c>
      <c r="V72" s="191">
        <f t="shared" ca="1" si="13"/>
        <v>23554503.346552741</v>
      </c>
      <c r="W72" s="192">
        <f t="shared" si="14"/>
        <v>0.25739999999999996</v>
      </c>
      <c r="X72" s="191">
        <f t="shared" ca="1" si="15"/>
        <v>-6062929.1614026744</v>
      </c>
      <c r="Y72" s="191">
        <f t="shared" ca="1" si="16"/>
        <v>47271375.388917923</v>
      </c>
      <c r="Z72" s="191">
        <f>IF(C72="","",IF($B$31=0,"",-'Debt Financing Calculations'!F21))</f>
        <v>0</v>
      </c>
      <c r="AA72" s="191">
        <f t="shared" ca="1" si="17"/>
        <v>29099956.066784374</v>
      </c>
      <c r="AB72" s="191">
        <f t="shared" ca="1" si="23"/>
        <v>-63523988.852425881</v>
      </c>
      <c r="AC72" s="1158">
        <f t="shared" ca="1" si="18"/>
        <v>35162885.228187047</v>
      </c>
      <c r="AD72" s="138"/>
      <c r="AE72" s="1162">
        <f t="shared" ca="1" si="19"/>
        <v>124628629.5</v>
      </c>
      <c r="AF72" s="1158">
        <f t="shared" si="20"/>
        <v>0</v>
      </c>
    </row>
    <row r="73" spans="1:32" x14ac:dyDescent="0.25">
      <c r="A73" s="59">
        <f t="shared" si="21"/>
        <v>2020</v>
      </c>
      <c r="B73" s="189">
        <f>IF(MAX($B$65:B72)&lt;(construct+anal_period),B72+1,"")</f>
        <v>9</v>
      </c>
      <c r="C73" s="189">
        <f t="shared" si="22"/>
        <v>6</v>
      </c>
      <c r="D73" s="189">
        <f t="shared" si="1"/>
        <v>6</v>
      </c>
      <c r="E73" s="190">
        <f t="shared" si="2"/>
        <v>1.0986792440810986</v>
      </c>
      <c r="F73" s="61">
        <f t="shared" ca="1" si="3"/>
        <v>209383892.92499828</v>
      </c>
      <c r="G73" s="1171"/>
      <c r="H73" s="1180">
        <f t="shared" si="24"/>
        <v>0</v>
      </c>
      <c r="I73" s="191">
        <f ca="1">IF(OR(C73&lt;0,C73=""),"",-E73*INDEX('Replacement Costs'!$A$16:$H$57,MATCH(C73,'Replacement Costs'!$C$16:$C$57,0),MATCH("Total Yearly Replacement Costs",'Replacement Costs'!$A$16:$H$16,0)))</f>
        <v>-16776486.246805875</v>
      </c>
      <c r="J73" s="191">
        <f ca="1">IF(AND(C73&gt;=1,C73&lt;anal_period),WorkingCap*SUM(N73:R73)-WorkingCap*SUM(N72:R72),IF(C73&lt;0,0,IF(B73="","",-SUM(J$65:J72))))</f>
        <v>-1755439.9060813189</v>
      </c>
      <c r="K73" s="191" t="str">
        <f t="shared" si="4"/>
        <v/>
      </c>
      <c r="L73" s="191" t="str">
        <f t="shared" si="5"/>
        <v/>
      </c>
      <c r="M73" s="191" t="str">
        <f t="shared" si="6"/>
        <v/>
      </c>
      <c r="N73" s="191">
        <f t="shared" ca="1" si="7"/>
        <v>-15742945.342115117</v>
      </c>
      <c r="O73" s="191">
        <f t="shared" ca="1" si="8"/>
        <v>-111315194.41571487</v>
      </c>
      <c r="P73" s="191">
        <f t="shared" ca="1" si="9"/>
        <v>0</v>
      </c>
      <c r="Q73" s="191">
        <f t="shared" ca="1" si="10"/>
        <v>0</v>
      </c>
      <c r="R73" s="191">
        <f t="shared" ca="1" si="11"/>
        <v>-26843043.483256254</v>
      </c>
      <c r="S73" s="191">
        <f ca="1">IF(B73="","",IF($B$31=0,"",-'Debt Financing Calculations'!E22))</f>
        <v>-9947222.0747797322</v>
      </c>
      <c r="T73" s="191">
        <f t="shared" ca="1" si="12"/>
        <v>45535487.60913232</v>
      </c>
      <c r="U73" s="191">
        <f ca="1">IF(C73="","",IF(C73&lt;-1,0,IF(C73=anal_period,-LOOKUP(C73,depr_yr,depr_cost)-Depreciation!$C$141-Depreciation!$B$166,-LOOKUP(C73,depr_yr,depr_cost))))</f>
        <v>-28794940.304688893</v>
      </c>
      <c r="V73" s="191">
        <f t="shared" ca="1" si="13"/>
        <v>16740547.304443426</v>
      </c>
      <c r="W73" s="192">
        <f t="shared" si="14"/>
        <v>0.25739999999999996</v>
      </c>
      <c r="X73" s="191">
        <f t="shared" ca="1" si="15"/>
        <v>-4309016.8761637369</v>
      </c>
      <c r="Y73" s="191">
        <f t="shared" ca="1" si="16"/>
        <v>41226470.732968584</v>
      </c>
      <c r="Z73" s="191">
        <f>IF(C73="","",IF($B$31=0,"",-'Debt Financing Calculations'!F22))</f>
        <v>0</v>
      </c>
      <c r="AA73" s="191">
        <f t="shared" ca="1" si="17"/>
        <v>22694544.580081388</v>
      </c>
      <c r="AB73" s="191">
        <f t="shared" ca="1" si="23"/>
        <v>-40829444.272344492</v>
      </c>
      <c r="AC73" s="1158">
        <f t="shared" ca="1" si="18"/>
        <v>27003561.456245124</v>
      </c>
      <c r="AD73" s="138"/>
      <c r="AE73" s="1162">
        <f t="shared" ca="1" si="19"/>
        <v>124628629.5</v>
      </c>
      <c r="AF73" s="1158">
        <f t="shared" si="20"/>
        <v>0</v>
      </c>
    </row>
    <row r="74" spans="1:32" x14ac:dyDescent="0.25">
      <c r="A74" s="59">
        <f t="shared" si="21"/>
        <v>2021</v>
      </c>
      <c r="B74" s="189">
        <f>IF(MAX($B$65:B73)&lt;(construct+anal_period),B73+1,"")</f>
        <v>10</v>
      </c>
      <c r="C74" s="189">
        <f t="shared" si="22"/>
        <v>7</v>
      </c>
      <c r="D74" s="189">
        <f t="shared" si="1"/>
        <v>7</v>
      </c>
      <c r="E74" s="190">
        <f t="shared" si="2"/>
        <v>1.1195541497186396</v>
      </c>
      <c r="F74" s="61">
        <f t="shared" ca="1" si="3"/>
        <v>213362186.89057326</v>
      </c>
      <c r="G74" s="1171"/>
      <c r="H74" s="1180">
        <f t="shared" si="24"/>
        <v>0</v>
      </c>
      <c r="I74" s="191">
        <f ca="1">IF(OR(C74&lt;0,C74=""),"",-E74*INDEX('Replacement Costs'!$A$16:$H$57,MATCH(C74,'Replacement Costs'!$C$16:$C$57,0),MATCH("Total Yearly Replacement Costs",'Replacement Costs'!$A$16:$H$16,0)))</f>
        <v>-17095239.485495187</v>
      </c>
      <c r="J74" s="191">
        <f ca="1">IF(AND(C74&gt;=1,C74&lt;anal_period),WorkingCap*SUM(N74:R74)-WorkingCap*SUM(N73:R73),IF(C74&lt;0,0,IF(B74="","",-SUM(J$65:J73))))</f>
        <v>-461901.83724360168</v>
      </c>
      <c r="K74" s="191" t="str">
        <f t="shared" si="4"/>
        <v/>
      </c>
      <c r="L74" s="191" t="str">
        <f t="shared" si="5"/>
        <v/>
      </c>
      <c r="M74" s="191" t="str">
        <f t="shared" si="6"/>
        <v/>
      </c>
      <c r="N74" s="191">
        <f t="shared" ca="1" si="7"/>
        <v>-16042061.303615306</v>
      </c>
      <c r="O74" s="191">
        <f t="shared" ca="1" si="8"/>
        <v>-113550474.69126232</v>
      </c>
      <c r="P74" s="191">
        <f t="shared" ca="1" si="9"/>
        <v>0</v>
      </c>
      <c r="Q74" s="191">
        <f t="shared" ca="1" si="10"/>
        <v>0</v>
      </c>
      <c r="R74" s="191">
        <f t="shared" ca="1" si="11"/>
        <v>-27387992.827832635</v>
      </c>
      <c r="S74" s="191">
        <f ca="1">IF(B74="","",IF($B$31=0,"",-'Debt Financing Calculations'!E23))</f>
        <v>-9947222.0747797322</v>
      </c>
      <c r="T74" s="191">
        <f t="shared" ca="1" si="12"/>
        <v>46434435.993083298</v>
      </c>
      <c r="U74" s="191">
        <f ca="1">IF(C74="","",IF(C74&lt;-1,0,IF(C74=anal_period,-LOOKUP(C74,depr_yr,depr_cost)-Depreciation!$C$141-Depreciation!$B$166,-LOOKUP(C74,depr_yr,depr_cost))))</f>
        <v>-27902699.150159776</v>
      </c>
      <c r="V74" s="191">
        <f t="shared" ca="1" si="13"/>
        <v>18531736.842923522</v>
      </c>
      <c r="W74" s="192">
        <f t="shared" si="14"/>
        <v>0.25739999999999996</v>
      </c>
      <c r="X74" s="191">
        <f t="shared" ca="1" si="15"/>
        <v>-4770069.0633685142</v>
      </c>
      <c r="Y74" s="191">
        <f t="shared" ca="1" si="16"/>
        <v>41664366.929714784</v>
      </c>
      <c r="Z74" s="191">
        <f>IF(C74="","",IF($B$31=0,"",-'Debt Financing Calculations'!F23))</f>
        <v>0</v>
      </c>
      <c r="AA74" s="191">
        <f t="shared" ca="1" si="17"/>
        <v>24107225.606975995</v>
      </c>
      <c r="AB74" s="191">
        <f t="shared" ca="1" si="23"/>
        <v>-16722218.665368497</v>
      </c>
      <c r="AC74" s="1158">
        <f t="shared" ca="1" si="18"/>
        <v>28877294.670344509</v>
      </c>
      <c r="AD74" s="138"/>
      <c r="AE74" s="1162">
        <f t="shared" ca="1" si="19"/>
        <v>124628629.5</v>
      </c>
      <c r="AF74" s="1158">
        <f t="shared" si="20"/>
        <v>0</v>
      </c>
    </row>
    <row r="75" spans="1:32" x14ac:dyDescent="0.25">
      <c r="A75" s="59">
        <f t="shared" si="21"/>
        <v>2022</v>
      </c>
      <c r="B75" s="189">
        <f>IF(MAX($B$65:B74)&lt;(construct+anal_period),B74+1,"")</f>
        <v>11</v>
      </c>
      <c r="C75" s="189">
        <f t="shared" si="22"/>
        <v>8</v>
      </c>
      <c r="D75" s="189">
        <f t="shared" si="1"/>
        <v>8</v>
      </c>
      <c r="E75" s="190">
        <f t="shared" si="2"/>
        <v>1.1408256785632938</v>
      </c>
      <c r="F75" s="61">
        <f t="shared" ca="1" si="3"/>
        <v>217416068.44149417</v>
      </c>
      <c r="G75" s="1171"/>
      <c r="H75" s="1180">
        <f t="shared" si="24"/>
        <v>0</v>
      </c>
      <c r="I75" s="191">
        <f ca="1">IF(OR(C75&lt;0,C75=""),"",-E75*INDEX('Replacement Costs'!$A$16:$H$57,MATCH(C75,'Replacement Costs'!$C$16:$C$57,0),MATCH("Total Yearly Replacement Costs",'Replacement Costs'!$A$16:$H$16,0)))</f>
        <v>-17420049.035719596</v>
      </c>
      <c r="J75" s="191">
        <f ca="1">IF(AND(C75&gt;=1,C75&lt;anal_period),WorkingCap*SUM(N75:R75)-WorkingCap*SUM(N74:R74),IF(C75&lt;0,0,IF(B75="","",-SUM(J$65:J74))))</f>
        <v>-286987.2235131748</v>
      </c>
      <c r="K75" s="191" t="str">
        <f t="shared" si="4"/>
        <v/>
      </c>
      <c r="L75" s="191" t="str">
        <f t="shared" si="5"/>
        <v/>
      </c>
      <c r="M75" s="191" t="str">
        <f t="shared" si="6"/>
        <v/>
      </c>
      <c r="N75" s="191">
        <f t="shared" ca="1" si="7"/>
        <v>-16346860.468383996</v>
      </c>
      <c r="O75" s="191">
        <f t="shared" ca="1" si="8"/>
        <v>-114428797.20987397</v>
      </c>
      <c r="P75" s="191">
        <f t="shared" ca="1" si="9"/>
        <v>0</v>
      </c>
      <c r="Q75" s="191">
        <f t="shared" ca="1" si="10"/>
        <v>0</v>
      </c>
      <c r="R75" s="191">
        <f t="shared" ca="1" si="11"/>
        <v>-28118119.30120676</v>
      </c>
      <c r="S75" s="191">
        <f ca="1">IF(B75="","",IF($B$31=0,"",-'Debt Financing Calculations'!E24))</f>
        <v>-9947222.0747797322</v>
      </c>
      <c r="T75" s="191">
        <f t="shared" ca="1" si="12"/>
        <v>48575069.387249708</v>
      </c>
      <c r="U75" s="191">
        <f ca="1">IF(C75="","",IF(C75&lt;-1,0,IF(C75=anal_period,-LOOKUP(C75,depr_yr,depr_cost)-Depreciation!$C$141-Depreciation!$B$166,-LOOKUP(C75,depr_yr,depr_cost))))</f>
        <v>-27106982.950244978</v>
      </c>
      <c r="V75" s="191">
        <f t="shared" ca="1" si="13"/>
        <v>21468086.43700473</v>
      </c>
      <c r="W75" s="192">
        <f t="shared" si="14"/>
        <v>0.25739999999999996</v>
      </c>
      <c r="X75" s="191">
        <f t="shared" ca="1" si="15"/>
        <v>-5525885.4488850171</v>
      </c>
      <c r="Y75" s="191">
        <f t="shared" ca="1" si="16"/>
        <v>43049183.938364692</v>
      </c>
      <c r="Z75" s="191">
        <f>IF(C75="","",IF($B$31=0,"",-'Debt Financing Calculations'!F24))</f>
        <v>0</v>
      </c>
      <c r="AA75" s="191">
        <f t="shared" ca="1" si="17"/>
        <v>25342147.679131921</v>
      </c>
      <c r="AB75" s="191">
        <f t="shared" ca="1" si="23"/>
        <v>8619929.013763424</v>
      </c>
      <c r="AC75" s="1158">
        <f t="shared" ca="1" si="18"/>
        <v>30868033.128016938</v>
      </c>
      <c r="AD75" s="138"/>
      <c r="AE75" s="1162">
        <f t="shared" ca="1" si="19"/>
        <v>124628629.5</v>
      </c>
      <c r="AF75" s="1158">
        <f t="shared" si="20"/>
        <v>0</v>
      </c>
    </row>
    <row r="76" spans="1:32" x14ac:dyDescent="0.25">
      <c r="A76" s="59">
        <f t="shared" si="21"/>
        <v>2023</v>
      </c>
      <c r="B76" s="189">
        <f>IF(MAX($B$65:B75)&lt;(construct+anal_period),B75+1,"")</f>
        <v>12</v>
      </c>
      <c r="C76" s="189">
        <f t="shared" si="22"/>
        <v>9</v>
      </c>
      <c r="D76" s="189">
        <f t="shared" si="1"/>
        <v>9</v>
      </c>
      <c r="E76" s="190">
        <f t="shared" si="2"/>
        <v>1.1625013664559962</v>
      </c>
      <c r="F76" s="61">
        <f t="shared" ca="1" si="3"/>
        <v>221546973.74188253</v>
      </c>
      <c r="G76" s="1171"/>
      <c r="H76" s="1180">
        <f t="shared" si="24"/>
        <v>0</v>
      </c>
      <c r="I76" s="191">
        <f ca="1">IF(OR(C76&lt;0,C76=""),"",-E76*INDEX('Replacement Costs'!$A$16:$H$57,MATCH(C76,'Replacement Costs'!$C$16:$C$57,0),MATCH("Total Yearly Replacement Costs",'Replacement Costs'!$A$16:$H$16,0)))</f>
        <v>-17751029.967398267</v>
      </c>
      <c r="J76" s="191">
        <f ca="1">IF(AND(C76&gt;=1,C76&lt;anal_period),WorkingCap*SUM(N76:R76)-WorkingCap*SUM(N75:R75),IF(C76&lt;0,0,IF(B76="","",-SUM(J$65:J75))))</f>
        <v>-496157.09717908129</v>
      </c>
      <c r="K76" s="191" t="str">
        <f t="shared" si="4"/>
        <v/>
      </c>
      <c r="L76" s="191" t="str">
        <f t="shared" si="5"/>
        <v/>
      </c>
      <c r="M76" s="191" t="str">
        <f t="shared" si="6"/>
        <v/>
      </c>
      <c r="N76" s="191">
        <f t="shared" ca="1" si="7"/>
        <v>-16657450.817283291</v>
      </c>
      <c r="O76" s="191">
        <f t="shared" ca="1" si="8"/>
        <v>-116870011.6899187</v>
      </c>
      <c r="P76" s="191">
        <f t="shared" ca="1" si="9"/>
        <v>0</v>
      </c>
      <c r="Q76" s="191">
        <f t="shared" ca="1" si="10"/>
        <v>0</v>
      </c>
      <c r="R76" s="191">
        <f t="shared" ca="1" si="11"/>
        <v>-28674028.453456637</v>
      </c>
      <c r="S76" s="191">
        <f ca="1">IF(B76="","",IF($B$31=0,"",-'Debt Financing Calculations'!E25))</f>
        <v>-9947222.0747797322</v>
      </c>
      <c r="T76" s="191">
        <f t="shared" ca="1" si="12"/>
        <v>49398260.706444204</v>
      </c>
      <c r="U76" s="191">
        <f ca="1">IF(C76="","",IF(C76&lt;-1,0,IF(C76=anal_period,-LOOKUP(C76,depr_yr,depr_cost)-Depreciation!$C$141-Depreciation!$B$166,-LOOKUP(C76,depr_yr,depr_cost))))</f>
        <v>-27662160.142372821</v>
      </c>
      <c r="V76" s="191">
        <f t="shared" ca="1" si="13"/>
        <v>21736100.564071383</v>
      </c>
      <c r="W76" s="192">
        <f t="shared" si="14"/>
        <v>0.25739999999999996</v>
      </c>
      <c r="X76" s="191">
        <f t="shared" ca="1" si="15"/>
        <v>-5594872.2851919737</v>
      </c>
      <c r="Y76" s="191">
        <f t="shared" ca="1" si="16"/>
        <v>43803388.421252228</v>
      </c>
      <c r="Z76" s="191">
        <f>IF(C76="","",IF($B$31=0,"",-'Debt Financing Calculations'!F25))</f>
        <v>0</v>
      </c>
      <c r="AA76" s="191">
        <f t="shared" ca="1" si="17"/>
        <v>25556201.35667488</v>
      </c>
      <c r="AB76" s="191">
        <f t="shared" ca="1" si="23"/>
        <v>34176130.370438308</v>
      </c>
      <c r="AC76" s="1158">
        <f t="shared" ca="1" si="18"/>
        <v>31151073.641866855</v>
      </c>
      <c r="AD76" s="138"/>
      <c r="AE76" s="1162">
        <f t="shared" ca="1" si="19"/>
        <v>124628629.5</v>
      </c>
      <c r="AF76" s="1158">
        <f t="shared" si="20"/>
        <v>0</v>
      </c>
    </row>
    <row r="77" spans="1:32" x14ac:dyDescent="0.25">
      <c r="A77" s="59">
        <f t="shared" si="21"/>
        <v>2024</v>
      </c>
      <c r="B77" s="189">
        <f>IF(MAX($B$65:B76)&lt;(construct+anal_period),B76+1,"")</f>
        <v>13</v>
      </c>
      <c r="C77" s="189">
        <f t="shared" si="22"/>
        <v>10</v>
      </c>
      <c r="D77" s="189">
        <f t="shared" si="1"/>
        <v>10</v>
      </c>
      <c r="E77" s="190">
        <f t="shared" si="2"/>
        <v>1.1845888924186601</v>
      </c>
      <c r="F77" s="61">
        <f t="shared" ca="1" si="3"/>
        <v>225756366.24297827</v>
      </c>
      <c r="G77" s="1171"/>
      <c r="H77" s="1180">
        <f t="shared" si="24"/>
        <v>0</v>
      </c>
      <c r="I77" s="191">
        <f ca="1">IF(OR(C77&lt;0,C77=""),"",-E77*INDEX('Replacement Costs'!$A$16:$H$57,MATCH(C77,'Replacement Costs'!$C$16:$C$57,0),MATCH("Total Yearly Replacement Costs",'Replacement Costs'!$A$16:$H$16,0)))</f>
        <v>-18088299.536778834</v>
      </c>
      <c r="J77" s="191">
        <f ca="1">IF(AND(C77&gt;=1,C77&lt;anal_period),WorkingCap*SUM(N77:R77)-WorkingCap*SUM(N76:R76),IF(C77&lt;0,0,IF(B77="","",-SUM(J$65:J76))))</f>
        <v>-765878.71516704932</v>
      </c>
      <c r="K77" s="191" t="str">
        <f t="shared" si="4"/>
        <v/>
      </c>
      <c r="L77" s="191" t="str">
        <f t="shared" si="5"/>
        <v/>
      </c>
      <c r="M77" s="191" t="str">
        <f t="shared" si="6"/>
        <v/>
      </c>
      <c r="N77" s="191">
        <f t="shared" ca="1" si="7"/>
        <v>-16973942.382811673</v>
      </c>
      <c r="O77" s="191">
        <f t="shared" ca="1" si="8"/>
        <v>-121132992.13705206</v>
      </c>
      <c r="P77" s="191">
        <f t="shared" ca="1" si="9"/>
        <v>0</v>
      </c>
      <c r="Q77" s="191">
        <f t="shared" ca="1" si="10"/>
        <v>0</v>
      </c>
      <c r="R77" s="191">
        <f t="shared" ca="1" si="11"/>
        <v>-29200414.541908562</v>
      </c>
      <c r="S77" s="191">
        <f ca="1">IF(B77="","",IF($B$31=0,"",-'Debt Financing Calculations'!E26))</f>
        <v>-9947222.0747797322</v>
      </c>
      <c r="T77" s="191">
        <f t="shared" ca="1" si="12"/>
        <v>48501795.106426269</v>
      </c>
      <c r="U77" s="191">
        <f ca="1">IF(C77="","",IF(C77&lt;-1,0,IF(C77=anal_period,-LOOKUP(C77,depr_yr,depr_cost)-Depreciation!$C$141-Depreciation!$B$166,-LOOKUP(C77,depr_yr,depr_cost))))</f>
        <v>-28491998.528921925</v>
      </c>
      <c r="V77" s="191">
        <f t="shared" ca="1" si="13"/>
        <v>20009796.577504344</v>
      </c>
      <c r="W77" s="192">
        <f t="shared" si="14"/>
        <v>0.25739999999999996</v>
      </c>
      <c r="X77" s="191">
        <f t="shared" ca="1" si="15"/>
        <v>-5150521.6390496176</v>
      </c>
      <c r="Y77" s="191">
        <f t="shared" ca="1" si="16"/>
        <v>43351273.467376649</v>
      </c>
      <c r="Z77" s="191">
        <f>IF(C77="","",IF($B$31=0,"",-'Debt Financing Calculations'!F26))</f>
        <v>0</v>
      </c>
      <c r="AA77" s="191">
        <f t="shared" ca="1" si="17"/>
        <v>24497095.215430766</v>
      </c>
      <c r="AB77" s="191">
        <f t="shared" ca="1" si="23"/>
        <v>58673225.585869074</v>
      </c>
      <c r="AC77" s="1158">
        <f t="shared" ca="1" si="18"/>
        <v>29647616.854480386</v>
      </c>
      <c r="AD77" s="138"/>
      <c r="AE77" s="1162">
        <f t="shared" ca="1" si="19"/>
        <v>124628629.5</v>
      </c>
      <c r="AF77" s="1158">
        <f t="shared" si="20"/>
        <v>0</v>
      </c>
    </row>
    <row r="78" spans="1:32" x14ac:dyDescent="0.25">
      <c r="A78" s="59">
        <f t="shared" si="21"/>
        <v>2025</v>
      </c>
      <c r="B78" s="189">
        <f>IF(MAX($B$65:B77)&lt;(construct+anal_period),B77+1,"")</f>
        <v>14</v>
      </c>
      <c r="C78" s="189">
        <f t="shared" si="22"/>
        <v>11</v>
      </c>
      <c r="D78" s="189">
        <f t="shared" si="1"/>
        <v>11</v>
      </c>
      <c r="E78" s="190">
        <f t="shared" si="2"/>
        <v>1.2070960813746145</v>
      </c>
      <c r="F78" s="61">
        <f t="shared" ca="1" si="3"/>
        <v>230045737.20159486</v>
      </c>
      <c r="G78" s="1171"/>
      <c r="H78" s="1180">
        <f t="shared" si="24"/>
        <v>0</v>
      </c>
      <c r="I78" s="191">
        <f ca="1">IF(OR(C78&lt;0,C78=""),"",-E78*INDEX('Replacement Costs'!$A$16:$H$57,MATCH(C78,'Replacement Costs'!$C$16:$C$57,0),MATCH("Total Yearly Replacement Costs",'Replacement Costs'!$A$16:$H$16,0)))</f>
        <v>-18431977.22797763</v>
      </c>
      <c r="J78" s="191">
        <f ca="1">IF(AND(C78&gt;=1,C78&lt;anal_period),WorkingCap*SUM(N78:R78)-WorkingCap*SUM(N77:R77),IF(C78&lt;0,0,IF(B78="","",-SUM(J$65:J77))))</f>
        <v>-909757.76547437534</v>
      </c>
      <c r="K78" s="191" t="str">
        <f t="shared" si="4"/>
        <v/>
      </c>
      <c r="L78" s="191" t="str">
        <f t="shared" si="5"/>
        <v/>
      </c>
      <c r="M78" s="191" t="str">
        <f t="shared" si="6"/>
        <v/>
      </c>
      <c r="N78" s="191">
        <f t="shared" ca="1" si="7"/>
        <v>-17296447.288085092</v>
      </c>
      <c r="O78" s="191">
        <f t="shared" ca="1" si="8"/>
        <v>-126150210.74800631</v>
      </c>
      <c r="P78" s="191">
        <f t="shared" ca="1" si="9"/>
        <v>0</v>
      </c>
      <c r="Q78" s="191">
        <f t="shared" ca="1" si="10"/>
        <v>0</v>
      </c>
      <c r="R78" s="191">
        <f t="shared" ca="1" si="11"/>
        <v>-29925742.795510009</v>
      </c>
      <c r="S78" s="191">
        <f ca="1">IF(B78="","",IF($B$31=0,"",-'Debt Financing Calculations'!E27))</f>
        <v>-9947222.0747797322</v>
      </c>
      <c r="T78" s="191">
        <f t="shared" ca="1" si="12"/>
        <v>46726114.295213699</v>
      </c>
      <c r="U78" s="191">
        <f ca="1">IF(C78="","",IF(C78&lt;-1,0,IF(C78=anal_period,-LOOKUP(C78,depr_yr,depr_cost)-Depreciation!$C$141-Depreciation!$B$166,-LOOKUP(C78,depr_yr,depr_cost))))</f>
        <v>-29346628.375625618</v>
      </c>
      <c r="V78" s="191">
        <f t="shared" ca="1" si="13"/>
        <v>17379485.919588082</v>
      </c>
      <c r="W78" s="192">
        <f t="shared" si="14"/>
        <v>0.25739999999999996</v>
      </c>
      <c r="X78" s="191">
        <f t="shared" ca="1" si="15"/>
        <v>-4473479.6757019712</v>
      </c>
      <c r="Y78" s="191">
        <f t="shared" ca="1" si="16"/>
        <v>42252634.619511731</v>
      </c>
      <c r="Z78" s="191">
        <f>IF(C78="","",IF($B$31=0,"",-'Debt Financing Calculations'!F27))</f>
        <v>0</v>
      </c>
      <c r="AA78" s="191">
        <f t="shared" ca="1" si="17"/>
        <v>22910899.626059722</v>
      </c>
      <c r="AB78" s="191">
        <f t="shared" ca="1" si="23"/>
        <v>81584125.2119288</v>
      </c>
      <c r="AC78" s="1158">
        <f t="shared" ca="1" si="18"/>
        <v>27384379.301761694</v>
      </c>
      <c r="AD78" s="138"/>
      <c r="AE78" s="1162">
        <f t="shared" ca="1" si="19"/>
        <v>124628629.5</v>
      </c>
      <c r="AF78" s="1158">
        <f t="shared" si="20"/>
        <v>0</v>
      </c>
    </row>
    <row r="79" spans="1:32" x14ac:dyDescent="0.25">
      <c r="A79" s="59">
        <f t="shared" si="21"/>
        <v>2026</v>
      </c>
      <c r="B79" s="189">
        <f>IF(MAX($B$65:B78)&lt;(construct+anal_period),B78+1,"")</f>
        <v>15</v>
      </c>
      <c r="C79" s="189">
        <f t="shared" si="22"/>
        <v>12</v>
      </c>
      <c r="D79" s="189">
        <f t="shared" si="1"/>
        <v>12</v>
      </c>
      <c r="E79" s="190">
        <f t="shared" si="2"/>
        <v>1.2300309069207322</v>
      </c>
      <c r="F79" s="61">
        <f t="shared" ca="1" si="3"/>
        <v>234416606.20842516</v>
      </c>
      <c r="G79" s="1171"/>
      <c r="H79" s="1180">
        <f t="shared" si="24"/>
        <v>0</v>
      </c>
      <c r="I79" s="191">
        <f ca="1">IF(OR(C79&lt;0,C79=""),"",-E79*INDEX('Replacement Costs'!$A$16:$H$57,MATCH(C79,'Replacement Costs'!$C$16:$C$57,0),MATCH("Total Yearly Replacement Costs",'Replacement Costs'!$A$16:$H$16,0)))</f>
        <v>-18782184.795309205</v>
      </c>
      <c r="J79" s="191">
        <f ca="1">IF(AND(C79&gt;=1,C79&lt;anal_period),WorkingCap*SUM(N79:R79)-WorkingCap*SUM(N78:R78),IF(C79&lt;0,0,IF(B79="","",-SUM(J$65:J78))))</f>
        <v>-934618.54913733155</v>
      </c>
      <c r="K79" s="191" t="str">
        <f t="shared" si="4"/>
        <v/>
      </c>
      <c r="L79" s="191" t="str">
        <f t="shared" si="5"/>
        <v/>
      </c>
      <c r="M79" s="191" t="str">
        <f t="shared" si="6"/>
        <v/>
      </c>
      <c r="N79" s="191">
        <f t="shared" ca="1" si="7"/>
        <v>-17625079.78655871</v>
      </c>
      <c r="O79" s="191">
        <f t="shared" ca="1" si="8"/>
        <v>-131408524.96449789</v>
      </c>
      <c r="P79" s="191">
        <f t="shared" ca="1" si="9"/>
        <v>0</v>
      </c>
      <c r="Q79" s="191">
        <f t="shared" ca="1" si="10"/>
        <v>0</v>
      </c>
      <c r="R79" s="191">
        <f t="shared" ca="1" si="11"/>
        <v>-30569586.408127051</v>
      </c>
      <c r="S79" s="191">
        <f ca="1">IF(B79="","",IF($B$31=0,"",-'Debt Financing Calculations'!E28))</f>
        <v>-9947222.0747797322</v>
      </c>
      <c r="T79" s="191">
        <f t="shared" ca="1" si="12"/>
        <v>44866192.974461794</v>
      </c>
      <c r="U79" s="191">
        <f ca="1">IF(C79="","",IF(C79&lt;-1,0,IF(C79=anal_period,-LOOKUP(C79,depr_yr,depr_cost)-Depreciation!$C$141-Depreciation!$B$166,-LOOKUP(C79,depr_yr,depr_cost))))</f>
        <v>-30208471.658606526</v>
      </c>
      <c r="V79" s="191">
        <f t="shared" ca="1" si="13"/>
        <v>14657721.315855268</v>
      </c>
      <c r="W79" s="192">
        <f t="shared" si="14"/>
        <v>0.25739999999999996</v>
      </c>
      <c r="X79" s="191">
        <f t="shared" ca="1" si="15"/>
        <v>-3772897.4667011457</v>
      </c>
      <c r="Y79" s="191">
        <f t="shared" ca="1" si="16"/>
        <v>41093295.507760651</v>
      </c>
      <c r="Z79" s="191">
        <f>IF(C79="","",IF($B$31=0,"",-'Debt Financing Calculations'!F28))</f>
        <v>0</v>
      </c>
      <c r="AA79" s="191">
        <f t="shared" ca="1" si="17"/>
        <v>21376492.163314112</v>
      </c>
      <c r="AB79" s="191">
        <f t="shared" ca="1" si="23"/>
        <v>102960617.37524292</v>
      </c>
      <c r="AC79" s="1158">
        <f t="shared" ca="1" si="18"/>
        <v>25149389.630015258</v>
      </c>
      <c r="AD79" s="138"/>
      <c r="AE79" s="1162">
        <f t="shared" ca="1" si="19"/>
        <v>124628629.5</v>
      </c>
      <c r="AF79" s="1158">
        <f t="shared" si="20"/>
        <v>0</v>
      </c>
    </row>
    <row r="80" spans="1:32" x14ac:dyDescent="0.25">
      <c r="A80" s="59">
        <f t="shared" si="21"/>
        <v>2027</v>
      </c>
      <c r="B80" s="189">
        <f>IF(MAX($B$65:B79)&lt;(construct+anal_period),B79+1,"")</f>
        <v>16</v>
      </c>
      <c r="C80" s="189">
        <f t="shared" si="22"/>
        <v>13</v>
      </c>
      <c r="D80" s="189">
        <f t="shared" si="1"/>
        <v>13</v>
      </c>
      <c r="E80" s="190">
        <f t="shared" si="2"/>
        <v>1.253401494152226</v>
      </c>
      <c r="F80" s="61">
        <f t="shared" ca="1" si="3"/>
        <v>238870521.72638521</v>
      </c>
      <c r="G80" s="1171"/>
      <c r="H80" s="1180">
        <f t="shared" si="24"/>
        <v>0</v>
      </c>
      <c r="I80" s="191">
        <f ca="1">IF(OR(C80&lt;0,C80=""),"",-E80*INDEX('Replacement Costs'!$A$16:$H$57,MATCH(C80,'Replacement Costs'!$C$16:$C$57,0),MATCH("Total Yearly Replacement Costs",'Replacement Costs'!$A$16:$H$16,0)))</f>
        <v>-19139046.306420077</v>
      </c>
      <c r="J80" s="191">
        <f ca="1">IF(AND(C80&gt;=1,C80&lt;anal_period),WorkingCap*SUM(N80:R80)-WorkingCap*SUM(N79:R79),IF(C80&lt;0,0,IF(B80="","",-SUM(J$65:J79))))</f>
        <v>-868837.98402083665</v>
      </c>
      <c r="K80" s="191" t="str">
        <f t="shared" si="4"/>
        <v/>
      </c>
      <c r="L80" s="191" t="str">
        <f t="shared" si="5"/>
        <v/>
      </c>
      <c r="M80" s="191" t="str">
        <f t="shared" si="6"/>
        <v/>
      </c>
      <c r="N80" s="191">
        <f t="shared" ca="1" si="7"/>
        <v>-17959956.302503325</v>
      </c>
      <c r="O80" s="191">
        <f t="shared" ca="1" si="8"/>
        <v>-136241130.4415805</v>
      </c>
      <c r="P80" s="191">
        <f t="shared" ca="1" si="9"/>
        <v>0</v>
      </c>
      <c r="Q80" s="191">
        <f t="shared" ca="1" si="10"/>
        <v>0</v>
      </c>
      <c r="R80" s="191">
        <f t="shared" ca="1" si="11"/>
        <v>-31194357.64190542</v>
      </c>
      <c r="S80" s="191">
        <f ca="1">IF(B80="","",IF($B$31=0,"",-'Debt Financing Calculations'!E29))</f>
        <v>-9947222.0747797322</v>
      </c>
      <c r="T80" s="191">
        <f t="shared" ca="1" si="12"/>
        <v>43527855.265616238</v>
      </c>
      <c r="U80" s="191">
        <f ca="1">IF(C80="","",IF(C80&lt;-1,0,IF(C80=anal_period,-LOOKUP(C80,depr_yr,depr_cost)-Depreciation!$C$141-Depreciation!$B$166,-LOOKUP(C80,depr_yr,depr_cost))))</f>
        <v>-31095714.494774237</v>
      </c>
      <c r="V80" s="191">
        <f t="shared" ca="1" si="13"/>
        <v>12432140.770842001</v>
      </c>
      <c r="W80" s="192">
        <f t="shared" si="14"/>
        <v>0.25739999999999996</v>
      </c>
      <c r="X80" s="191">
        <f t="shared" ca="1" si="15"/>
        <v>-3200033.0344147305</v>
      </c>
      <c r="Y80" s="191">
        <f t="shared" ca="1" si="16"/>
        <v>40327822.231201507</v>
      </c>
      <c r="Z80" s="191">
        <f>IF(C80="","",IF($B$31=0,"",-'Debt Financing Calculations'!F29))</f>
        <v>0</v>
      </c>
      <c r="AA80" s="191">
        <f t="shared" ca="1" si="17"/>
        <v>20319937.940760594</v>
      </c>
      <c r="AB80" s="191">
        <f t="shared" ca="1" si="23"/>
        <v>123280555.31600352</v>
      </c>
      <c r="AC80" s="1158">
        <f t="shared" ca="1" si="18"/>
        <v>23519970.975175325</v>
      </c>
      <c r="AD80" s="138"/>
      <c r="AE80" s="1162">
        <f t="shared" ca="1" si="19"/>
        <v>124628629.5</v>
      </c>
      <c r="AF80" s="1158">
        <f t="shared" si="20"/>
        <v>0</v>
      </c>
    </row>
    <row r="81" spans="1:32" x14ac:dyDescent="0.25">
      <c r="A81" s="59">
        <f t="shared" si="21"/>
        <v>2028</v>
      </c>
      <c r="B81" s="189">
        <f>IF(MAX($B$65:B80)&lt;(construct+anal_period),B80+1,"")</f>
        <v>17</v>
      </c>
      <c r="C81" s="189">
        <f t="shared" si="22"/>
        <v>14</v>
      </c>
      <c r="D81" s="189">
        <f t="shared" si="1"/>
        <v>14</v>
      </c>
      <c r="E81" s="190">
        <f t="shared" si="2"/>
        <v>1.277216122541118</v>
      </c>
      <c r="F81" s="61">
        <f t="shared" ca="1" si="3"/>
        <v>243409061.63918647</v>
      </c>
      <c r="G81" s="1171"/>
      <c r="H81" s="1180">
        <f t="shared" si="24"/>
        <v>0</v>
      </c>
      <c r="I81" s="191">
        <f ca="1">IF(OR(C81&lt;0,C81=""),"",-E81*INDEX('Replacement Costs'!$A$16:$H$57,MATCH(C81,'Replacement Costs'!$C$16:$C$57,0),MATCH("Total Yearly Replacement Costs",'Replacement Costs'!$A$16:$H$16,0)))</f>
        <v>-19502688.186242055</v>
      </c>
      <c r="J81" s="191">
        <f ca="1">IF(AND(C81&gt;=1,C81&lt;anal_period),WorkingCap*SUM(N81:R81)-WorkingCap*SUM(N80:R80),IF(C81&lt;0,0,IF(B81="","",-SUM(J$65:J80))))</f>
        <v>-889967.11252109334</v>
      </c>
      <c r="K81" s="191" t="str">
        <f t="shared" si="4"/>
        <v/>
      </c>
      <c r="L81" s="191" t="str">
        <f t="shared" si="5"/>
        <v/>
      </c>
      <c r="M81" s="191" t="str">
        <f t="shared" si="6"/>
        <v/>
      </c>
      <c r="N81" s="191">
        <f t="shared" ca="1" si="7"/>
        <v>-18301195.472250883</v>
      </c>
      <c r="O81" s="191">
        <f t="shared" ca="1" si="8"/>
        <v>-141189518.39333165</v>
      </c>
      <c r="P81" s="191">
        <f t="shared" ca="1" si="9"/>
        <v>0</v>
      </c>
      <c r="Q81" s="191">
        <f t="shared" ca="1" si="10"/>
        <v>0</v>
      </c>
      <c r="R81" s="191">
        <f t="shared" ca="1" si="11"/>
        <v>-31837844.60388067</v>
      </c>
      <c r="S81" s="191">
        <f ca="1">IF(B81="","",IF($B$31=0,"",-'Debt Financing Calculations'!E30))</f>
        <v>-9947222.0747797322</v>
      </c>
      <c r="T81" s="191">
        <f t="shared" ca="1" si="12"/>
        <v>42133281.094943553</v>
      </c>
      <c r="U81" s="191">
        <f ca="1">IF(C81="","",IF(C81&lt;-1,0,IF(C81=anal_period,-LOOKUP(C81,depr_yr,depr_cost)-Depreciation!$C$141-Depreciation!$B$166,-LOOKUP(C81,depr_yr,depr_cost))))</f>
        <v>-31990790.414018963</v>
      </c>
      <c r="V81" s="191">
        <f t="shared" ca="1" si="13"/>
        <v>10142490.680924591</v>
      </c>
      <c r="W81" s="192">
        <f t="shared" si="14"/>
        <v>0.25739999999999996</v>
      </c>
      <c r="X81" s="191">
        <f t="shared" ca="1" si="15"/>
        <v>-2610677.1012699893</v>
      </c>
      <c r="Y81" s="191">
        <f t="shared" ca="1" si="16"/>
        <v>39522603.993673563</v>
      </c>
      <c r="Z81" s="191">
        <f>IF(C81="","",IF($B$31=0,"",-'Debt Financing Calculations'!F30))</f>
        <v>0</v>
      </c>
      <c r="AA81" s="191">
        <f t="shared" ca="1" si="17"/>
        <v>19129948.694910415</v>
      </c>
      <c r="AB81" s="191">
        <f t="shared" ca="1" si="23"/>
        <v>142410504.01091394</v>
      </c>
      <c r="AC81" s="1158">
        <f t="shared" ca="1" si="18"/>
        <v>21740625.796180405</v>
      </c>
      <c r="AD81" s="138"/>
      <c r="AE81" s="1162">
        <f t="shared" ca="1" si="19"/>
        <v>124628629.5</v>
      </c>
      <c r="AF81" s="1158">
        <f t="shared" si="20"/>
        <v>0</v>
      </c>
    </row>
    <row r="82" spans="1:32" x14ac:dyDescent="0.25">
      <c r="A82" s="59">
        <f t="shared" si="21"/>
        <v>2029</v>
      </c>
      <c r="B82" s="189">
        <f>IF(MAX($B$65:B81)&lt;(construct+anal_period),B81+1,"")</f>
        <v>18</v>
      </c>
      <c r="C82" s="189">
        <f t="shared" si="22"/>
        <v>15</v>
      </c>
      <c r="D82" s="189">
        <f t="shared" si="1"/>
        <v>15</v>
      </c>
      <c r="E82" s="190">
        <f t="shared" si="2"/>
        <v>1.3014832288693996</v>
      </c>
      <c r="F82" s="61">
        <f t="shared" ca="1" si="3"/>
        <v>248033833.81033108</v>
      </c>
      <c r="G82" s="1171"/>
      <c r="H82" s="1180">
        <f t="shared" si="24"/>
        <v>0</v>
      </c>
      <c r="I82" s="191">
        <f ca="1">IF(OR(C82&lt;0,C82=""),"",-E82*INDEX('Replacement Costs'!$A$16:$H$57,MATCH(C82,'Replacement Costs'!$C$16:$C$57,0),MATCH("Total Yearly Replacement Costs",'Replacement Costs'!$A$16:$H$16,0)))</f>
        <v>-19873239.261780657</v>
      </c>
      <c r="J82" s="191">
        <f ca="1">IF(AND(C82&gt;=1,C82&lt;anal_period),WorkingCap*SUM(N82:R82)-WorkingCap*SUM(N81:R81),IF(C82&lt;0,0,IF(B82="","",-SUM(J$65:J81))))</f>
        <v>-854459.42765024677</v>
      </c>
      <c r="K82" s="191" t="str">
        <f t="shared" si="4"/>
        <v/>
      </c>
      <c r="L82" s="191" t="str">
        <f t="shared" si="5"/>
        <v/>
      </c>
      <c r="M82" s="191" t="str">
        <f t="shared" si="6"/>
        <v/>
      </c>
      <c r="N82" s="191">
        <f t="shared" ca="1" si="7"/>
        <v>-18648918.186223652</v>
      </c>
      <c r="O82" s="191">
        <f t="shared" ca="1" si="8"/>
        <v>-145892607.41378912</v>
      </c>
      <c r="P82" s="191">
        <f t="shared" ca="1" si="9"/>
        <v>0</v>
      </c>
      <c r="Q82" s="191">
        <f t="shared" ca="1" si="10"/>
        <v>0</v>
      </c>
      <c r="R82" s="191">
        <f t="shared" ca="1" si="11"/>
        <v>-32483429.05378538</v>
      </c>
      <c r="S82" s="191">
        <f ca="1">IF(B82="","",IF($B$31=0,"",-'Debt Financing Calculations'!E31))</f>
        <v>-9947222.0747797322</v>
      </c>
      <c r="T82" s="191">
        <f t="shared" ca="1" si="12"/>
        <v>41061657.081753194</v>
      </c>
      <c r="U82" s="191">
        <f ca="1">IF(C82="","",IF(C82&lt;-1,0,IF(C82=anal_period,-LOOKUP(C82,depr_yr,depr_cost)-Depreciation!$C$141-Depreciation!$B$166,-LOOKUP(C82,depr_yr,depr_cost))))</f>
        <v>-32911897.306539517</v>
      </c>
      <c r="V82" s="191">
        <f t="shared" ca="1" si="13"/>
        <v>8149759.7752136774</v>
      </c>
      <c r="W82" s="192">
        <f t="shared" si="14"/>
        <v>0.25739999999999996</v>
      </c>
      <c r="X82" s="191">
        <f t="shared" ca="1" si="15"/>
        <v>-2097748.1661400003</v>
      </c>
      <c r="Y82" s="191">
        <f t="shared" ca="1" si="16"/>
        <v>38963908.915613197</v>
      </c>
      <c r="Z82" s="191">
        <f>IF(C82="","",IF($B$31=0,"",-'Debt Financing Calculations'!F31))</f>
        <v>0</v>
      </c>
      <c r="AA82" s="191">
        <f t="shared" ca="1" si="17"/>
        <v>18236210.226182289</v>
      </c>
      <c r="AB82" s="191">
        <f t="shared" ca="1" si="23"/>
        <v>160646714.23709622</v>
      </c>
      <c r="AC82" s="1158">
        <f t="shared" ca="1" si="18"/>
        <v>20333958.392322291</v>
      </c>
      <c r="AD82" s="138"/>
      <c r="AE82" s="1162">
        <f t="shared" ca="1" si="19"/>
        <v>124628629.5</v>
      </c>
      <c r="AF82" s="1158">
        <f t="shared" si="20"/>
        <v>0</v>
      </c>
    </row>
    <row r="83" spans="1:32" x14ac:dyDescent="0.25">
      <c r="A83" s="59">
        <f t="shared" si="21"/>
        <v>2030</v>
      </c>
      <c r="B83" s="189">
        <f>IF(MAX($B$65:B82)&lt;(construct+anal_period),B82+1,"")</f>
        <v>19</v>
      </c>
      <c r="C83" s="189">
        <f t="shared" si="22"/>
        <v>16</v>
      </c>
      <c r="D83" s="189">
        <f t="shared" si="1"/>
        <v>16</v>
      </c>
      <c r="E83" s="190">
        <f t="shared" si="2"/>
        <v>1.3262114102179181</v>
      </c>
      <c r="F83" s="61">
        <f t="shared" ca="1" si="3"/>
        <v>252746476.65272737</v>
      </c>
      <c r="G83" s="1171"/>
      <c r="H83" s="1180">
        <f t="shared" si="24"/>
        <v>0</v>
      </c>
      <c r="I83" s="191">
        <f ca="1">IF(OR(C83&lt;0,C83=""),"",-E83*INDEX('Replacement Costs'!$A$16:$H$57,MATCH(C83,'Replacement Costs'!$C$16:$C$57,0),MATCH("Total Yearly Replacement Costs",'Replacement Costs'!$A$16:$H$16,0)))</f>
        <v>-20250830.807754491</v>
      </c>
      <c r="J83" s="191">
        <f ca="1">IF(AND(C83&gt;=1,C83&lt;anal_period),WorkingCap*SUM(N83:R83)-WorkingCap*SUM(N82:R82),IF(C83&lt;0,0,IF(B83="","",-SUM(J$65:J82))))</f>
        <v>-642982.84995112568</v>
      </c>
      <c r="K83" s="191" t="str">
        <f t="shared" si="4"/>
        <v/>
      </c>
      <c r="L83" s="191" t="str">
        <f t="shared" si="5"/>
        <v/>
      </c>
      <c r="M83" s="191" t="str">
        <f t="shared" si="6"/>
        <v/>
      </c>
      <c r="N83" s="191">
        <f t="shared" ca="1" si="7"/>
        <v>-19003247.631761901</v>
      </c>
      <c r="O83" s="191">
        <f t="shared" ca="1" si="8"/>
        <v>-149178856.73060638</v>
      </c>
      <c r="P83" s="191">
        <f t="shared" ca="1" si="9"/>
        <v>0</v>
      </c>
      <c r="Q83" s="191">
        <f t="shared" ca="1" si="10"/>
        <v>0</v>
      </c>
      <c r="R83" s="191">
        <f t="shared" ca="1" si="11"/>
        <v>-33129402.624437377</v>
      </c>
      <c r="S83" s="191">
        <f ca="1">IF(B83="","",IF($B$31=0,"",-'Debt Financing Calculations'!E32))</f>
        <v>-9947222.0747797322</v>
      </c>
      <c r="T83" s="191">
        <f t="shared" ca="1" si="12"/>
        <v>41487747.591141969</v>
      </c>
      <c r="U83" s="191">
        <f ca="1">IF(C83="","",IF(C83&lt;-1,0,IF(C83=anal_period,-LOOKUP(C83,depr_yr,depr_cost)-Depreciation!$C$141-Depreciation!$B$166,-LOOKUP(C83,depr_yr,depr_cost))))</f>
        <v>-33841480.699207775</v>
      </c>
      <c r="V83" s="191">
        <f t="shared" ca="1" si="13"/>
        <v>7646266.8919341937</v>
      </c>
      <c r="W83" s="192">
        <f t="shared" si="14"/>
        <v>0.25739999999999996</v>
      </c>
      <c r="X83" s="191">
        <f t="shared" ca="1" si="15"/>
        <v>-1968149.0979838611</v>
      </c>
      <c r="Y83" s="191">
        <f t="shared" ca="1" si="16"/>
        <v>39519598.493158109</v>
      </c>
      <c r="Z83" s="191">
        <f>IF(C83="","",IF($B$31=0,"",-'Debt Financing Calculations'!F32))</f>
        <v>0</v>
      </c>
      <c r="AA83" s="191">
        <f t="shared" ca="1" si="17"/>
        <v>18625784.835452493</v>
      </c>
      <c r="AB83" s="191">
        <f t="shared" ca="1" si="23"/>
        <v>179272499.07254872</v>
      </c>
      <c r="AC83" s="1158">
        <f t="shared" ca="1" si="18"/>
        <v>20593933.933436353</v>
      </c>
      <c r="AD83" s="138"/>
      <c r="AE83" s="1162">
        <f t="shared" ca="1" si="19"/>
        <v>124628629.5</v>
      </c>
      <c r="AF83" s="1158">
        <f t="shared" si="20"/>
        <v>0</v>
      </c>
    </row>
    <row r="84" spans="1:32" x14ac:dyDescent="0.25">
      <c r="A84" s="59">
        <f t="shared" si="21"/>
        <v>2031</v>
      </c>
      <c r="B84" s="189">
        <f>IF(MAX($B$65:B83)&lt;(construct+anal_period),B83+1,"")</f>
        <v>20</v>
      </c>
      <c r="C84" s="189">
        <f t="shared" si="22"/>
        <v>17</v>
      </c>
      <c r="D84" s="189">
        <f t="shared" si="1"/>
        <v>17</v>
      </c>
      <c r="E84" s="190">
        <f t="shared" si="2"/>
        <v>1.3514094270120585</v>
      </c>
      <c r="F84" s="61">
        <f t="shared" ca="1" si="3"/>
        <v>257548659.70912915</v>
      </c>
      <c r="G84" s="1171"/>
      <c r="H84" s="1180">
        <f t="shared" si="24"/>
        <v>0</v>
      </c>
      <c r="I84" s="191">
        <f ca="1">IF(OR(C84&lt;0,C84=""),"",-E84*INDEX('Replacement Costs'!$A$16:$H$57,MATCH(C84,'Replacement Costs'!$C$16:$C$57,0),MATCH("Total Yearly Replacement Costs",'Replacement Costs'!$A$16:$H$16,0)))</f>
        <v>-20635596.593101822</v>
      </c>
      <c r="J84" s="191">
        <f ca="1">IF(AND(C84&gt;=1,C84&lt;anal_period),WorkingCap*SUM(N84:R84)-WorkingCap*SUM(N83:R83),IF(C84&lt;0,0,IF(B84="","",-SUM(J$65:J83))))</f>
        <v>-673193.23483753577</v>
      </c>
      <c r="K84" s="191" t="str">
        <f t="shared" si="4"/>
        <v/>
      </c>
      <c r="L84" s="191" t="str">
        <f t="shared" si="5"/>
        <v/>
      </c>
      <c r="M84" s="191" t="str">
        <f t="shared" si="6"/>
        <v/>
      </c>
      <c r="N84" s="191">
        <f t="shared" ca="1" si="7"/>
        <v>-19364309.336765379</v>
      </c>
      <c r="O84" s="191">
        <f t="shared" ca="1" si="8"/>
        <v>-152665653.62450162</v>
      </c>
      <c r="P84" s="191">
        <f t="shared" ca="1" si="9"/>
        <v>0</v>
      </c>
      <c r="Q84" s="191">
        <f t="shared" ca="1" si="10"/>
        <v>0</v>
      </c>
      <c r="R84" s="191">
        <f t="shared" ca="1" si="11"/>
        <v>-33769498.924455568</v>
      </c>
      <c r="S84" s="191">
        <f ca="1">IF(B84="","",IF($B$31=0,"",-'Debt Financing Calculations'!E33))</f>
        <v>-9947222.0747797322</v>
      </c>
      <c r="T84" s="191">
        <f t="shared" ca="1" si="12"/>
        <v>41801975.748626858</v>
      </c>
      <c r="U84" s="191">
        <f ca="1">IF(C84="","",IF(C84&lt;-1,0,IF(C84=anal_period,-LOOKUP(C84,depr_yr,depr_cost)-Depreciation!$C$141-Depreciation!$B$166,-LOOKUP(C84,depr_yr,depr_cost))))</f>
        <v>-34797750.707146913</v>
      </c>
      <c r="V84" s="191">
        <f t="shared" ca="1" si="13"/>
        <v>7004225.0414799452</v>
      </c>
      <c r="W84" s="192">
        <f t="shared" si="14"/>
        <v>0.25739999999999996</v>
      </c>
      <c r="X84" s="191">
        <f t="shared" ca="1" si="15"/>
        <v>-1802887.5256769375</v>
      </c>
      <c r="Y84" s="191">
        <f t="shared" ca="1" si="16"/>
        <v>39999088.222949922</v>
      </c>
      <c r="Z84" s="191">
        <f>IF(C84="","",IF($B$31=0,"",-'Debt Financing Calculations'!F33))</f>
        <v>0</v>
      </c>
      <c r="AA84" s="191">
        <f t="shared" ca="1" si="17"/>
        <v>18690298.395010564</v>
      </c>
      <c r="AB84" s="191">
        <f t="shared" ca="1" si="23"/>
        <v>197962797.46755928</v>
      </c>
      <c r="AC84" s="1158">
        <f t="shared" ca="1" si="18"/>
        <v>20493185.9206875</v>
      </c>
      <c r="AD84" s="138"/>
      <c r="AE84" s="1162">
        <f t="shared" ca="1" si="19"/>
        <v>124628629.5</v>
      </c>
      <c r="AF84" s="1158">
        <f t="shared" si="20"/>
        <v>0</v>
      </c>
    </row>
    <row r="85" spans="1:32" x14ac:dyDescent="0.25">
      <c r="A85" s="59">
        <f t="shared" si="21"/>
        <v>2032</v>
      </c>
      <c r="B85" s="189">
        <f>IF(MAX($B$65:B84)&lt;(construct+anal_period),B84+1,"")</f>
        <v>21</v>
      </c>
      <c r="C85" s="189">
        <f t="shared" si="22"/>
        <v>18</v>
      </c>
      <c r="D85" s="189">
        <f t="shared" si="1"/>
        <v>18</v>
      </c>
      <c r="E85" s="190">
        <f t="shared" si="2"/>
        <v>1.3770862061252875</v>
      </c>
      <c r="F85" s="61">
        <f t="shared" ca="1" si="3"/>
        <v>262442084.2436026</v>
      </c>
      <c r="G85" s="1171"/>
      <c r="H85" s="1180">
        <f t="shared" si="24"/>
        <v>0</v>
      </c>
      <c r="I85" s="191">
        <f ca="1">IF(OR(C85&lt;0,C85=""),"",-E85*INDEX('Replacement Costs'!$A$16:$H$57,MATCH(C85,'Replacement Costs'!$C$16:$C$57,0),MATCH("Total Yearly Replacement Costs",'Replacement Costs'!$A$16:$H$16,0)))</f>
        <v>-21027672.928370759</v>
      </c>
      <c r="J85" s="191">
        <f ca="1">IF(AND(C85&gt;=1,C85&lt;anal_period),WorkingCap*SUM(N85:R85)-WorkingCap*SUM(N84:R84),IF(C85&lt;0,0,IF(B85="","",-SUM(J$65:J84))))</f>
        <v>-525121.36166348308</v>
      </c>
      <c r="K85" s="191" t="str">
        <f t="shared" si="4"/>
        <v/>
      </c>
      <c r="L85" s="191" t="str">
        <f t="shared" si="5"/>
        <v/>
      </c>
      <c r="M85" s="191" t="str">
        <f t="shared" si="6"/>
        <v/>
      </c>
      <c r="N85" s="191">
        <f t="shared" ca="1" si="7"/>
        <v>-19732231.214163918</v>
      </c>
      <c r="O85" s="191">
        <f t="shared" ca="1" si="8"/>
        <v>-155176466.52818558</v>
      </c>
      <c r="P85" s="191">
        <f t="shared" ca="1" si="9"/>
        <v>0</v>
      </c>
      <c r="Q85" s="191">
        <f t="shared" ca="1" si="10"/>
        <v>0</v>
      </c>
      <c r="R85" s="191">
        <f t="shared" ca="1" si="11"/>
        <v>-34391573.221129619</v>
      </c>
      <c r="S85" s="191">
        <f ca="1">IF(B85="","",IF($B$31=0,"",-'Debt Financing Calculations'!E34))</f>
        <v>-9947222.0747797322</v>
      </c>
      <c r="T85" s="191">
        <f t="shared" ca="1" si="12"/>
        <v>43194591.205343753</v>
      </c>
      <c r="U85" s="191">
        <f ca="1">IF(C85="","",IF(C85&lt;-1,0,IF(C85=anal_period,-LOOKUP(C85,depr_yr,depr_cost)-Depreciation!$C$141-Depreciation!$B$166,-LOOKUP(C85,depr_yr,depr_cost))))</f>
        <v>-35763165.31442672</v>
      </c>
      <c r="V85" s="191">
        <f t="shared" ca="1" si="13"/>
        <v>7431425.890917033</v>
      </c>
      <c r="W85" s="192">
        <f t="shared" si="14"/>
        <v>0.25739999999999996</v>
      </c>
      <c r="X85" s="191">
        <f t="shared" ca="1" si="15"/>
        <v>-1912849.0243220441</v>
      </c>
      <c r="Y85" s="191">
        <f t="shared" ca="1" si="16"/>
        <v>41281742.181021705</v>
      </c>
      <c r="Z85" s="191">
        <f>IF(C85="","",IF($B$31=0,"",-'Debt Financing Calculations'!F34))</f>
        <v>0</v>
      </c>
      <c r="AA85" s="191">
        <f t="shared" ca="1" si="17"/>
        <v>19728947.890987467</v>
      </c>
      <c r="AB85" s="191">
        <f t="shared" ca="1" si="23"/>
        <v>217691745.35854673</v>
      </c>
      <c r="AC85" s="1158">
        <f t="shared" ca="1" si="18"/>
        <v>21641796.915309511</v>
      </c>
      <c r="AD85" s="138"/>
      <c r="AE85" s="1162">
        <f t="shared" ca="1" si="19"/>
        <v>124628629.5</v>
      </c>
      <c r="AF85" s="1158">
        <f t="shared" si="20"/>
        <v>0</v>
      </c>
    </row>
    <row r="86" spans="1:32" x14ac:dyDescent="0.25">
      <c r="A86" s="59">
        <f t="shared" si="21"/>
        <v>2033</v>
      </c>
      <c r="B86" s="189">
        <f>IF(MAX($B$65:B85)&lt;(construct+anal_period),B85+1,"")</f>
        <v>22</v>
      </c>
      <c r="C86" s="189">
        <f t="shared" si="22"/>
        <v>19</v>
      </c>
      <c r="D86" s="189">
        <f t="shared" si="1"/>
        <v>19</v>
      </c>
      <c r="E86" s="190">
        <f t="shared" si="2"/>
        <v>1.4032508440416678</v>
      </c>
      <c r="F86" s="61">
        <f t="shared" ca="1" si="3"/>
        <v>267428483.84423101</v>
      </c>
      <c r="G86" s="1171"/>
      <c r="H86" s="1180">
        <f t="shared" si="24"/>
        <v>0</v>
      </c>
      <c r="I86" s="191">
        <f ca="1">IF(OR(C86&lt;0,C86=""),"",-E86*INDEX('Replacement Costs'!$A$16:$H$57,MATCH(C86,'Replacement Costs'!$C$16:$C$57,0),MATCH("Total Yearly Replacement Costs",'Replacement Costs'!$A$16:$H$16,0)))</f>
        <v>-21427198.714009799</v>
      </c>
      <c r="J86" s="191">
        <f ca="1">IF(AND(C86&gt;=1,C86&lt;anal_period),WorkingCap*SUM(N86:R86)-WorkingCap*SUM(N85:R85),IF(C86&lt;0,0,IF(B86="","",-SUM(J$65:J85))))</f>
        <v>-356282.33988910168</v>
      </c>
      <c r="K86" s="191" t="str">
        <f t="shared" si="4"/>
        <v/>
      </c>
      <c r="L86" s="191" t="str">
        <f t="shared" si="5"/>
        <v/>
      </c>
      <c r="M86" s="191" t="str">
        <f t="shared" si="6"/>
        <v/>
      </c>
      <c r="N86" s="191">
        <f t="shared" ca="1" si="7"/>
        <v>-20107143.607233029</v>
      </c>
      <c r="O86" s="191">
        <f t="shared" ca="1" si="8"/>
        <v>-156554463.31765622</v>
      </c>
      <c r="P86" s="191">
        <f t="shared" ca="1" si="9"/>
        <v>0</v>
      </c>
      <c r="Q86" s="191">
        <f t="shared" ca="1" si="10"/>
        <v>0</v>
      </c>
      <c r="R86" s="191">
        <f t="shared" ca="1" si="11"/>
        <v>-35013879.63785059</v>
      </c>
      <c r="S86" s="191">
        <f ca="1">IF(B86="","",IF($B$31=0,"",-'Debt Financing Calculations'!E35))</f>
        <v>-9947222.0747797322</v>
      </c>
      <c r="T86" s="191">
        <f t="shared" ca="1" si="12"/>
        <v>45805775.206711471</v>
      </c>
      <c r="U86" s="191">
        <f ca="1">IF(C86="","",IF(C86&lt;-1,0,IF(C86=anal_period,-LOOKUP(C86,depr_yr,depr_cost)-Depreciation!$C$141-Depreciation!$B$166,-LOOKUP(C86,depr_yr,depr_cost))))</f>
        <v>-36755947.330055013</v>
      </c>
      <c r="V86" s="191">
        <f t="shared" ca="1" si="13"/>
        <v>9049827.8766564578</v>
      </c>
      <c r="W86" s="192">
        <f t="shared" si="14"/>
        <v>0.25739999999999996</v>
      </c>
      <c r="X86" s="191">
        <f t="shared" ca="1" si="15"/>
        <v>-2329425.6954513718</v>
      </c>
      <c r="Y86" s="191">
        <f t="shared" ca="1" si="16"/>
        <v>43476349.5112601</v>
      </c>
      <c r="Z86" s="191">
        <f>IF(C86="","",IF($B$31=0,"",-'Debt Financing Calculations'!F35))</f>
        <v>0</v>
      </c>
      <c r="AA86" s="191">
        <f t="shared" ca="1" si="17"/>
        <v>21692868.457361199</v>
      </c>
      <c r="AB86" s="191">
        <f t="shared" ca="1" si="23"/>
        <v>239384613.81590793</v>
      </c>
      <c r="AC86" s="1158">
        <f t="shared" ca="1" si="18"/>
        <v>24022294.15281257</v>
      </c>
      <c r="AD86" s="138"/>
      <c r="AE86" s="1162">
        <f t="shared" ca="1" si="19"/>
        <v>124628629.5</v>
      </c>
      <c r="AF86" s="1158">
        <f t="shared" si="20"/>
        <v>0</v>
      </c>
    </row>
    <row r="87" spans="1:32" x14ac:dyDescent="0.25">
      <c r="A87" s="59">
        <f t="shared" si="21"/>
        <v>2034</v>
      </c>
      <c r="B87" s="189">
        <f>IF(MAX($B$65:B86)&lt;(construct+anal_period),B86+1,"")</f>
        <v>23</v>
      </c>
      <c r="C87" s="189">
        <f t="shared" si="22"/>
        <v>20</v>
      </c>
      <c r="D87" s="189">
        <f t="shared" si="1"/>
        <v>20</v>
      </c>
      <c r="E87" s="190">
        <f t="shared" si="2"/>
        <v>1.4299126100784596</v>
      </c>
      <c r="F87" s="61">
        <f t="shared" ca="1" si="3"/>
        <v>272509625.03727144</v>
      </c>
      <c r="G87" s="1171"/>
      <c r="H87" s="1180">
        <f t="shared" si="24"/>
        <v>0</v>
      </c>
      <c r="I87" s="191">
        <f ca="1">IF(OR(C87&lt;0,C87=""),"",-E87*INDEX('Replacement Costs'!$A$16:$H$57,MATCH(C87,'Replacement Costs'!$C$16:$C$57,0),MATCH("Total Yearly Replacement Costs",'Replacement Costs'!$A$16:$H$16,0)))</f>
        <v>-21834315.489575986</v>
      </c>
      <c r="J87" s="191">
        <f ca="1">IF(AND(C87&gt;=1,C87&lt;anal_period),WorkingCap*SUM(N87:R87)-WorkingCap*SUM(N86:R86),IF(C87&lt;0,0,IF(B87="","",-SUM(J$65:J86))))</f>
        <v>-593318.0167151764</v>
      </c>
      <c r="K87" s="191" t="str">
        <f t="shared" si="4"/>
        <v/>
      </c>
      <c r="L87" s="191" t="str">
        <f t="shared" si="5"/>
        <v/>
      </c>
      <c r="M87" s="191" t="str">
        <f t="shared" si="6"/>
        <v/>
      </c>
      <c r="N87" s="191">
        <f t="shared" ca="1" si="7"/>
        <v>-20489179.335770458</v>
      </c>
      <c r="O87" s="191">
        <f t="shared" ca="1" si="8"/>
        <v>-159488320.33158025</v>
      </c>
      <c r="P87" s="191">
        <f t="shared" ca="1" si="9"/>
        <v>0</v>
      </c>
      <c r="Q87" s="191">
        <f t="shared" ca="1" si="10"/>
        <v>0</v>
      </c>
      <c r="R87" s="191">
        <f t="shared" ca="1" si="11"/>
        <v>-35653440.340156935</v>
      </c>
      <c r="S87" s="191">
        <f ca="1">IF(B87="","",IF($B$31=0,"",-'Debt Financing Calculations'!E36))</f>
        <v>-9947222.0747797322</v>
      </c>
      <c r="T87" s="191">
        <f t="shared" ca="1" si="12"/>
        <v>46931462.954984069</v>
      </c>
      <c r="U87" s="191">
        <f ca="1">IF(C87="","",IF(C87&lt;-1,0,IF(C87=anal_period,-LOOKUP(C87,depr_yr,depr_cost)-Depreciation!$C$141-Depreciation!$B$166,-LOOKUP(C87,depr_yr,depr_cost))))</f>
        <v>-37758567.673170075</v>
      </c>
      <c r="V87" s="191">
        <f t="shared" ca="1" si="13"/>
        <v>9172895.2818139941</v>
      </c>
      <c r="W87" s="192">
        <f t="shared" si="14"/>
        <v>0.25739999999999996</v>
      </c>
      <c r="X87" s="191">
        <f t="shared" ca="1" si="15"/>
        <v>-2361103.2455389216</v>
      </c>
      <c r="Y87" s="191">
        <f t="shared" ca="1" si="16"/>
        <v>44570359.709445149</v>
      </c>
      <c r="Z87" s="191">
        <f>IF(C87="","",IF($B$31=0,"",-'Debt Financing Calculations'!F36))</f>
        <v>0</v>
      </c>
      <c r="AA87" s="191">
        <f t="shared" ca="1" si="17"/>
        <v>22142726.203153986</v>
      </c>
      <c r="AB87" s="191">
        <f t="shared" ca="1" si="23"/>
        <v>261527340.01906192</v>
      </c>
      <c r="AC87" s="1158">
        <f t="shared" ca="1" si="18"/>
        <v>24503829.448692907</v>
      </c>
      <c r="AD87" s="138"/>
      <c r="AE87" s="1162">
        <f t="shared" ca="1" si="19"/>
        <v>124628629.5</v>
      </c>
      <c r="AF87" s="1158">
        <f t="shared" si="20"/>
        <v>0</v>
      </c>
    </row>
    <row r="88" spans="1:32" x14ac:dyDescent="0.25">
      <c r="A88" s="59">
        <f t="shared" si="21"/>
        <v>2035</v>
      </c>
      <c r="B88" s="189">
        <f>IF(MAX($B$65:B87)&lt;(construct+anal_period),B87+1,"")</f>
        <v>24</v>
      </c>
      <c r="C88" s="189">
        <f t="shared" si="22"/>
        <v>21</v>
      </c>
      <c r="D88" s="189">
        <f t="shared" si="1"/>
        <v>21</v>
      </c>
      <c r="E88" s="190">
        <f t="shared" si="2"/>
        <v>1.4570809496699502</v>
      </c>
      <c r="F88" s="61">
        <f t="shared" ca="1" si="3"/>
        <v>277687307.91297954</v>
      </c>
      <c r="G88" s="1171"/>
      <c r="H88" s="1180">
        <f t="shared" si="24"/>
        <v>0</v>
      </c>
      <c r="I88" s="191">
        <f ca="1">IF(OR(C88&lt;0,C88=""),"",-E88*INDEX('Replacement Costs'!$A$16:$H$57,MATCH(C88,'Replacement Costs'!$C$16:$C$57,0),MATCH("Total Yearly Replacement Costs",'Replacement Costs'!$A$16:$H$16,0)))</f>
        <v>-22249167.483877927</v>
      </c>
      <c r="J88" s="191">
        <f ca="1">IF(AND(C88&gt;=1,C88&lt;anal_period),WorkingCap*SUM(N88:R88)-WorkingCap*SUM(N87:R87),IF(C88&lt;0,0,IF(B88="","",-SUM(J$65:J87))))</f>
        <v>-998075.61827586219</v>
      </c>
      <c r="K88" s="191" t="str">
        <f t="shared" si="4"/>
        <v/>
      </c>
      <c r="L88" s="191" t="str">
        <f t="shared" si="5"/>
        <v/>
      </c>
      <c r="M88" s="191" t="str">
        <f t="shared" si="6"/>
        <v/>
      </c>
      <c r="N88" s="191">
        <f t="shared" ca="1" si="7"/>
        <v>-20878473.743150096</v>
      </c>
      <c r="O88" s="191">
        <f t="shared" ca="1" si="8"/>
        <v>-165043674.22039774</v>
      </c>
      <c r="P88" s="191">
        <f t="shared" ca="1" si="9"/>
        <v>0</v>
      </c>
      <c r="Q88" s="191">
        <f t="shared" ca="1" si="10"/>
        <v>0</v>
      </c>
      <c r="R88" s="191">
        <f t="shared" ca="1" si="11"/>
        <v>-36362629.499132253</v>
      </c>
      <c r="S88" s="191">
        <f ca="1">IF(B88="","",IF($B$31=0,"",-'Debt Financing Calculations'!E37))</f>
        <v>-9947222.0747797322</v>
      </c>
      <c r="T88" s="191">
        <f t="shared" ca="1" si="12"/>
        <v>45455308.375519753</v>
      </c>
      <c r="U88" s="191">
        <f ca="1">IF(C88="","",IF(C88&lt;-1,0,IF(C88=anal_period,-LOOKUP(C88,depr_yr,depr_cost)-Depreciation!$C$141-Depreciation!$B$166,-LOOKUP(C88,depr_yr,depr_cost))))</f>
        <v>-28645197.161616769</v>
      </c>
      <c r="V88" s="191">
        <f t="shared" ca="1" si="13"/>
        <v>16810111.213902984</v>
      </c>
      <c r="W88" s="192">
        <f t="shared" si="14"/>
        <v>0.25739999999999996</v>
      </c>
      <c r="X88" s="191">
        <f t="shared" ca="1" si="15"/>
        <v>-4326922.6264586272</v>
      </c>
      <c r="Y88" s="191">
        <f t="shared" ca="1" si="16"/>
        <v>41128385.749061123</v>
      </c>
      <c r="Z88" s="191">
        <f>IF(C88="","",IF($B$31=0,"",-'Debt Financing Calculations'!F37))</f>
        <v>0</v>
      </c>
      <c r="AA88" s="191">
        <f t="shared" ca="1" si="17"/>
        <v>17881142.646907337</v>
      </c>
      <c r="AB88" s="191">
        <f t="shared" ca="1" si="23"/>
        <v>279408482.66596925</v>
      </c>
      <c r="AC88" s="1158">
        <f t="shared" ca="1" si="18"/>
        <v>22208065.273365963</v>
      </c>
      <c r="AD88" s="138"/>
      <c r="AE88" s="1162">
        <f t="shared" ca="1" si="19"/>
        <v>124628629.5</v>
      </c>
      <c r="AF88" s="1158">
        <f t="shared" si="20"/>
        <v>0</v>
      </c>
    </row>
    <row r="89" spans="1:32" x14ac:dyDescent="0.25">
      <c r="A89" s="59">
        <f t="shared" si="21"/>
        <v>2036</v>
      </c>
      <c r="B89" s="189">
        <f>IF(MAX($B$65:B88)&lt;(construct+anal_period),B88+1,"")</f>
        <v>25</v>
      </c>
      <c r="C89" s="189">
        <f t="shared" si="22"/>
        <v>22</v>
      </c>
      <c r="D89" s="189">
        <f t="shared" si="1"/>
        <v>22</v>
      </c>
      <c r="E89" s="190">
        <f t="shared" si="2"/>
        <v>1.4847654877136791</v>
      </c>
      <c r="F89" s="61">
        <f t="shared" ca="1" si="3"/>
        <v>282963366.76332617</v>
      </c>
      <c r="G89" s="1171"/>
      <c r="H89" s="1180">
        <f t="shared" si="24"/>
        <v>0</v>
      </c>
      <c r="I89" s="191">
        <f ca="1">IF(OR(C89&lt;0,C89=""),"",-E89*INDEX('Replacement Costs'!$A$16:$H$57,MATCH(C89,'Replacement Costs'!$C$16:$C$57,0),MATCH("Total Yearly Replacement Costs",'Replacement Costs'!$A$16:$H$16,0)))</f>
        <v>-22671901.666071609</v>
      </c>
      <c r="J89" s="191">
        <f ca="1">IF(AND(C89&gt;=1,C89&lt;anal_period),WorkingCap*SUM(N89:R89)-WorkingCap*SUM(N88:R88),IF(C89&lt;0,0,IF(B89="","",-SUM(J$65:J88))))</f>
        <v>-655281.16945686564</v>
      </c>
      <c r="K89" s="191" t="str">
        <f t="shared" si="4"/>
        <v/>
      </c>
      <c r="L89" s="191" t="str">
        <f t="shared" si="5"/>
        <v/>
      </c>
      <c r="M89" s="191" t="str">
        <f t="shared" si="6"/>
        <v/>
      </c>
      <c r="N89" s="191">
        <f t="shared" ca="1" si="7"/>
        <v>-21275164.744269945</v>
      </c>
      <c r="O89" s="191">
        <f t="shared" ca="1" si="8"/>
        <v>-168291224.57271481</v>
      </c>
      <c r="P89" s="191">
        <f t="shared" ca="1" si="9"/>
        <v>0</v>
      </c>
      <c r="Q89" s="191">
        <f t="shared" ca="1" si="10"/>
        <v>0</v>
      </c>
      <c r="R89" s="191">
        <f t="shared" ca="1" si="11"/>
        <v>-37086929.275407784</v>
      </c>
      <c r="S89" s="191">
        <f ca="1">IF(B89="","",IF($B$31=0,"",-'Debt Financing Calculations'!E38))</f>
        <v>-9947222.0747797322</v>
      </c>
      <c r="T89" s="191">
        <f t="shared" ca="1" si="12"/>
        <v>46362826.096153915</v>
      </c>
      <c r="U89" s="191">
        <f ca="1">IF(C89="","",IF(C89&lt;-1,0,IF(C89=anal_period,-LOOKUP(C89,depr_yr,depr_cost)-Depreciation!$C$141-Depreciation!$B$166,-LOOKUP(C89,depr_yr,depr_cost))))</f>
        <v>-19199792.842208821</v>
      </c>
      <c r="V89" s="191">
        <f t="shared" ca="1" si="13"/>
        <v>27163033.253945094</v>
      </c>
      <c r="W89" s="192">
        <f t="shared" si="14"/>
        <v>0.25739999999999996</v>
      </c>
      <c r="X89" s="191">
        <f t="shared" ca="1" si="15"/>
        <v>-6991764.7595654661</v>
      </c>
      <c r="Y89" s="191">
        <f t="shared" ca="1" si="16"/>
        <v>39371061.33658845</v>
      </c>
      <c r="Z89" s="191">
        <f>IF(C89="","",IF($B$31=0,"",-'Debt Financing Calculations'!F38))</f>
        <v>0</v>
      </c>
      <c r="AA89" s="191">
        <f t="shared" ca="1" si="17"/>
        <v>16043878.501059975</v>
      </c>
      <c r="AB89" s="191">
        <f t="shared" ca="1" si="23"/>
        <v>295452361.1670292</v>
      </c>
      <c r="AC89" s="1158">
        <f t="shared" ca="1" si="18"/>
        <v>23035643.260625441</v>
      </c>
      <c r="AD89" s="138"/>
      <c r="AE89" s="1162">
        <f t="shared" ca="1" si="19"/>
        <v>124628629.5</v>
      </c>
      <c r="AF89" s="1158">
        <f t="shared" si="20"/>
        <v>0</v>
      </c>
    </row>
    <row r="90" spans="1:32" x14ac:dyDescent="0.25">
      <c r="A90" s="59">
        <f t="shared" si="21"/>
        <v>2037</v>
      </c>
      <c r="B90" s="189">
        <f>IF(MAX($B$65:B89)&lt;(construct+anal_period),B89+1,"")</f>
        <v>26</v>
      </c>
      <c r="C90" s="189">
        <f t="shared" si="22"/>
        <v>23</v>
      </c>
      <c r="D90" s="189">
        <f t="shared" si="1"/>
        <v>23</v>
      </c>
      <c r="E90" s="190">
        <f t="shared" si="2"/>
        <v>1.5129760319802392</v>
      </c>
      <c r="F90" s="61">
        <f t="shared" ca="1" si="3"/>
        <v>288339670.7318294</v>
      </c>
      <c r="G90" s="1171"/>
      <c r="H90" s="1180">
        <f t="shared" si="24"/>
        <v>0</v>
      </c>
      <c r="I90" s="191">
        <f ca="1">IF(OR(C90&lt;0,C90=""),"",-E90*INDEX('Replacement Costs'!$A$16:$H$57,MATCH(C90,'Replacement Costs'!$C$16:$C$57,0),MATCH("Total Yearly Replacement Costs",'Replacement Costs'!$A$16:$H$16,0)))</f>
        <v>-23102667.79772697</v>
      </c>
      <c r="J90" s="191">
        <f ca="1">IF(AND(C90&gt;=1,C90&lt;anal_period),WorkingCap*SUM(N90:R90)-WorkingCap*SUM(N89:R89),IF(C90&lt;0,0,IF(B90="","",-SUM(J$65:J89))))</f>
        <v>-691987.28878909349</v>
      </c>
      <c r="K90" s="191" t="str">
        <f t="shared" si="4"/>
        <v/>
      </c>
      <c r="L90" s="191" t="str">
        <f t="shared" si="5"/>
        <v/>
      </c>
      <c r="M90" s="191" t="str">
        <f t="shared" si="6"/>
        <v/>
      </c>
      <c r="N90" s="191">
        <f t="shared" ca="1" si="7"/>
        <v>-21679392.874411076</v>
      </c>
      <c r="O90" s="191">
        <f t="shared" ca="1" si="8"/>
        <v>-171802698.78696603</v>
      </c>
      <c r="P90" s="191">
        <f t="shared" ca="1" si="9"/>
        <v>0</v>
      </c>
      <c r="Q90" s="191">
        <f t="shared" ca="1" si="10"/>
        <v>0</v>
      </c>
      <c r="R90" s="191">
        <f t="shared" ca="1" si="11"/>
        <v>-37784475.522942685</v>
      </c>
      <c r="S90" s="191">
        <f ca="1">IF(B90="","",IF($B$31=0,"",-'Debt Financing Calculations'!E39))</f>
        <v>-9947222.0747797322</v>
      </c>
      <c r="T90" s="191">
        <f t="shared" ca="1" si="12"/>
        <v>47125881.472729892</v>
      </c>
      <c r="U90" s="191">
        <f ca="1">IF(C90="","",IF(C90&lt;-1,0,IF(C90=anal_period,-LOOKUP(C90,depr_yr,depr_cost)-Depreciation!$C$141-Depreciation!$B$166,-LOOKUP(C90,depr_yr,depr_cost))))</f>
        <v>-19564588.906210788</v>
      </c>
      <c r="V90" s="191">
        <f t="shared" ca="1" si="13"/>
        <v>27561292.566519104</v>
      </c>
      <c r="W90" s="192">
        <f t="shared" si="14"/>
        <v>0.25739999999999996</v>
      </c>
      <c r="X90" s="191">
        <f t="shared" ca="1" si="15"/>
        <v>-7094276.7066220166</v>
      </c>
      <c r="Y90" s="191">
        <f t="shared" ca="1" si="16"/>
        <v>40031604.766107872</v>
      </c>
      <c r="Z90" s="191">
        <f>IF(C90="","",IF($B$31=0,"",-'Debt Financing Calculations'!F39))</f>
        <v>0</v>
      </c>
      <c r="AA90" s="191">
        <f t="shared" ca="1" si="17"/>
        <v>16236949.679591812</v>
      </c>
      <c r="AB90" s="191">
        <f t="shared" ca="1" si="23"/>
        <v>311689310.84662104</v>
      </c>
      <c r="AC90" s="1158">
        <f t="shared" ca="1" si="18"/>
        <v>23331226.386213828</v>
      </c>
      <c r="AD90" s="138"/>
      <c r="AE90" s="1162">
        <f t="shared" ca="1" si="19"/>
        <v>124628629.5</v>
      </c>
      <c r="AF90" s="1158">
        <f t="shared" si="20"/>
        <v>0</v>
      </c>
    </row>
    <row r="91" spans="1:32" x14ac:dyDescent="0.25">
      <c r="A91" s="59">
        <f t="shared" si="21"/>
        <v>2038</v>
      </c>
      <c r="B91" s="189">
        <f>IF(MAX($B$65:B90)&lt;(construct+anal_period),B90+1,"")</f>
        <v>27</v>
      </c>
      <c r="C91" s="189">
        <f t="shared" si="22"/>
        <v>24</v>
      </c>
      <c r="D91" s="189">
        <f t="shared" si="1"/>
        <v>24</v>
      </c>
      <c r="E91" s="190">
        <f t="shared" si="2"/>
        <v>1.5417225765878635</v>
      </c>
      <c r="F91" s="61">
        <f t="shared" ca="1" si="3"/>
        <v>293818124.47573411</v>
      </c>
      <c r="G91" s="1171"/>
      <c r="H91" s="1180">
        <f t="shared" si="24"/>
        <v>0</v>
      </c>
      <c r="I91" s="191">
        <f ca="1">IF(OR(C91&lt;0,C91=""),"",-E91*INDEX('Replacement Costs'!$A$16:$H$57,MATCH(C91,'Replacement Costs'!$C$16:$C$57,0),MATCH("Total Yearly Replacement Costs",'Replacement Costs'!$A$16:$H$16,0)))</f>
        <v>-23541618.48588378</v>
      </c>
      <c r="J91" s="191">
        <f ca="1">IF(AND(C91&gt;=1,C91&lt;anal_period),WorkingCap*SUM(N91:R91)-WorkingCap*SUM(N90:R90),IF(C91&lt;0,0,IF(B91="","",-SUM(J$65:J90))))</f>
        <v>-633840.4601919353</v>
      </c>
      <c r="K91" s="191" t="str">
        <f t="shared" si="4"/>
        <v/>
      </c>
      <c r="L91" s="191" t="str">
        <f t="shared" si="5"/>
        <v/>
      </c>
      <c r="M91" s="191" t="str">
        <f t="shared" si="6"/>
        <v/>
      </c>
      <c r="N91" s="191">
        <f t="shared" ca="1" si="7"/>
        <v>-22091301.339024883</v>
      </c>
      <c r="O91" s="191">
        <f t="shared" ca="1" si="8"/>
        <v>-174896362.99983007</v>
      </c>
      <c r="P91" s="191">
        <f t="shared" ca="1" si="9"/>
        <v>0</v>
      </c>
      <c r="Q91" s="191">
        <f t="shared" ca="1" si="10"/>
        <v>0</v>
      </c>
      <c r="R91" s="191">
        <f t="shared" ca="1" si="11"/>
        <v>-38504505.913411088</v>
      </c>
      <c r="S91" s="191">
        <f ca="1">IF(B91="","",IF($B$31=0,"",-'Debt Financing Calculations'!E40))</f>
        <v>-9947222.0747797322</v>
      </c>
      <c r="T91" s="191">
        <f t="shared" ca="1" si="12"/>
        <v>48378732.148688376</v>
      </c>
      <c r="U91" s="191">
        <f ca="1">IF(C91="","",IF(C91&lt;-1,0,IF(C91=anal_period,-LOOKUP(C91,depr_yr,depr_cost)-Depreciation!$C$141-Depreciation!$B$166,-LOOKUP(C91,depr_yr,depr_cost))))</f>
        <v>-19936316.095428791</v>
      </c>
      <c r="V91" s="191">
        <f t="shared" ca="1" si="13"/>
        <v>28442416.053259585</v>
      </c>
      <c r="W91" s="192">
        <f t="shared" si="14"/>
        <v>0.25739999999999996</v>
      </c>
      <c r="X91" s="191">
        <f t="shared" ca="1" si="15"/>
        <v>-7321077.892109016</v>
      </c>
      <c r="Y91" s="191">
        <f t="shared" ca="1" si="16"/>
        <v>41057654.256579362</v>
      </c>
      <c r="Z91" s="191">
        <f>IF(C91="","",IF($B$31=0,"",-'Debt Financing Calculations'!F40))</f>
        <v>0</v>
      </c>
      <c r="AA91" s="191">
        <f t="shared" ca="1" si="17"/>
        <v>16882195.310503647</v>
      </c>
      <c r="AB91" s="191">
        <f t="shared" ca="1" si="23"/>
        <v>328571506.1571247</v>
      </c>
      <c r="AC91" s="1158">
        <f t="shared" ca="1" si="18"/>
        <v>24203273.202612661</v>
      </c>
      <c r="AD91" s="138"/>
      <c r="AE91" s="1162">
        <f t="shared" ca="1" si="19"/>
        <v>124628629.5</v>
      </c>
      <c r="AF91" s="1158">
        <f t="shared" si="20"/>
        <v>0</v>
      </c>
    </row>
    <row r="92" spans="1:32" x14ac:dyDescent="0.25">
      <c r="A92" s="59">
        <f t="shared" si="21"/>
        <v>2039</v>
      </c>
      <c r="B92" s="189">
        <f>IF(MAX($B$65:B91)&lt;(construct+anal_period),B91+1,"")</f>
        <v>28</v>
      </c>
      <c r="C92" s="189">
        <f t="shared" si="22"/>
        <v>25</v>
      </c>
      <c r="D92" s="189">
        <f t="shared" si="1"/>
        <v>25</v>
      </c>
      <c r="E92" s="190">
        <f t="shared" si="2"/>
        <v>1.5710153055430329</v>
      </c>
      <c r="F92" s="61">
        <f t="shared" ca="1" si="3"/>
        <v>299400668.84077305</v>
      </c>
      <c r="G92" s="1171"/>
      <c r="H92" s="1180">
        <f t="shared" si="24"/>
        <v>0</v>
      </c>
      <c r="I92" s="191">
        <f ca="1">IF(OR(C92&lt;0,C92=""),"",-E92*INDEX('Replacement Costs'!$A$16:$H$57,MATCH(C92,'Replacement Costs'!$C$16:$C$57,0),MATCH("Total Yearly Replacement Costs",'Replacement Costs'!$A$16:$H$16,0)))</f>
        <v>-23988909.237115569</v>
      </c>
      <c r="J92" s="191">
        <f ca="1">IF(AND(C92&gt;=1,C92&lt;anal_period),WorkingCap*SUM(N92:R92)-WorkingCap*SUM(N91:R91),IF(C92&lt;0,0,IF(B92="","",-SUM(J$65:J91))))</f>
        <v>-773788.94526340067</v>
      </c>
      <c r="K92" s="191" t="str">
        <f t="shared" si="4"/>
        <v/>
      </c>
      <c r="L92" s="191" t="str">
        <f t="shared" si="5"/>
        <v/>
      </c>
      <c r="M92" s="191" t="str">
        <f t="shared" si="6"/>
        <v/>
      </c>
      <c r="N92" s="191">
        <f t="shared" ca="1" si="7"/>
        <v>-22511036.064466357</v>
      </c>
      <c r="O92" s="191">
        <f t="shared" ca="1" si="8"/>
        <v>-178896087.66349202</v>
      </c>
      <c r="P92" s="191">
        <f t="shared" ca="1" si="9"/>
        <v>0</v>
      </c>
      <c r="Q92" s="191">
        <f t="shared" ca="1" si="10"/>
        <v>0</v>
      </c>
      <c r="R92" s="191">
        <f t="shared" ca="1" si="11"/>
        <v>-39243639.492730319</v>
      </c>
      <c r="S92" s="191">
        <f ca="1">IF(B92="","",IF($B$31=0,"",-'Debt Financing Calculations'!E41))</f>
        <v>-9947222.0747797322</v>
      </c>
      <c r="T92" s="191">
        <f t="shared" ca="1" si="12"/>
        <v>48802683.545304626</v>
      </c>
      <c r="U92" s="191">
        <f ca="1">IF(C92="","",IF(C92&lt;-1,0,IF(C92=anal_period,-LOOKUP(C92,depr_yr,depr_cost)-Depreciation!$C$141-Depreciation!$B$166,-LOOKUP(C92,depr_yr,depr_cost))))</f>
        <v>-20315106.101241939</v>
      </c>
      <c r="V92" s="191">
        <f t="shared" ca="1" si="13"/>
        <v>28487577.444062687</v>
      </c>
      <c r="W92" s="192">
        <f t="shared" si="14"/>
        <v>0.25739999999999996</v>
      </c>
      <c r="X92" s="191">
        <f t="shared" ca="1" si="15"/>
        <v>-7332702.4341017343</v>
      </c>
      <c r="Y92" s="191">
        <f t="shared" ca="1" si="16"/>
        <v>41469981.111202896</v>
      </c>
      <c r="Z92" s="191">
        <f>IF(C92="","",IF($B$31=0,"",-'Debt Financing Calculations'!F41))</f>
        <v>0</v>
      </c>
      <c r="AA92" s="191">
        <f t="shared" ca="1" si="17"/>
        <v>16707282.928823922</v>
      </c>
      <c r="AB92" s="191">
        <f t="shared" ca="1" si="23"/>
        <v>345278789.08594865</v>
      </c>
      <c r="AC92" s="1158">
        <f t="shared" ca="1" si="18"/>
        <v>24039985.362925656</v>
      </c>
      <c r="AD92" s="138"/>
      <c r="AE92" s="1162">
        <f t="shared" ca="1" si="19"/>
        <v>124628629.5</v>
      </c>
      <c r="AF92" s="1158">
        <f t="shared" si="20"/>
        <v>0</v>
      </c>
    </row>
    <row r="93" spans="1:32" x14ac:dyDescent="0.25">
      <c r="A93" s="59">
        <f t="shared" si="21"/>
        <v>2040</v>
      </c>
      <c r="B93" s="189">
        <f>IF(MAX($B$65:B92)&lt;(construct+anal_period),B92+1,"")</f>
        <v>29</v>
      </c>
      <c r="C93" s="189">
        <f t="shared" si="22"/>
        <v>26</v>
      </c>
      <c r="D93" s="189">
        <f t="shared" si="1"/>
        <v>26</v>
      </c>
      <c r="E93" s="190">
        <f t="shared" si="2"/>
        <v>1.6008645963483503</v>
      </c>
      <c r="F93" s="61">
        <f t="shared" ca="1" si="3"/>
        <v>305089281.54874766</v>
      </c>
      <c r="G93" s="1171"/>
      <c r="H93" s="1180">
        <f t="shared" si="24"/>
        <v>0</v>
      </c>
      <c r="I93" s="191">
        <f ca="1">IF(OR(C93&lt;0,C93=""),"",-E93*INDEX('Replacement Costs'!$A$16:$H$57,MATCH(C93,'Replacement Costs'!$C$16:$C$57,0),MATCH("Total Yearly Replacement Costs",'Replacement Costs'!$A$16:$H$16,0)))</f>
        <v>-24444698.512620762</v>
      </c>
      <c r="J93" s="191">
        <f ca="1">IF(AND(C93&gt;=1,C93&lt;anal_period),WorkingCap*SUM(N93:R93)-WorkingCap*SUM(N92:R92),IF(C93&lt;0,0,IF(B93="","",-SUM(J$65:J92))))</f>
        <v>-475221.40652382374</v>
      </c>
      <c r="K93" s="191" t="str">
        <f t="shared" si="4"/>
        <v/>
      </c>
      <c r="L93" s="191" t="str">
        <f t="shared" si="5"/>
        <v/>
      </c>
      <c r="M93" s="191" t="str">
        <f t="shared" si="6"/>
        <v/>
      </c>
      <c r="N93" s="191">
        <f t="shared" ca="1" si="7"/>
        <v>-22938745.749691214</v>
      </c>
      <c r="O93" s="191">
        <f t="shared" ca="1" si="8"/>
        <v>-180914211.75529483</v>
      </c>
      <c r="P93" s="191">
        <f t="shared" ca="1" si="9"/>
        <v>0</v>
      </c>
      <c r="Q93" s="191">
        <f t="shared" ca="1" si="10"/>
        <v>0</v>
      </c>
      <c r="R93" s="191">
        <f t="shared" ca="1" si="11"/>
        <v>-39965948.425861515</v>
      </c>
      <c r="S93" s="191">
        <f ca="1">IF(B93="","",IF($B$31=0,"",-'Debt Financing Calculations'!E42))</f>
        <v>-9947222.0747797322</v>
      </c>
      <c r="T93" s="191">
        <f t="shared" ca="1" si="12"/>
        <v>51323153.543120384</v>
      </c>
      <c r="U93" s="191">
        <f ca="1">IF(C93="","",IF(C93&lt;-1,0,IF(C93=anal_period,-LOOKUP(C93,depr_yr,depr_cost)-Depreciation!$C$141-Depreciation!$B$166,-LOOKUP(C93,depr_yr,depr_cost))))</f>
        <v>-20701093.117165532</v>
      </c>
      <c r="V93" s="191">
        <f t="shared" ca="1" si="13"/>
        <v>30622060.425954852</v>
      </c>
      <c r="W93" s="192">
        <f t="shared" si="14"/>
        <v>0.25739999999999996</v>
      </c>
      <c r="X93" s="191">
        <f t="shared" ca="1" si="15"/>
        <v>-7882118.353640778</v>
      </c>
      <c r="Y93" s="191">
        <f t="shared" ca="1" si="16"/>
        <v>43441035.189479604</v>
      </c>
      <c r="Z93" s="191">
        <f>IF(C93="","",IF($B$31=0,"",-'Debt Financing Calculations'!F42))</f>
        <v>0</v>
      </c>
      <c r="AA93" s="191">
        <f t="shared" ca="1" si="17"/>
        <v>18521115.270335019</v>
      </c>
      <c r="AB93" s="191">
        <f t="shared" ca="1" si="23"/>
        <v>363799904.35628366</v>
      </c>
      <c r="AC93" s="1158">
        <f t="shared" ca="1" si="18"/>
        <v>26403233.623975798</v>
      </c>
      <c r="AD93" s="138"/>
      <c r="AE93" s="1162">
        <f t="shared" ca="1" si="19"/>
        <v>124628629.5</v>
      </c>
      <c r="AF93" s="1158">
        <f t="shared" si="20"/>
        <v>0</v>
      </c>
    </row>
    <row r="94" spans="1:32" x14ac:dyDescent="0.25">
      <c r="A94" s="59">
        <f t="shared" si="21"/>
        <v>2041</v>
      </c>
      <c r="B94" s="189">
        <f>IF(MAX($B$65:B93)&lt;(construct+anal_period),B93+1,"")</f>
        <v>30</v>
      </c>
      <c r="C94" s="189">
        <f t="shared" si="22"/>
        <v>27</v>
      </c>
      <c r="D94" s="189">
        <f t="shared" si="1"/>
        <v>27</v>
      </c>
      <c r="E94" s="190">
        <f t="shared" si="2"/>
        <v>1.631281023678969</v>
      </c>
      <c r="F94" s="61">
        <f t="shared" ca="1" si="3"/>
        <v>310885977.89817387</v>
      </c>
      <c r="G94" s="1171"/>
      <c r="H94" s="1180">
        <f t="shared" si="24"/>
        <v>0</v>
      </c>
      <c r="I94" s="191">
        <f ca="1">IF(OR(C94&lt;0,C94=""),"",-E94*INDEX('Replacement Costs'!$A$16:$H$57,MATCH(C94,'Replacement Costs'!$C$16:$C$57,0),MATCH("Total Yearly Replacement Costs",'Replacement Costs'!$A$16:$H$16,0)))</f>
        <v>-24909147.784360558</v>
      </c>
      <c r="J94" s="191">
        <f ca="1">IF(AND(C94&gt;=1,C94&lt;anal_period),WorkingCap*SUM(N94:R94)-WorkingCap*SUM(N93:R93),IF(C94&lt;0,0,IF(B94="","",-SUM(J$65:J93))))</f>
        <v>-712788.98595780879</v>
      </c>
      <c r="K94" s="191" t="str">
        <f t="shared" si="4"/>
        <v/>
      </c>
      <c r="L94" s="191" t="str">
        <f t="shared" si="5"/>
        <v/>
      </c>
      <c r="M94" s="191" t="str">
        <f t="shared" si="6"/>
        <v/>
      </c>
      <c r="N94" s="191">
        <f t="shared" ca="1" si="7"/>
        <v>-23374581.918935347</v>
      </c>
      <c r="O94" s="191">
        <f t="shared" ca="1" si="8"/>
        <v>-184500684.83273473</v>
      </c>
      <c r="P94" s="191">
        <f t="shared" ca="1" si="9"/>
        <v>0</v>
      </c>
      <c r="Q94" s="191">
        <f t="shared" ca="1" si="10"/>
        <v>0</v>
      </c>
      <c r="R94" s="191">
        <f t="shared" ca="1" si="11"/>
        <v>-40695565.752229489</v>
      </c>
      <c r="S94" s="191">
        <f ca="1">IF(B94="","",IF($B$31=0,"",-'Debt Financing Calculations'!E43))</f>
        <v>-9947222.0747797322</v>
      </c>
      <c r="T94" s="191">
        <f t="shared" ca="1" si="12"/>
        <v>52367923.319494575</v>
      </c>
      <c r="U94" s="191">
        <f ca="1">IF(C94="","",IF(C94&lt;-1,0,IF(C94=anal_period,-LOOKUP(C94,depr_yr,depr_cost)-Depreciation!$C$141-Depreciation!$B$166,-LOOKUP(C94,depr_yr,depr_cost))))</f>
        <v>-21094413.886391681</v>
      </c>
      <c r="V94" s="191">
        <f t="shared" ca="1" si="13"/>
        <v>31273509.433102895</v>
      </c>
      <c r="W94" s="192">
        <f t="shared" si="14"/>
        <v>0.25739999999999996</v>
      </c>
      <c r="X94" s="191">
        <f t="shared" ca="1" si="15"/>
        <v>-8049801.3280806839</v>
      </c>
      <c r="Y94" s="191">
        <f t="shared" ca="1" si="16"/>
        <v>44318121.991413891</v>
      </c>
      <c r="Z94" s="191">
        <f>IF(C94="","",IF($B$31=0,"",-'Debt Financing Calculations'!F43))</f>
        <v>0</v>
      </c>
      <c r="AA94" s="191">
        <f t="shared" ca="1" si="17"/>
        <v>18696185.221095525</v>
      </c>
      <c r="AB94" s="191">
        <f t="shared" ca="1" si="23"/>
        <v>382496089.57737917</v>
      </c>
      <c r="AC94" s="1158">
        <f t="shared" ca="1" si="18"/>
        <v>26745986.549176209</v>
      </c>
      <c r="AD94" s="138"/>
      <c r="AE94" s="1162">
        <f t="shared" ca="1" si="19"/>
        <v>124628629.5</v>
      </c>
      <c r="AF94" s="1158">
        <f t="shared" si="20"/>
        <v>0</v>
      </c>
    </row>
    <row r="95" spans="1:32" x14ac:dyDescent="0.25">
      <c r="A95" s="59">
        <f t="shared" si="21"/>
        <v>2042</v>
      </c>
      <c r="B95" s="189">
        <f>IF(MAX($B$65:B94)&lt;(construct+anal_period),B94+1,"")</f>
        <v>31</v>
      </c>
      <c r="C95" s="189">
        <f t="shared" si="22"/>
        <v>28</v>
      </c>
      <c r="D95" s="189">
        <f t="shared" si="1"/>
        <v>28</v>
      </c>
      <c r="E95" s="190">
        <f t="shared" si="2"/>
        <v>1.6622753631288694</v>
      </c>
      <c r="F95" s="61">
        <f t="shared" ca="1" si="3"/>
        <v>316792811.47823918</v>
      </c>
      <c r="G95" s="1171"/>
      <c r="H95" s="1180">
        <f t="shared" si="24"/>
        <v>0</v>
      </c>
      <c r="I95" s="191">
        <f ca="1">IF(OR(C95&lt;0,C95=""),"",-E95*INDEX('Replacement Costs'!$A$16:$H$57,MATCH(C95,'Replacement Costs'!$C$16:$C$57,0),MATCH("Total Yearly Replacement Costs",'Replacement Costs'!$A$16:$H$16,0)))</f>
        <v>-25382421.592263408</v>
      </c>
      <c r="J95" s="191">
        <f ca="1">IF(AND(C95&gt;=1,C95&lt;anal_period),WorkingCap*SUM(N95:R95)-WorkingCap*SUM(N94:R94),IF(C95&lt;0,0,IF(B95="","",-SUM(J$65:J94))))</f>
        <v>-981746.27403064072</v>
      </c>
      <c r="K95" s="191" t="str">
        <f t="shared" si="4"/>
        <v/>
      </c>
      <c r="L95" s="191" t="str">
        <f t="shared" si="5"/>
        <v/>
      </c>
      <c r="M95" s="191" t="str">
        <f t="shared" si="6"/>
        <v/>
      </c>
      <c r="N95" s="191">
        <f t="shared" ca="1" si="7"/>
        <v>-23818698.975395121</v>
      </c>
      <c r="O95" s="191">
        <f t="shared" ca="1" si="8"/>
        <v>-189816412.33288738</v>
      </c>
      <c r="P95" s="191">
        <f t="shared" ca="1" si="9"/>
        <v>0</v>
      </c>
      <c r="Q95" s="191">
        <f t="shared" ca="1" si="10"/>
        <v>0</v>
      </c>
      <c r="R95" s="191">
        <f t="shared" ca="1" si="11"/>
        <v>-41480696.355821379</v>
      </c>
      <c r="S95" s="191">
        <f ca="1">IF(B95="","",IF($B$31=0,"",-'Debt Financing Calculations'!E44))</f>
        <v>-9947222.0747797322</v>
      </c>
      <c r="T95" s="191">
        <f t="shared" ca="1" si="12"/>
        <v>51729781.739355594</v>
      </c>
      <c r="U95" s="191">
        <f ca="1">IF(C95="","",IF(C95&lt;-1,0,IF(C95=anal_period,-LOOKUP(C95,depr_yr,depr_cost)-Depreciation!$C$141-Depreciation!$B$166,-LOOKUP(C95,depr_yr,depr_cost))))</f>
        <v>-21495207.750233117</v>
      </c>
      <c r="V95" s="191">
        <f t="shared" ca="1" si="13"/>
        <v>30234573.989122476</v>
      </c>
      <c r="W95" s="192">
        <f t="shared" si="14"/>
        <v>0.25739999999999996</v>
      </c>
      <c r="X95" s="191">
        <f t="shared" ca="1" si="15"/>
        <v>-7782379.3448001239</v>
      </c>
      <c r="Y95" s="191">
        <f t="shared" ca="1" si="16"/>
        <v>43947402.394555472</v>
      </c>
      <c r="Z95" s="191">
        <f>IF(C95="","",IF($B$31=0,"",-'Debt Financing Calculations'!F44))</f>
        <v>0</v>
      </c>
      <c r="AA95" s="191">
        <f t="shared" ca="1" si="17"/>
        <v>17583234.528261423</v>
      </c>
      <c r="AB95" s="191">
        <f t="shared" ca="1" si="23"/>
        <v>400079324.10564059</v>
      </c>
      <c r="AC95" s="1158">
        <f t="shared" ca="1" si="18"/>
        <v>25365613.873061545</v>
      </c>
      <c r="AD95" s="138"/>
      <c r="AE95" s="1162">
        <f t="shared" ca="1" si="19"/>
        <v>124628629.5</v>
      </c>
      <c r="AF95" s="1158">
        <f t="shared" si="20"/>
        <v>0</v>
      </c>
    </row>
    <row r="96" spans="1:32" x14ac:dyDescent="0.25">
      <c r="A96" s="59">
        <f t="shared" si="21"/>
        <v>2043</v>
      </c>
      <c r="B96" s="189">
        <f>IF(MAX($B$65:B95)&lt;(construct+anal_period),B95+1,"")</f>
        <v>32</v>
      </c>
      <c r="C96" s="189">
        <f t="shared" si="22"/>
        <v>29</v>
      </c>
      <c r="D96" s="189">
        <f t="shared" si="1"/>
        <v>29</v>
      </c>
      <c r="E96" s="190">
        <f t="shared" si="2"/>
        <v>1.6938585950283176</v>
      </c>
      <c r="F96" s="61">
        <f t="shared" ca="1" si="3"/>
        <v>322811874.89632571</v>
      </c>
      <c r="G96" s="1171"/>
      <c r="H96" s="1180">
        <f t="shared" si="24"/>
        <v>0</v>
      </c>
      <c r="I96" s="191">
        <f ca="1">IF(OR(C96&lt;0,C96=""),"",-E96*INDEX('Replacement Costs'!$A$16:$H$57,MATCH(C96,'Replacement Costs'!$C$16:$C$57,0),MATCH("Total Yearly Replacement Costs",'Replacement Costs'!$A$16:$H$16,0)))</f>
        <v>-25864687.602516409</v>
      </c>
      <c r="J96" s="191">
        <f ca="1">IF(AND(C96&gt;=1,C96&lt;anal_period),WorkingCap*SUM(N96:R96)-WorkingCap*SUM(N95:R95),IF(C96&lt;0,0,IF(B96="","",-SUM(J$65:J95))))</f>
        <v>-1155389.0141562968</v>
      </c>
      <c r="K96" s="191" t="str">
        <f t="shared" si="4"/>
        <v/>
      </c>
      <c r="L96" s="191" t="str">
        <f t="shared" si="5"/>
        <v/>
      </c>
      <c r="M96" s="191" t="str">
        <f t="shared" si="6"/>
        <v/>
      </c>
      <c r="N96" s="191">
        <f t="shared" ca="1" si="7"/>
        <v>-24271254.255927622</v>
      </c>
      <c r="O96" s="191">
        <f t="shared" ca="1" si="8"/>
        <v>-196246334.26194936</v>
      </c>
      <c r="P96" s="191">
        <f t="shared" ca="1" si="9"/>
        <v>0</v>
      </c>
      <c r="Q96" s="191">
        <f t="shared" ca="1" si="10"/>
        <v>0</v>
      </c>
      <c r="R96" s="191">
        <f t="shared" ca="1" si="11"/>
        <v>-42300812.573935494</v>
      </c>
      <c r="S96" s="191">
        <f ca="1">IF(B96="","",IF($B$31=0,"",-'Debt Financing Calculations'!E45))</f>
        <v>-9947222.0747797322</v>
      </c>
      <c r="T96" s="191">
        <f t="shared" ca="1" si="12"/>
        <v>50046251.729733467</v>
      </c>
      <c r="U96" s="191">
        <f ca="1">IF(C96="","",IF(C96&lt;-1,0,IF(C96=anal_period,-LOOKUP(C96,depr_yr,depr_cost)-Depreciation!$C$141-Depreciation!$B$166,-LOOKUP(C96,depr_yr,depr_cost))))</f>
        <v>-21903616.697487548</v>
      </c>
      <c r="V96" s="191">
        <f t="shared" ca="1" si="13"/>
        <v>28142635.032245919</v>
      </c>
      <c r="W96" s="192">
        <f t="shared" si="14"/>
        <v>0.25739999999999996</v>
      </c>
      <c r="X96" s="191">
        <f t="shared" ca="1" si="15"/>
        <v>-7243914.2573000984</v>
      </c>
      <c r="Y96" s="191">
        <f t="shared" ca="1" si="16"/>
        <v>42802337.472433366</v>
      </c>
      <c r="Z96" s="191">
        <f>IF(C96="","",IF($B$31=0,"",-'Debt Financing Calculations'!F45))</f>
        <v>0</v>
      </c>
      <c r="AA96" s="191">
        <f t="shared" ca="1" si="17"/>
        <v>15782260.855760664</v>
      </c>
      <c r="AB96" s="191">
        <f t="shared" ca="1" si="23"/>
        <v>415861584.96140122</v>
      </c>
      <c r="AC96" s="1158">
        <f t="shared" ca="1" si="18"/>
        <v>23026175.113060761</v>
      </c>
      <c r="AD96" s="138"/>
      <c r="AE96" s="1162">
        <f t="shared" ca="1" si="19"/>
        <v>124628629.5</v>
      </c>
      <c r="AF96" s="1158">
        <f t="shared" si="20"/>
        <v>0</v>
      </c>
    </row>
    <row r="97" spans="1:32" x14ac:dyDescent="0.25">
      <c r="A97" s="59">
        <f t="shared" si="21"/>
        <v>2044</v>
      </c>
      <c r="B97" s="189">
        <f>IF(MAX($B$65:B96)&lt;(construct+anal_period),B96+1,"")</f>
        <v>33</v>
      </c>
      <c r="C97" s="189">
        <f t="shared" si="22"/>
        <v>30</v>
      </c>
      <c r="D97" s="189">
        <f t="shared" ref="D97:D113" si="25">IF(C97="","",IF(C97&lt;=plant_life,C97,IF(D96=plant_life,1,D96+1)))</f>
        <v>30</v>
      </c>
      <c r="E97" s="190">
        <f t="shared" ref="E97:E113" si="26">IF(C97="","",(1+inflation_rate)^(A97-$B$25))</f>
        <v>1.7260419083338554</v>
      </c>
      <c r="F97" s="61">
        <f t="shared" ref="F97:F113" ca="1" si="27">IF(C97="","",IF(C97&lt;0,0,IF(AND(C97=1,start_time&lt;1),E97*(H2_price_nominal*output_kgyear*start_time*percnt_revs+H2_price_nominal*output_kgyear*(1-start_time)),IF(C97&lt;=start_time,H2_price_nominal*E97*output_kgyear*percnt_revs,H2_price_nominal*output_kgyear*E97))))</f>
        <v>328945300.51935583</v>
      </c>
      <c r="G97" s="1171"/>
      <c r="H97" s="1180">
        <f t="shared" si="24"/>
        <v>0</v>
      </c>
      <c r="I97" s="191">
        <f ca="1">IF(OR(C97&lt;0,C97=""),"",-E97*INDEX('Replacement Costs'!$A$16:$H$57,MATCH(C97,'Replacement Costs'!$C$16:$C$57,0),MATCH("Total Yearly Replacement Costs",'Replacement Costs'!$A$16:$H$16,0)))</f>
        <v>-26356116.666964218</v>
      </c>
      <c r="J97" s="191">
        <f ca="1">IF(AND(C97&gt;=1,C97&lt;anal_period),WorkingCap*SUM(N97:R97)-WorkingCap*SUM(N96:R96),IF(C97&lt;0,0,IF(B97="","",-SUM(J$65:J96))))</f>
        <v>-1050872.6700221077</v>
      </c>
      <c r="K97" s="191" t="str">
        <f t="shared" ref="K97:K113" si="28">IF(C97=-construct,-E97*non_dep_infl,"")</f>
        <v/>
      </c>
      <c r="L97" s="191" t="str">
        <f t="shared" ref="L97:L113" si="29">IF(C97=anal_period,salvage*E97,"")</f>
        <v/>
      </c>
      <c r="M97" s="191" t="str">
        <f t="shared" ref="M97:M113" si="30">IF(D97=plant_life,-E97*decom,"")</f>
        <v/>
      </c>
      <c r="N97" s="191">
        <f t="shared" ref="N97:N113" ca="1" si="31">IF(C97="","",IF(C97&lt;0,0,IF(AND(C97=1,start_time&lt;1),-(inflated_fixed*percnt_fixed*start_time+(inflated_fixed*(1-start_time))),IF(C97&lt;=start_time,-inflated_fixed*percnt_fixed*E97,-inflated_fixed*E97))))</f>
        <v>-24732408.086790245</v>
      </c>
      <c r="O97" s="191">
        <f t="shared" ref="O97:O109" ca="1" si="32">IF(C97="","",IF(C97&lt;0,0,IF(AND(C97=1,start_time&lt;1),-(SUM(B171:E171)*output_kgyear*E97*percnt_var*start_time+SUM(B171:E171)*output_kgyear*E97*(1-start_time)),IF(C97&lt;=start_time,-SUM(B171:E171)*output_kgyear*E97*percnt_var,-SUM(B171:E171)*output_kgyear*E97))))</f>
        <v>-201946921.98474845</v>
      </c>
      <c r="P97" s="191">
        <f t="shared" ref="P97:P113" ca="1" si="33">IF(C97="","",IF(C97&lt;0,0,IF(AND(C97=1,start_time&lt;1),-(inflated_otherraw*E97*percnt_var*start_time+inflated_otherraw*E97*(1-start_time)),IF(C97&lt;=start_time,-inflated_otherraw*E97*percnt_var,-(inflated_otherraw*E97)))))</f>
        <v>0</v>
      </c>
      <c r="Q97" s="191">
        <f t="shared" ca="1" si="10"/>
        <v>0</v>
      </c>
      <c r="R97" s="191">
        <f t="shared" ref="R97:R109" ca="1" si="34">IF(C97="","",IF(C97&lt;0,0,IF(AND(C97=1,start_time&lt;1),-((SUM(F171:J171,P171:R171)*output_kgyear+inflated_othervar)*E97*percnt_var*start_time+(SUM(F171:J171,P171:R171)*output_kgyear+inflated_othervar)*E97*(1-start_time)),IF(C97&lt;=start_time,-(SUM(F171:J171,P171:R171)*output_kgyear+inflated_othervar)*E97*percnt_var,-E97*(SUM(F171:J171,P171:R171)*output_kgyear+inflated_othervar)))))</f>
        <v>-43144888.820421249</v>
      </c>
      <c r="S97" s="191">
        <f ca="1">IF(B97="","",IF($B$31=0,"",-'Debt Financing Calculations'!E46))</f>
        <v>-9947222.0747797322</v>
      </c>
      <c r="T97" s="191">
        <f t="shared" ref="T97:T113" ca="1" si="35">IF(C97="","",F97+SUM(L97:S97))</f>
        <v>49173859.552616179</v>
      </c>
      <c r="U97" s="191">
        <f ca="1">IF(C97="","",IF(C97&lt;-1,0,IF(C97=anal_period,-LOOKUP(C97,depr_yr,depr_cost)-Depreciation!$C$141-Depreciation!$B$166,-LOOKUP(C97,depr_yr,depr_cost))))</f>
        <v>-22319785.41473981</v>
      </c>
      <c r="V97" s="191">
        <f t="shared" ref="V97:V113" ca="1" si="36">IF(C97="","",SUM(T97:U97))</f>
        <v>26854074.137876369</v>
      </c>
      <c r="W97" s="192">
        <f t="shared" ref="W97:W113" si="37">IF(C97="","",$B$33)</f>
        <v>0.25739999999999996</v>
      </c>
      <c r="X97" s="191">
        <f t="shared" ref="X97:X113" ca="1" si="38">IF(C97="","",tax_credit-(V97*W97 +Upstream_CO2_taxpYear + Proc_CO2_taxpYear))</f>
        <v>-6912238.6830893764</v>
      </c>
      <c r="Y97" s="191">
        <f t="shared" ref="Y97:Y113" ca="1" si="39">IF(C97="","",SUM(T97,X97))</f>
        <v>42261620.869526803</v>
      </c>
      <c r="Z97" s="191">
        <f>IF(C97="","",IF($B$31=0,"",-'Debt Financing Calculations'!F46))</f>
        <v>0</v>
      </c>
      <c r="AA97" s="191">
        <f t="shared" ref="AA97:AA113" ca="1" si="40">IF(C97="","",SUM(H97,I97,J97,K97,T97,X97,Z97))</f>
        <v>14854631.532540478</v>
      </c>
      <c r="AB97" s="191">
        <f t="shared" ca="1" si="23"/>
        <v>430716216.49394172</v>
      </c>
      <c r="AC97" s="1158">
        <f t="shared" ref="AC97:AC113" ca="1" si="41">IF(C97="","",SUM(H97,I97,J97,K97,T97,Z97))</f>
        <v>21766870.215629853</v>
      </c>
      <c r="AD97" s="138"/>
      <c r="AE97" s="1162">
        <f t="shared" ref="AE97:AE113" ca="1" si="42">IF(C97="","",IF(C97&lt;0,0,IF(AND(C97=1,start_time&lt;1),(output_kgyear*start_time*percnt_revs+output_kgyear*(1-start_time)),IF(C97&lt;=start_time,output_kgyear*percnt_revs,output_kgyear))))</f>
        <v>124628629.5</v>
      </c>
      <c r="AF97" s="1158">
        <f t="shared" ref="AF97:AF113" si="43">IF(C97="","",tax_credit)</f>
        <v>0</v>
      </c>
    </row>
    <row r="98" spans="1:32" x14ac:dyDescent="0.25">
      <c r="A98" s="59">
        <f t="shared" si="21"/>
        <v>2045</v>
      </c>
      <c r="B98" s="189">
        <f>IF(MAX($B$65:B97)&lt;(construct+anal_period),B97+1,"")</f>
        <v>34</v>
      </c>
      <c r="C98" s="189">
        <f t="shared" si="22"/>
        <v>31</v>
      </c>
      <c r="D98" s="189">
        <f t="shared" si="25"/>
        <v>31</v>
      </c>
      <c r="E98" s="190">
        <f t="shared" si="26"/>
        <v>1.7588367045921991</v>
      </c>
      <c r="F98" s="61">
        <f t="shared" ca="1" si="27"/>
        <v>335195261.22922367</v>
      </c>
      <c r="G98" s="1171"/>
      <c r="H98" s="1180">
        <f t="shared" si="24"/>
        <v>0</v>
      </c>
      <c r="I98" s="191">
        <f ca="1">IF(OR(C98&lt;0,C98=""),"",-E98*INDEX('Replacement Costs'!$A$16:$H$57,MATCH(C98,'Replacement Costs'!$C$16:$C$57,0),MATCH("Total Yearly Replacement Costs",'Replacement Costs'!$A$16:$H$16,0)))</f>
        <v>-26856882.883636545</v>
      </c>
      <c r="J98" s="191">
        <f ca="1">IF(AND(C98&gt;=1,C98&lt;anal_period),WorkingCap*SUM(N98:R98)-WorkingCap*SUM(N97:R97),IF(C98&lt;0,0,IF(B98="","",-SUM(J$65:J97))))</f>
        <v>-1171362.7295058519</v>
      </c>
      <c r="K98" s="191" t="str">
        <f t="shared" si="28"/>
        <v/>
      </c>
      <c r="L98" s="191" t="str">
        <f t="shared" si="29"/>
        <v/>
      </c>
      <c r="M98" s="191" t="str">
        <f t="shared" si="30"/>
        <v/>
      </c>
      <c r="N98" s="191">
        <f t="shared" ca="1" si="31"/>
        <v>-25202323.840439264</v>
      </c>
      <c r="O98" s="191">
        <f t="shared" ca="1" si="32"/>
        <v>-208426314.53612277</v>
      </c>
      <c r="P98" s="191">
        <f t="shared" ca="1" si="33"/>
        <v>0</v>
      </c>
      <c r="Q98" s="191">
        <f t="shared" ca="1" si="10"/>
        <v>0</v>
      </c>
      <c r="R98" s="191">
        <f t="shared" ca="1" si="34"/>
        <v>-44004665.378770202</v>
      </c>
      <c r="S98" s="191">
        <f ca="1">IF(B98="","",IF($B$31=0,"",-'Debt Financing Calculations'!E47))</f>
        <v>-9947222.0747797322</v>
      </c>
      <c r="T98" s="191">
        <f t="shared" ca="1" si="35"/>
        <v>47614735.399111688</v>
      </c>
      <c r="U98" s="191">
        <f ca="1">IF(C98="","",IF(C98&lt;-1,0,IF(C98=anal_period,-LOOKUP(C98,depr_yr,depr_cost)-Depreciation!$C$141-Depreciation!$B$166,-LOOKUP(C98,depr_yr,depr_cost))))</f>
        <v>-22743861.337619867</v>
      </c>
      <c r="V98" s="191">
        <f t="shared" ca="1" si="36"/>
        <v>24870874.061491821</v>
      </c>
      <c r="W98" s="192">
        <f t="shared" si="37"/>
        <v>0.25739999999999996</v>
      </c>
      <c r="X98" s="191">
        <f t="shared" ca="1" si="38"/>
        <v>-6401762.983427994</v>
      </c>
      <c r="Y98" s="191">
        <f t="shared" ca="1" si="39"/>
        <v>41212972.415683694</v>
      </c>
      <c r="Z98" s="191">
        <f>IF(C98="","",IF($B$31=0,"",-'Debt Financing Calculations'!F47))</f>
        <v>0</v>
      </c>
      <c r="AA98" s="191">
        <f t="shared" ca="1" si="40"/>
        <v>13184726.802541297</v>
      </c>
      <c r="AB98" s="191">
        <f t="shared" ca="1" si="23"/>
        <v>443900943.29648304</v>
      </c>
      <c r="AC98" s="1158">
        <f t="shared" ca="1" si="41"/>
        <v>19586489.785969291</v>
      </c>
      <c r="AD98" s="138"/>
      <c r="AE98" s="1162">
        <f t="shared" ca="1" si="42"/>
        <v>124628629.5</v>
      </c>
      <c r="AF98" s="1158">
        <f t="shared" si="43"/>
        <v>0</v>
      </c>
    </row>
    <row r="99" spans="1:32" x14ac:dyDescent="0.25">
      <c r="A99" s="59">
        <f t="shared" si="21"/>
        <v>2046</v>
      </c>
      <c r="B99" s="189">
        <f>IF(MAX($B$65:B98)&lt;(construct+anal_period),B98+1,"")</f>
        <v>35</v>
      </c>
      <c r="C99" s="189">
        <f t="shared" si="22"/>
        <v>32</v>
      </c>
      <c r="D99" s="189">
        <f t="shared" si="25"/>
        <v>32</v>
      </c>
      <c r="E99" s="190">
        <f t="shared" si="26"/>
        <v>1.7922546019794507</v>
      </c>
      <c r="F99" s="61">
        <f t="shared" ca="1" si="27"/>
        <v>341563971.19257891</v>
      </c>
      <c r="G99" s="1171"/>
      <c r="H99" s="1180">
        <f t="shared" si="24"/>
        <v>0</v>
      </c>
      <c r="I99" s="191">
        <f ca="1">IF(OR(C99&lt;0,C99=""),"",-E99*INDEX('Replacement Costs'!$A$16:$H$57,MATCH(C99,'Replacement Costs'!$C$16:$C$57,0),MATCH("Total Yearly Replacement Costs",'Replacement Costs'!$A$16:$H$16,0)))</f>
        <v>-27367163.658425637</v>
      </c>
      <c r="J99" s="191">
        <f ca="1">IF(AND(C99&gt;=1,C99&lt;anal_period),WorkingCap*SUM(N99:R99)-WorkingCap*SUM(N98:R98),IF(C99&lt;0,0,IF(B99="","",-SUM(J$65:J98))))</f>
        <v>-1106236.4485364929</v>
      </c>
      <c r="K99" s="191" t="str">
        <f t="shared" si="28"/>
        <v/>
      </c>
      <c r="L99" s="191" t="str">
        <f t="shared" si="29"/>
        <v/>
      </c>
      <c r="M99" s="191" t="str">
        <f t="shared" si="30"/>
        <v/>
      </c>
      <c r="N99" s="191">
        <f t="shared" ca="1" si="31"/>
        <v>-25681167.993407611</v>
      </c>
      <c r="O99" s="191">
        <f t="shared" ca="1" si="32"/>
        <v>-214444825.84862539</v>
      </c>
      <c r="P99" s="191">
        <f t="shared" ca="1" si="33"/>
        <v>0</v>
      </c>
      <c r="Q99" s="191">
        <f t="shared" ca="1" si="10"/>
        <v>0</v>
      </c>
      <c r="R99" s="191">
        <f t="shared" ca="1" si="34"/>
        <v>-44882219.570209175</v>
      </c>
      <c r="S99" s="191">
        <f ca="1">IF(B99="","",IF($B$31=0,"",-'Debt Financing Calculations'!E48))</f>
        <v>-9947222.0747797322</v>
      </c>
      <c r="T99" s="191">
        <f t="shared" ca="1" si="35"/>
        <v>46608535.705556989</v>
      </c>
      <c r="U99" s="191">
        <f ca="1">IF(C99="","",IF(C99&lt;-1,0,IF(C99=anal_period,-LOOKUP(C99,depr_yr,depr_cost)-Depreciation!$C$141-Depreciation!$B$166,-LOOKUP(C99,depr_yr,depr_cost))))</f>
        <v>-23175994.703034639</v>
      </c>
      <c r="V99" s="191">
        <f t="shared" ca="1" si="36"/>
        <v>23432541.002522349</v>
      </c>
      <c r="W99" s="192">
        <f t="shared" si="37"/>
        <v>0.25739999999999996</v>
      </c>
      <c r="X99" s="191">
        <f t="shared" ca="1" si="38"/>
        <v>-6031536.0540492516</v>
      </c>
      <c r="Y99" s="191">
        <f t="shared" ca="1" si="39"/>
        <v>40576999.651507735</v>
      </c>
      <c r="Z99" s="191">
        <f>IF(C99="","",IF($B$31=0,"",-'Debt Financing Calculations'!F48))</f>
        <v>0</v>
      </c>
      <c r="AA99" s="191">
        <f t="shared" ca="1" si="40"/>
        <v>12103599.544545608</v>
      </c>
      <c r="AB99" s="191">
        <f t="shared" ca="1" si="23"/>
        <v>456004542.84102863</v>
      </c>
      <c r="AC99" s="1158">
        <f t="shared" ca="1" si="41"/>
        <v>18135135.598594859</v>
      </c>
      <c r="AD99" s="138"/>
      <c r="AE99" s="1162">
        <f t="shared" ca="1" si="42"/>
        <v>124628629.5</v>
      </c>
      <c r="AF99" s="1158">
        <f t="shared" si="43"/>
        <v>0</v>
      </c>
    </row>
    <row r="100" spans="1:32" x14ac:dyDescent="0.25">
      <c r="A100" s="59">
        <f t="shared" si="21"/>
        <v>2047</v>
      </c>
      <c r="B100" s="189">
        <f>IF(MAX($B$65:B99)&lt;(construct+anal_period),B99+1,"")</f>
        <v>36</v>
      </c>
      <c r="C100" s="189">
        <f t="shared" si="22"/>
        <v>33</v>
      </c>
      <c r="D100" s="189">
        <f t="shared" si="25"/>
        <v>33</v>
      </c>
      <c r="E100" s="190">
        <f t="shared" si="26"/>
        <v>1.8263074394170602</v>
      </c>
      <c r="F100" s="61">
        <f t="shared" ca="1" si="27"/>
        <v>348053686.64523786</v>
      </c>
      <c r="G100" s="1171"/>
      <c r="H100" s="1180">
        <f t="shared" si="24"/>
        <v>0</v>
      </c>
      <c r="I100" s="191">
        <f ca="1">IF(OR(C100&lt;0,C100=""),"",-E100*INDEX('Replacement Costs'!$A$16:$H$57,MATCH(C100,'Replacement Costs'!$C$16:$C$57,0),MATCH("Total Yearly Replacement Costs",'Replacement Costs'!$A$16:$H$16,0)))</f>
        <v>-27887139.767935723</v>
      </c>
      <c r="J100" s="191">
        <f ca="1">IF(AND(C100&gt;=1,C100&lt;anal_period),WorkingCap*SUM(N100:R100)-WorkingCap*SUM(N99:R99),IF(C100&lt;0,0,IF(B100="","",-SUM(J$65:J99))))</f>
        <v>-1163062.261518091</v>
      </c>
      <c r="K100" s="191" t="str">
        <f t="shared" si="28"/>
        <v/>
      </c>
      <c r="L100" s="191" t="str">
        <f t="shared" si="29"/>
        <v/>
      </c>
      <c r="M100" s="191" t="str">
        <f t="shared" si="30"/>
        <v/>
      </c>
      <c r="N100" s="191">
        <f t="shared" ca="1" si="31"/>
        <v>-26169110.185282353</v>
      </c>
      <c r="O100" s="191">
        <f t="shared" ca="1" si="32"/>
        <v>-220819952.98974445</v>
      </c>
      <c r="P100" s="191">
        <f t="shared" ca="1" si="33"/>
        <v>0</v>
      </c>
      <c r="Q100" s="191">
        <f t="shared" ca="1" si="10"/>
        <v>0</v>
      </c>
      <c r="R100" s="191">
        <f t="shared" ca="1" si="34"/>
        <v>-45772898.647335999</v>
      </c>
      <c r="S100" s="191">
        <f ca="1">IF(B100="","",IF($B$31=0,"",-'Debt Financing Calculations'!E49))</f>
        <v>-9947222.0747797322</v>
      </c>
      <c r="T100" s="191">
        <f t="shared" ca="1" si="35"/>
        <v>45344502.748095334</v>
      </c>
      <c r="U100" s="191">
        <f ca="1">IF(C100="","",IF(C100&lt;-1,0,IF(C100=anal_period,-LOOKUP(C100,depr_yr,depr_cost)-Depreciation!$C$141-Depreciation!$B$166,-LOOKUP(C100,depr_yr,depr_cost))))</f>
        <v>-23616338.602392301</v>
      </c>
      <c r="V100" s="191">
        <f t="shared" ca="1" si="36"/>
        <v>21728164.145703033</v>
      </c>
      <c r="W100" s="192">
        <f t="shared" si="37"/>
        <v>0.25739999999999996</v>
      </c>
      <c r="X100" s="191">
        <f t="shared" ca="1" si="38"/>
        <v>-5592829.4511039602</v>
      </c>
      <c r="Y100" s="191">
        <f t="shared" ca="1" si="39"/>
        <v>39751673.296991371</v>
      </c>
      <c r="Z100" s="191">
        <f>IF(C100="","",IF($B$31=0,"",-'Debt Financing Calculations'!F49))</f>
        <v>0</v>
      </c>
      <c r="AA100" s="191">
        <f t="shared" ca="1" si="40"/>
        <v>10701471.26753756</v>
      </c>
      <c r="AB100" s="191">
        <f t="shared" ca="1" si="23"/>
        <v>466706014.10856616</v>
      </c>
      <c r="AC100" s="1158">
        <f t="shared" ca="1" si="41"/>
        <v>16294300.71864152</v>
      </c>
      <c r="AD100" s="138"/>
      <c r="AE100" s="1162">
        <f t="shared" ca="1" si="42"/>
        <v>124628629.5</v>
      </c>
      <c r="AF100" s="1158">
        <f t="shared" si="43"/>
        <v>0</v>
      </c>
    </row>
    <row r="101" spans="1:32" x14ac:dyDescent="0.25">
      <c r="A101" s="59">
        <f t="shared" si="21"/>
        <v>2048</v>
      </c>
      <c r="B101" s="189">
        <f>IF(MAX($B$65:B100)&lt;(construct+anal_period),B100+1,"")</f>
        <v>37</v>
      </c>
      <c r="C101" s="189">
        <f t="shared" si="22"/>
        <v>34</v>
      </c>
      <c r="D101" s="189">
        <f t="shared" si="25"/>
        <v>34</v>
      </c>
      <c r="E101" s="190">
        <f t="shared" si="26"/>
        <v>1.8610072807659841</v>
      </c>
      <c r="F101" s="61">
        <f t="shared" ca="1" si="27"/>
        <v>354666706.69149733</v>
      </c>
      <c r="G101" s="1171"/>
      <c r="H101" s="1180">
        <f t="shared" si="24"/>
        <v>0</v>
      </c>
      <c r="I101" s="191">
        <f ca="1">IF(OR(C101&lt;0,C101=""),"",-E101*INDEX('Replacement Costs'!$A$16:$H$57,MATCH(C101,'Replacement Costs'!$C$16:$C$57,0),MATCH("Total Yearly Replacement Costs",'Replacement Costs'!$A$16:$H$16,0)))</f>
        <v>-28416995.423526496</v>
      </c>
      <c r="J101" s="191">
        <f ca="1">IF(AND(C101&gt;=1,C101&lt;anal_period),WorkingCap*SUM(N101:R101)-WorkingCap*SUM(N100:R100),IF(C101&lt;0,0,IF(B101="","",-SUM(J$65:J100))))</f>
        <v>-1459555.9238662571</v>
      </c>
      <c r="K101" s="191" t="str">
        <f t="shared" si="28"/>
        <v/>
      </c>
      <c r="L101" s="191" t="str">
        <f t="shared" si="29"/>
        <v/>
      </c>
      <c r="M101" s="191" t="str">
        <f t="shared" si="30"/>
        <v/>
      </c>
      <c r="N101" s="191">
        <f t="shared" ca="1" si="31"/>
        <v>-26666323.278802712</v>
      </c>
      <c r="O101" s="191">
        <f t="shared" ca="1" si="32"/>
        <v>-229139966.17138979</v>
      </c>
      <c r="P101" s="191">
        <f t="shared" ca="1" si="33"/>
        <v>0</v>
      </c>
      <c r="Q101" s="191">
        <f t="shared" ca="1" si="10"/>
        <v>0</v>
      </c>
      <c r="R101" s="191">
        <f t="shared" ca="1" si="34"/>
        <v>-46686045.197945364</v>
      </c>
      <c r="S101" s="191">
        <f ca="1">IF(B101="","",IF($B$31=0,"",-'Debt Financing Calculations'!E50))</f>
        <v>-9947222.0747797322</v>
      </c>
      <c r="T101" s="191">
        <f t="shared" ca="1" si="35"/>
        <v>42227149.96857971</v>
      </c>
      <c r="U101" s="191">
        <f ca="1">IF(C101="","",IF(C101&lt;-1,0,IF(C101=anal_period,-LOOKUP(C101,depr_yr,depr_cost)-Depreciation!$C$141-Depreciation!$B$166,-LOOKUP(C101,depr_yr,depr_cost))))</f>
        <v>-24065049.035837751</v>
      </c>
      <c r="V101" s="191">
        <f t="shared" ca="1" si="36"/>
        <v>18162100.932741959</v>
      </c>
      <c r="W101" s="192">
        <f t="shared" si="37"/>
        <v>0.25739999999999996</v>
      </c>
      <c r="X101" s="191">
        <f t="shared" ca="1" si="38"/>
        <v>-4674924.7800877793</v>
      </c>
      <c r="Y101" s="191">
        <f t="shared" ca="1" si="39"/>
        <v>37552225.188491933</v>
      </c>
      <c r="Z101" s="191">
        <f>IF(C101="","",IF($B$31=0,"",-'Debt Financing Calculations'!F50))</f>
        <v>0</v>
      </c>
      <c r="AA101" s="191">
        <f t="shared" ca="1" si="40"/>
        <v>7675673.8410991775</v>
      </c>
      <c r="AB101" s="191">
        <f t="shared" ca="1" si="23"/>
        <v>474381687.94966537</v>
      </c>
      <c r="AC101" s="1158">
        <f t="shared" ca="1" si="41"/>
        <v>12350598.621186957</v>
      </c>
      <c r="AD101" s="138"/>
      <c r="AE101" s="1162">
        <f t="shared" ca="1" si="42"/>
        <v>124628629.5</v>
      </c>
      <c r="AF101" s="1158">
        <f t="shared" si="43"/>
        <v>0</v>
      </c>
    </row>
    <row r="102" spans="1:32" x14ac:dyDescent="0.25">
      <c r="A102" s="59">
        <f t="shared" si="21"/>
        <v>2049</v>
      </c>
      <c r="B102" s="189">
        <f>IF(MAX($B$65:B101)&lt;(construct+anal_period),B101+1,"")</f>
        <v>38</v>
      </c>
      <c r="C102" s="189">
        <f t="shared" si="22"/>
        <v>35</v>
      </c>
      <c r="D102" s="189">
        <f t="shared" si="25"/>
        <v>35</v>
      </c>
      <c r="E102" s="190">
        <f t="shared" si="26"/>
        <v>1.8963664191005378</v>
      </c>
      <c r="F102" s="61">
        <f t="shared" ca="1" si="27"/>
        <v>361405374.11863577</v>
      </c>
      <c r="G102" s="1171"/>
      <c r="H102" s="1180">
        <f t="shared" si="24"/>
        <v>0</v>
      </c>
      <c r="I102" s="191">
        <f ca="1">IF(OR(C102&lt;0,C102=""),"",-E102*INDEX('Replacement Costs'!$A$16:$H$57,MATCH(C102,'Replacement Costs'!$C$16:$C$57,0),MATCH("Total Yearly Replacement Costs",'Replacement Costs'!$A$16:$H$16,0)))</f>
        <v>-28956918.3365735</v>
      </c>
      <c r="J102" s="191">
        <f ca="1">IF(AND(C102&gt;=1,C102&lt;anal_period),WorkingCap*SUM(N102:R102)-WorkingCap*SUM(N101:R101),IF(C102&lt;0,0,IF(B102="","",-SUM(J$65:J101))))</f>
        <v>-1072979.6667920277</v>
      </c>
      <c r="K102" s="191" t="str">
        <f t="shared" si="28"/>
        <v/>
      </c>
      <c r="L102" s="191" t="str">
        <f t="shared" si="29"/>
        <v/>
      </c>
      <c r="M102" s="191" t="str">
        <f t="shared" si="30"/>
        <v/>
      </c>
      <c r="N102" s="191">
        <f t="shared" ca="1" si="31"/>
        <v>-27172983.421099965</v>
      </c>
      <c r="O102" s="191">
        <f t="shared" ca="1" si="32"/>
        <v>-234861098.66153771</v>
      </c>
      <c r="P102" s="191">
        <f t="shared" ca="1" si="33"/>
        <v>0</v>
      </c>
      <c r="Q102" s="191">
        <f t="shared" ca="1" si="10"/>
        <v>0</v>
      </c>
      <c r="R102" s="191">
        <f t="shared" ca="1" si="34"/>
        <v>-47611450.3441137</v>
      </c>
      <c r="S102" s="191">
        <f ca="1">IF(B102="","",IF($B$31=0,"",-'Debt Financing Calculations'!E51))</f>
        <v>-9947222.0747797322</v>
      </c>
      <c r="T102" s="191">
        <f t="shared" ca="1" si="35"/>
        <v>41812619.61710465</v>
      </c>
      <c r="U102" s="191">
        <f ca="1">IF(C102="","",IF(C102&lt;-1,0,IF(C102=anal_period,-LOOKUP(C102,depr_yr,depr_cost)-Depreciation!$C$141-Depreciation!$B$166,-LOOKUP(C102,depr_yr,depr_cost))))</f>
        <v>-24522284.967518672</v>
      </c>
      <c r="V102" s="191">
        <f t="shared" ca="1" si="36"/>
        <v>17290334.649585977</v>
      </c>
      <c r="W102" s="192">
        <f t="shared" si="37"/>
        <v>0.25739999999999996</v>
      </c>
      <c r="X102" s="191">
        <f t="shared" ca="1" si="38"/>
        <v>-4450532.1388034299</v>
      </c>
      <c r="Y102" s="191">
        <f t="shared" ca="1" si="39"/>
        <v>37362087.47830122</v>
      </c>
      <c r="Z102" s="191">
        <f>IF(C102="","",IF($B$31=0,"",-'Debt Financing Calculations'!F51))</f>
        <v>0</v>
      </c>
      <c r="AA102" s="191">
        <f t="shared" ca="1" si="40"/>
        <v>7332189.4749356918</v>
      </c>
      <c r="AB102" s="191">
        <f t="shared" ca="1" si="23"/>
        <v>481713877.42460108</v>
      </c>
      <c r="AC102" s="1158">
        <f t="shared" ca="1" si="41"/>
        <v>11782721.613739122</v>
      </c>
      <c r="AD102" s="138"/>
      <c r="AE102" s="1162">
        <f t="shared" ca="1" si="42"/>
        <v>124628629.5</v>
      </c>
      <c r="AF102" s="1158">
        <f t="shared" si="43"/>
        <v>0</v>
      </c>
    </row>
    <row r="103" spans="1:32" x14ac:dyDescent="0.25">
      <c r="A103" s="59">
        <f t="shared" si="21"/>
        <v>2050</v>
      </c>
      <c r="B103" s="189">
        <f>IF(MAX($B$65:B102)&lt;(construct+anal_period),B102+1,"")</f>
        <v>39</v>
      </c>
      <c r="C103" s="189">
        <f t="shared" si="22"/>
        <v>36</v>
      </c>
      <c r="D103" s="189">
        <f t="shared" si="25"/>
        <v>36</v>
      </c>
      <c r="E103" s="190">
        <f t="shared" si="26"/>
        <v>1.932397381063448</v>
      </c>
      <c r="F103" s="61">
        <f t="shared" ca="1" si="27"/>
        <v>368272076.22688991</v>
      </c>
      <c r="G103" s="1171"/>
      <c r="H103" s="1180">
        <f t="shared" si="24"/>
        <v>0</v>
      </c>
      <c r="I103" s="191">
        <f ca="1">IF(OR(C103&lt;0,C103=""),"",-E103*INDEX('Replacement Costs'!$A$16:$H$57,MATCH(C103,'Replacement Costs'!$C$16:$C$57,0),MATCH("Total Yearly Replacement Costs",'Replacement Costs'!$A$16:$H$16,0)))</f>
        <v>-29507099.784968399</v>
      </c>
      <c r="J103" s="191">
        <f ca="1">IF(AND(C103&gt;=1,C103&lt;anal_period),WorkingCap*SUM(N103:R103)-WorkingCap*SUM(N102:R102),IF(C103&lt;0,0,IF(B103="","",-SUM(J$65:J102))))</f>
        <v>-1342697.1818177998</v>
      </c>
      <c r="K103" s="191" t="str">
        <f t="shared" si="28"/>
        <v/>
      </c>
      <c r="L103" s="191" t="str">
        <f t="shared" si="29"/>
        <v/>
      </c>
      <c r="M103" s="191" t="str">
        <f t="shared" si="30"/>
        <v/>
      </c>
      <c r="N103" s="191">
        <f t="shared" ca="1" si="31"/>
        <v>-27689270.106100865</v>
      </c>
      <c r="O103" s="191">
        <f t="shared" ca="1" si="32"/>
        <v>-242353603.08887178</v>
      </c>
      <c r="P103" s="191">
        <f t="shared" ca="1" si="33"/>
        <v>0</v>
      </c>
      <c r="Q103" s="191">
        <f t="shared" ca="1" si="10"/>
        <v>0</v>
      </c>
      <c r="R103" s="191">
        <f t="shared" ca="1" si="34"/>
        <v>-48553973.777230762</v>
      </c>
      <c r="S103" s="191">
        <f ca="1">IF(B103="","",IF($B$31=0,"",-'Debt Financing Calculations'!E52))</f>
        <v>-9947222.0747797322</v>
      </c>
      <c r="T103" s="191">
        <f t="shared" ca="1" si="35"/>
        <v>39728007.179906785</v>
      </c>
      <c r="U103" s="191">
        <f ca="1">IF(C103="","",IF(C103&lt;-1,0,IF(C103=anal_period,-LOOKUP(C103,depr_yr,depr_cost)-Depreciation!$C$141-Depreciation!$B$166,-LOOKUP(C103,depr_yr,depr_cost))))</f>
        <v>-24988208.381901521</v>
      </c>
      <c r="V103" s="191">
        <f t="shared" ca="1" si="36"/>
        <v>14739798.798005264</v>
      </c>
      <c r="W103" s="192">
        <f t="shared" si="37"/>
        <v>0.25739999999999996</v>
      </c>
      <c r="X103" s="191">
        <f t="shared" ca="1" si="38"/>
        <v>-3794024.2106065545</v>
      </c>
      <c r="Y103" s="191">
        <f t="shared" ca="1" si="39"/>
        <v>35933982.969300233</v>
      </c>
      <c r="Z103" s="191">
        <f>IF(C103="","",IF($B$31=0,"",-'Debt Financing Calculations'!F52))</f>
        <v>0</v>
      </c>
      <c r="AA103" s="191">
        <f t="shared" ca="1" si="40"/>
        <v>5084186.0025140326</v>
      </c>
      <c r="AB103" s="191">
        <f t="shared" ca="1" si="23"/>
        <v>486798063.42711508</v>
      </c>
      <c r="AC103" s="1158">
        <f t="shared" ca="1" si="41"/>
        <v>8878210.2131205872</v>
      </c>
      <c r="AD103" s="138"/>
      <c r="AE103" s="1162">
        <f t="shared" ca="1" si="42"/>
        <v>124628629.5</v>
      </c>
      <c r="AF103" s="1158">
        <f t="shared" si="43"/>
        <v>0</v>
      </c>
    </row>
    <row r="104" spans="1:32" x14ac:dyDescent="0.25">
      <c r="A104" s="59">
        <f t="shared" si="21"/>
        <v>2051</v>
      </c>
      <c r="B104" s="189">
        <f>IF(MAX($B$65:B103)&lt;(construct+anal_period),B103+1,"")</f>
        <v>40</v>
      </c>
      <c r="C104" s="189">
        <f t="shared" si="22"/>
        <v>37</v>
      </c>
      <c r="D104" s="189">
        <f t="shared" si="25"/>
        <v>37</v>
      </c>
      <c r="E104" s="190">
        <f t="shared" si="26"/>
        <v>1.9691129313036535</v>
      </c>
      <c r="F104" s="61">
        <f t="shared" ca="1" si="27"/>
        <v>375269245.67520076</v>
      </c>
      <c r="G104" s="1171"/>
      <c r="H104" s="1180">
        <f t="shared" si="24"/>
        <v>0</v>
      </c>
      <c r="I104" s="191">
        <f ca="1">IF(OR(C104&lt;0,C104=""),"",-E104*INDEX('Replacement Costs'!$A$16:$H$57,MATCH(C104,'Replacement Costs'!$C$16:$C$57,0),MATCH("Total Yearly Replacement Costs",'Replacement Costs'!$A$16:$H$16,0)))</f>
        <v>-30067734.680882797</v>
      </c>
      <c r="J104" s="191">
        <f ca="1">IF(AND(C104&gt;=1,C104&lt;anal_period),WorkingCap*SUM(N104:R104)-WorkingCap*SUM(N103:R103),IF(C104&lt;0,0,IF(B104="","",-SUM(J$65:J103))))</f>
        <v>-1115643.3984084353</v>
      </c>
      <c r="K104" s="191" t="str">
        <f t="shared" si="28"/>
        <v/>
      </c>
      <c r="L104" s="191" t="str">
        <f t="shared" si="29"/>
        <v/>
      </c>
      <c r="M104" s="191" t="str">
        <f t="shared" si="30"/>
        <v/>
      </c>
      <c r="N104" s="191">
        <f t="shared" ca="1" si="31"/>
        <v>-28215366.238116782</v>
      </c>
      <c r="O104" s="191">
        <f t="shared" ca="1" si="32"/>
        <v>-248331247.1536375</v>
      </c>
      <c r="P104" s="191">
        <f t="shared" ca="1" si="33"/>
        <v>0</v>
      </c>
      <c r="Q104" s="191">
        <f t="shared" ca="1" si="10"/>
        <v>0</v>
      </c>
      <c r="R104" s="191">
        <f t="shared" ca="1" si="34"/>
        <v>-49487856.236505322</v>
      </c>
      <c r="S104" s="191">
        <f ca="1">IF(B104="","",IF($B$31=0,"",-'Debt Financing Calculations'!E53))</f>
        <v>-9947222.0747797322</v>
      </c>
      <c r="T104" s="191">
        <f t="shared" ca="1" si="35"/>
        <v>39287553.972161412</v>
      </c>
      <c r="U104" s="191">
        <f ca="1">IF(C104="","",IF(C104&lt;-1,0,IF(C104=anal_period,-LOOKUP(C104,depr_yr,depr_cost)-Depreciation!$C$141-Depreciation!$B$166,-LOOKUP(C104,depr_yr,depr_cost))))</f>
        <v>-25462984.341157656</v>
      </c>
      <c r="V104" s="191">
        <f t="shared" ca="1" si="36"/>
        <v>13824569.631003756</v>
      </c>
      <c r="W104" s="192">
        <f t="shared" si="37"/>
        <v>0.25739999999999996</v>
      </c>
      <c r="X104" s="191">
        <f t="shared" ca="1" si="38"/>
        <v>-3558444.2230203664</v>
      </c>
      <c r="Y104" s="191">
        <f t="shared" ca="1" si="39"/>
        <v>35729109.749141045</v>
      </c>
      <c r="Z104" s="191">
        <f>IF(C104="","",IF($B$31=0,"",-'Debt Financing Calculations'!F53))</f>
        <v>0</v>
      </c>
      <c r="AA104" s="191">
        <f t="shared" ca="1" si="40"/>
        <v>4545731.6698498139</v>
      </c>
      <c r="AB104" s="191">
        <f t="shared" ca="1" si="23"/>
        <v>491343795.0969649</v>
      </c>
      <c r="AC104" s="1158">
        <f t="shared" ca="1" si="41"/>
        <v>8104175.8928701803</v>
      </c>
      <c r="AD104" s="138"/>
      <c r="AE104" s="1162">
        <f t="shared" ca="1" si="42"/>
        <v>124628629.5</v>
      </c>
      <c r="AF104" s="1158">
        <f t="shared" si="43"/>
        <v>0</v>
      </c>
    </row>
    <row r="105" spans="1:32" x14ac:dyDescent="0.25">
      <c r="A105" s="59">
        <f t="shared" si="21"/>
        <v>2052</v>
      </c>
      <c r="B105" s="189">
        <f>IF(MAX($B$65:B104)&lt;(construct+anal_period),B104+1,"")</f>
        <v>41</v>
      </c>
      <c r="C105" s="189">
        <f t="shared" si="22"/>
        <v>38</v>
      </c>
      <c r="D105" s="189">
        <f t="shared" si="25"/>
        <v>38</v>
      </c>
      <c r="E105" s="190">
        <f t="shared" si="26"/>
        <v>2.0065260769984223</v>
      </c>
      <c r="F105" s="61">
        <f t="shared" ca="1" si="27"/>
        <v>382399361.3430295</v>
      </c>
      <c r="G105" s="1171"/>
      <c r="H105" s="1180">
        <f t="shared" si="24"/>
        <v>0</v>
      </c>
      <c r="I105" s="191">
        <f ca="1">IF(OR(C105&lt;0,C105=""),"",-E105*INDEX('Replacement Costs'!$A$16:$H$57,MATCH(C105,'Replacement Costs'!$C$16:$C$57,0),MATCH("Total Yearly Replacement Costs",'Replacement Costs'!$A$16:$H$16,0)))</f>
        <v>-30639021.639819559</v>
      </c>
      <c r="J105" s="191">
        <f ca="1">IF(AND(C105&gt;=1,C105&lt;anal_period),WorkingCap*SUM(N105:R105)-WorkingCap*SUM(N104:R104),IF(C105&lt;0,0,IF(B105="","",-SUM(J$65:J104))))</f>
        <v>-1141954.0397918075</v>
      </c>
      <c r="K105" s="191" t="str">
        <f t="shared" si="28"/>
        <v/>
      </c>
      <c r="L105" s="191" t="str">
        <f t="shared" si="29"/>
        <v/>
      </c>
      <c r="M105" s="191" t="str">
        <f t="shared" si="30"/>
        <v/>
      </c>
      <c r="N105" s="191">
        <f t="shared" ca="1" si="31"/>
        <v>-28751458.196640991</v>
      </c>
      <c r="O105" s="191">
        <f t="shared" ca="1" si="32"/>
        <v>-254456329.62290645</v>
      </c>
      <c r="P105" s="191">
        <f t="shared" ca="1" si="33"/>
        <v>0</v>
      </c>
      <c r="Q105" s="191">
        <f t="shared" ca="1" si="10"/>
        <v>0</v>
      </c>
      <c r="R105" s="191">
        <f t="shared" ca="1" si="34"/>
        <v>-50439708.740657546</v>
      </c>
      <c r="S105" s="191">
        <f ca="1">IF(B105="","",IF($B$31=0,"",-'Debt Financing Calculations'!E54))</f>
        <v>-9947222.0747797322</v>
      </c>
      <c r="T105" s="191">
        <f t="shared" ca="1" si="35"/>
        <v>38804642.708044767</v>
      </c>
      <c r="U105" s="191">
        <f ca="1">IF(C105="","",IF(C105&lt;-1,0,IF(C105=anal_period,-LOOKUP(C105,depr_yr,depr_cost)-Depreciation!$C$141-Depreciation!$B$166,-LOOKUP(C105,depr_yr,depr_cost))))</f>
        <v>-25946781.043639641</v>
      </c>
      <c r="V105" s="191">
        <f t="shared" ca="1" si="36"/>
        <v>12857861.664405126</v>
      </c>
      <c r="W105" s="192">
        <f t="shared" si="37"/>
        <v>0.25739999999999996</v>
      </c>
      <c r="X105" s="191">
        <f t="shared" ca="1" si="38"/>
        <v>-3309613.592417879</v>
      </c>
      <c r="Y105" s="191">
        <f t="shared" ca="1" si="39"/>
        <v>35495029.115626886</v>
      </c>
      <c r="Z105" s="191">
        <f>IF(C105="","",IF($B$31=0,"",-'Debt Financing Calculations'!F54))</f>
        <v>0</v>
      </c>
      <c r="AA105" s="191">
        <f t="shared" ca="1" si="40"/>
        <v>3714053.4360155221</v>
      </c>
      <c r="AB105" s="191">
        <f t="shared" ca="1" si="23"/>
        <v>495057848.53298044</v>
      </c>
      <c r="AC105" s="1158">
        <f t="shared" ca="1" si="41"/>
        <v>7023667.0284334011</v>
      </c>
      <c r="AD105" s="138"/>
      <c r="AE105" s="1162">
        <f t="shared" ca="1" si="42"/>
        <v>124628629.5</v>
      </c>
      <c r="AF105" s="1158">
        <f t="shared" si="43"/>
        <v>0</v>
      </c>
    </row>
    <row r="106" spans="1:32" x14ac:dyDescent="0.25">
      <c r="A106" s="59">
        <f t="shared" si="21"/>
        <v>2053</v>
      </c>
      <c r="B106" s="189">
        <f>IF(MAX($B$65:B105)&lt;(construct+anal_period),B105+1,"")</f>
        <v>42</v>
      </c>
      <c r="C106" s="189">
        <f t="shared" si="22"/>
        <v>39</v>
      </c>
      <c r="D106" s="189">
        <f t="shared" si="25"/>
        <v>39</v>
      </c>
      <c r="E106" s="190">
        <f t="shared" si="26"/>
        <v>2.0446500724613927</v>
      </c>
      <c r="F106" s="61">
        <f t="shared" ca="1" si="27"/>
        <v>389664949.20854712</v>
      </c>
      <c r="G106" s="1171"/>
      <c r="H106" s="1180">
        <f t="shared" si="24"/>
        <v>0</v>
      </c>
      <c r="I106" s="191">
        <f ca="1">IF(OR(C106&lt;0,C106=""),"",-E106*INDEX('Replacement Costs'!$A$16:$H$57,MATCH(C106,'Replacement Costs'!$C$16:$C$57,0),MATCH("Total Yearly Replacement Costs",'Replacement Costs'!$A$16:$H$16,0)))</f>
        <v>-31221163.050976139</v>
      </c>
      <c r="J106" s="191">
        <f ca="1">IF(AND(C106&gt;=1,C106&lt;anal_period),WorkingCap*SUM(N106:R106)-WorkingCap*SUM(N105:R105),IF(C106&lt;0,0,IF(B106="","",-SUM(J$65:J105))))</f>
        <v>-1168890.5447174981</v>
      </c>
      <c r="K106" s="191" t="str">
        <f t="shared" si="28"/>
        <v/>
      </c>
      <c r="L106" s="191" t="str">
        <f t="shared" si="29"/>
        <v/>
      </c>
      <c r="M106" s="191" t="str">
        <f t="shared" si="30"/>
        <v/>
      </c>
      <c r="N106" s="191">
        <f t="shared" ca="1" si="31"/>
        <v>-29297735.902377173</v>
      </c>
      <c r="O106" s="191">
        <f t="shared" ca="1" si="32"/>
        <v>-260732487.06032935</v>
      </c>
      <c r="P106" s="191">
        <f t="shared" ca="1" si="33"/>
        <v>0</v>
      </c>
      <c r="Q106" s="191">
        <f t="shared" ca="1" si="10"/>
        <v>0</v>
      </c>
      <c r="R106" s="191">
        <f t="shared" ca="1" si="34"/>
        <v>-51409877.228948466</v>
      </c>
      <c r="S106" s="191">
        <f ca="1">IF(B106="","",IF($B$31=0,"",-'Debt Financing Calculations'!E55))</f>
        <v>-9947222.0747797322</v>
      </c>
      <c r="T106" s="191">
        <f ca="1">IF(C106="","",F106+SUM(L106:S106))</f>
        <v>38277626.942112386</v>
      </c>
      <c r="U106" s="191">
        <f ca="1">IF(C106="","",IF(C106&lt;-1,0,IF(C106=anal_period,-LOOKUP(C106,depr_yr,depr_cost)-Depreciation!$C$141-Depreciation!$B$166,-LOOKUP(C106,depr_yr,depr_cost))))</f>
        <v>-26439769.883468796</v>
      </c>
      <c r="V106" s="191">
        <f t="shared" ca="1" si="36"/>
        <v>11837857.058643591</v>
      </c>
      <c r="W106" s="192">
        <f t="shared" si="37"/>
        <v>0.25739999999999996</v>
      </c>
      <c r="X106" s="191">
        <f t="shared" ca="1" si="38"/>
        <v>-3047064.4068948599</v>
      </c>
      <c r="Y106" s="191">
        <f t="shared" ca="1" si="39"/>
        <v>35230562.535217524</v>
      </c>
      <c r="Z106" s="191">
        <f>IF(C106="","",IF($B$31=0,"",-'Debt Financing Calculations'!F55))</f>
        <v>0</v>
      </c>
      <c r="AA106" s="191">
        <f t="shared" ca="1" si="40"/>
        <v>2840508.9395238897</v>
      </c>
      <c r="AB106" s="191">
        <f t="shared" ca="1" si="23"/>
        <v>497898357.47250432</v>
      </c>
      <c r="AC106" s="1158">
        <f ca="1">IF(C106="","",SUM(H106,I106,J106,K106,T106,Z106))</f>
        <v>5887573.3464187495</v>
      </c>
      <c r="AD106" s="138"/>
      <c r="AE106" s="1162">
        <f t="shared" ca="1" si="42"/>
        <v>124628629.5</v>
      </c>
      <c r="AF106" s="1158">
        <f t="shared" si="43"/>
        <v>0</v>
      </c>
    </row>
    <row r="107" spans="1:32" x14ac:dyDescent="0.25">
      <c r="A107" s="59">
        <f t="shared" si="21"/>
        <v>2054</v>
      </c>
      <c r="B107" s="189">
        <f>IF(MAX($B$65:B106)&lt;(construct+anal_period),B106+1,"")</f>
        <v>43</v>
      </c>
      <c r="C107" s="189">
        <f t="shared" si="22"/>
        <v>40</v>
      </c>
      <c r="D107" s="189">
        <f t="shared" si="25"/>
        <v>40</v>
      </c>
      <c r="E107" s="190">
        <f t="shared" si="26"/>
        <v>2.0834984238381593</v>
      </c>
      <c r="F107" s="61">
        <f t="shared" ca="1" si="27"/>
        <v>397068583.24350953</v>
      </c>
      <c r="G107" s="1171"/>
      <c r="H107" s="1180">
        <f t="shared" si="24"/>
        <v>0</v>
      </c>
      <c r="I107" s="191">
        <f ca="1">IF(OR(C107&lt;0,C107=""),"",-E107*INDEX('Replacement Costs'!$A$16:$H$57,MATCH(C107,'Replacement Costs'!$C$16:$C$57,0),MATCH("Total Yearly Replacement Costs",'Replacement Costs'!$A$16:$H$16,0)))</f>
        <v>-31814365.148944687</v>
      </c>
      <c r="J107" s="191">
        <f ca="1">IF(AND(C107&gt;=1,C107&lt;anal_period),WorkingCap*SUM(N107:R107)-WorkingCap*SUM(N106:R106),IF(C107&lt;0,0,IF(B107="","",-SUM(J$65:J106))))</f>
        <v>51216015.028748244</v>
      </c>
      <c r="K107" s="191" t="str">
        <f t="shared" si="28"/>
        <v/>
      </c>
      <c r="L107" s="191">
        <f t="shared" ca="1" si="29"/>
        <v>99004046.479310513</v>
      </c>
      <c r="M107" s="191">
        <f t="shared" ca="1" si="30"/>
        <v>-98778986.900511429</v>
      </c>
      <c r="N107" s="191">
        <f t="shared" ca="1" si="31"/>
        <v>-29854392.884522341</v>
      </c>
      <c r="O107" s="191">
        <f t="shared" ca="1" si="32"/>
        <v>-267163445.72528583</v>
      </c>
      <c r="P107" s="191">
        <f t="shared" ca="1" si="33"/>
        <v>0</v>
      </c>
      <c r="Q107" s="191">
        <f t="shared" ca="1" si="10"/>
        <v>0</v>
      </c>
      <c r="R107" s="191">
        <f t="shared" ca="1" si="34"/>
        <v>-52398714.303311415</v>
      </c>
      <c r="S107" s="191">
        <f ca="1">IF(B107="","",IF($B$31=0,"",-'Debt Financing Calculations'!E56))</f>
        <v>-9947222.0747797322</v>
      </c>
      <c r="T107" s="191">
        <f t="shared" ca="1" si="35"/>
        <v>37929867.834409297</v>
      </c>
      <c r="U107" s="191">
        <f ca="1">IF(C107="","",IF(C107&lt;-1,0,IF(C107=anal_period,-LOOKUP(C107,depr_yr,depr_cost)-Depreciation!$C$141-Depreciation!$B$166,-LOOKUP(C107,depr_yr,depr_cost))))</f>
        <v>-288248030.29052311</v>
      </c>
      <c r="V107" s="191">
        <f t="shared" ca="1" si="36"/>
        <v>-250318162.45611382</v>
      </c>
      <c r="W107" s="192">
        <f t="shared" si="37"/>
        <v>0.25739999999999996</v>
      </c>
      <c r="X107" s="191">
        <f t="shared" ca="1" si="38"/>
        <v>64431895.016203687</v>
      </c>
      <c r="Y107" s="191">
        <f t="shared" ca="1" si="39"/>
        <v>102361762.85061298</v>
      </c>
      <c r="Z107" s="191">
        <f ca="1">IF(C107="","",IF($B$31=0,"",-'Debt Financing Calculations'!F56))</f>
        <v>-268843839.85891169</v>
      </c>
      <c r="AA107" s="191">
        <f t="shared" ca="1" si="40"/>
        <v>-147080427.12849516</v>
      </c>
      <c r="AB107" s="191">
        <f t="shared" ca="1" si="23"/>
        <v>350817930.34400916</v>
      </c>
      <c r="AC107" s="1158">
        <f t="shared" ca="1" si="41"/>
        <v>-211512322.14469886</v>
      </c>
      <c r="AD107" s="138"/>
      <c r="AE107" s="1162">
        <f t="shared" ca="1" si="42"/>
        <v>124628629.5</v>
      </c>
      <c r="AF107" s="1158">
        <f t="shared" si="43"/>
        <v>0</v>
      </c>
    </row>
    <row r="108" spans="1:32" x14ac:dyDescent="0.25">
      <c r="A108" s="59" t="str">
        <f t="shared" si="21"/>
        <v/>
      </c>
      <c r="B108" s="189" t="str">
        <f>IF(MAX($B$65:B107)&lt;(construct+anal_period),B107+1,"")</f>
        <v/>
      </c>
      <c r="C108" s="189" t="str">
        <f t="shared" si="22"/>
        <v/>
      </c>
      <c r="D108" s="189" t="str">
        <f t="shared" si="25"/>
        <v/>
      </c>
      <c r="E108" s="190" t="str">
        <f t="shared" si="26"/>
        <v/>
      </c>
      <c r="F108" s="61" t="str">
        <f t="shared" si="27"/>
        <v/>
      </c>
      <c r="G108" s="1171"/>
      <c r="H108" s="1180" t="str">
        <f t="shared" si="24"/>
        <v/>
      </c>
      <c r="I108" s="191" t="str">
        <f>IF(OR(C108&lt;0,C108=""),"",-E108*INDEX('Replacement Costs'!$A$16:$H$57,MATCH(C108,'Replacement Costs'!$C$16:$C$57,0),MATCH("Total Yearly Replacement Costs",'Replacement Costs'!$A$16:$H$16,0)))</f>
        <v/>
      </c>
      <c r="J108" s="191" t="str">
        <f>IF(AND(C108&gt;=1,C108&lt;anal_period),WorkingCap*SUM(N108:R108)-WorkingCap*SUM(N107:R107),IF(C108&lt;0,0,IF(B108="","",-SUM(J$65:J107))))</f>
        <v/>
      </c>
      <c r="K108" s="191" t="str">
        <f t="shared" si="28"/>
        <v/>
      </c>
      <c r="L108" s="191" t="str">
        <f t="shared" si="29"/>
        <v/>
      </c>
      <c r="M108" s="191" t="str">
        <f t="shared" si="30"/>
        <v/>
      </c>
      <c r="N108" s="191" t="str">
        <f t="shared" si="31"/>
        <v/>
      </c>
      <c r="O108" s="191" t="str">
        <f t="shared" si="32"/>
        <v/>
      </c>
      <c r="P108" s="191" t="str">
        <f t="shared" si="33"/>
        <v/>
      </c>
      <c r="Q108" s="191" t="str">
        <f t="shared" si="10"/>
        <v/>
      </c>
      <c r="R108" s="191" t="str">
        <f t="shared" si="34"/>
        <v/>
      </c>
      <c r="S108" s="191" t="str">
        <f>IF(B108="","",IF($B$31=0,"",-'Debt Financing Calculations'!E57))</f>
        <v/>
      </c>
      <c r="T108" s="191" t="str">
        <f t="shared" si="35"/>
        <v/>
      </c>
      <c r="U108" s="191" t="str">
        <f>IF(C108="","",IF(C108&lt;-1,0,IF(C108=anal_period,-LOOKUP(C108,depr_yr,depr_cost)-Depreciation!$C$141-Depreciation!$B$166,-LOOKUP(C108,depr_yr,depr_cost))))</f>
        <v/>
      </c>
      <c r="V108" s="191" t="str">
        <f t="shared" si="36"/>
        <v/>
      </c>
      <c r="W108" s="192" t="str">
        <f t="shared" si="37"/>
        <v/>
      </c>
      <c r="X108" s="191" t="str">
        <f t="shared" si="38"/>
        <v/>
      </c>
      <c r="Y108" s="191" t="str">
        <f t="shared" si="39"/>
        <v/>
      </c>
      <c r="Z108" s="191" t="str">
        <f>IF(C108="","",IF($B$31=0,"",-'Debt Financing Calculations'!F57))</f>
        <v/>
      </c>
      <c r="AA108" s="191" t="str">
        <f t="shared" si="40"/>
        <v/>
      </c>
      <c r="AB108" s="191" t="str">
        <f t="shared" si="23"/>
        <v/>
      </c>
      <c r="AC108" s="1158" t="str">
        <f t="shared" si="41"/>
        <v/>
      </c>
      <c r="AD108" s="138"/>
      <c r="AE108" s="1162" t="str">
        <f t="shared" si="42"/>
        <v/>
      </c>
      <c r="AF108" s="1158" t="str">
        <f t="shared" si="43"/>
        <v/>
      </c>
    </row>
    <row r="109" spans="1:32" x14ac:dyDescent="0.25">
      <c r="A109" s="59" t="str">
        <f t="shared" si="21"/>
        <v/>
      </c>
      <c r="B109" s="189" t="str">
        <f>IF(MAX($B$65:B108)&lt;(construct+anal_period),B108+1,"")</f>
        <v/>
      </c>
      <c r="C109" s="189" t="str">
        <f t="shared" si="22"/>
        <v/>
      </c>
      <c r="D109" s="189" t="str">
        <f t="shared" si="25"/>
        <v/>
      </c>
      <c r="E109" s="190" t="str">
        <f t="shared" si="26"/>
        <v/>
      </c>
      <c r="F109" s="61" t="str">
        <f t="shared" si="27"/>
        <v/>
      </c>
      <c r="G109" s="1171"/>
      <c r="H109" s="1180" t="str">
        <f t="shared" si="24"/>
        <v/>
      </c>
      <c r="I109" s="191" t="str">
        <f>IF(OR(C109&lt;0,C109=""),"",-E109*INDEX('Replacement Costs'!$A$16:$H$57,MATCH(C109,'Replacement Costs'!$C$16:$C$57,0),MATCH("Total Yearly Replacement Costs",'Replacement Costs'!$A$16:$H$16,0)))</f>
        <v/>
      </c>
      <c r="J109" s="191" t="str">
        <f>IF(AND(C109&gt;=1,C109&lt;anal_period),WorkingCap*SUM(N109:R109)-WorkingCap*SUM(N108:R108),IF(C109&lt;0,0,IF(B109="","",-SUM(J$65:J108))))</f>
        <v/>
      </c>
      <c r="K109" s="191" t="str">
        <f t="shared" si="28"/>
        <v/>
      </c>
      <c r="L109" s="191" t="str">
        <f t="shared" si="29"/>
        <v/>
      </c>
      <c r="M109" s="191" t="str">
        <f t="shared" si="30"/>
        <v/>
      </c>
      <c r="N109" s="191" t="str">
        <f t="shared" si="31"/>
        <v/>
      </c>
      <c r="O109" s="191" t="str">
        <f t="shared" si="32"/>
        <v/>
      </c>
      <c r="P109" s="191" t="str">
        <f t="shared" si="33"/>
        <v/>
      </c>
      <c r="Q109" s="191" t="str">
        <f t="shared" si="10"/>
        <v/>
      </c>
      <c r="R109" s="191" t="str">
        <f t="shared" si="34"/>
        <v/>
      </c>
      <c r="S109" s="191" t="str">
        <f>IF(B109="","",IF($B$31=0,"",-'Debt Financing Calculations'!E58))</f>
        <v/>
      </c>
      <c r="T109" s="191" t="str">
        <f t="shared" si="35"/>
        <v/>
      </c>
      <c r="U109" s="191" t="str">
        <f>IF(C109="","",IF(C109&lt;-1,0,IF(C109=anal_period,-LOOKUP(C109,depr_yr,depr_cost)-Depreciation!$C$141-Depreciation!$B$166,-LOOKUP(C109,depr_yr,depr_cost))))</f>
        <v/>
      </c>
      <c r="V109" s="191" t="str">
        <f t="shared" si="36"/>
        <v/>
      </c>
      <c r="W109" s="192" t="str">
        <f t="shared" si="37"/>
        <v/>
      </c>
      <c r="X109" s="191" t="str">
        <f t="shared" si="38"/>
        <v/>
      </c>
      <c r="Y109" s="191" t="str">
        <f t="shared" si="39"/>
        <v/>
      </c>
      <c r="Z109" s="191" t="str">
        <f>IF(C109="","",IF($B$31=0,"",-'Debt Financing Calculations'!F58))</f>
        <v/>
      </c>
      <c r="AA109" s="191" t="str">
        <f t="shared" si="40"/>
        <v/>
      </c>
      <c r="AB109" s="191" t="str">
        <f t="shared" si="23"/>
        <v/>
      </c>
      <c r="AC109" s="1158" t="str">
        <f t="shared" si="41"/>
        <v/>
      </c>
      <c r="AD109" s="138"/>
      <c r="AE109" s="1162" t="str">
        <f t="shared" si="42"/>
        <v/>
      </c>
      <c r="AF109" s="1158" t="str">
        <f t="shared" si="43"/>
        <v/>
      </c>
    </row>
    <row r="110" spans="1:32" x14ac:dyDescent="0.25">
      <c r="A110" s="59" t="str">
        <f t="shared" si="21"/>
        <v/>
      </c>
      <c r="B110" s="189" t="str">
        <f>IF(MAX($B$65:B109)&lt;(construct+anal_period),B109+1,"")</f>
        <v/>
      </c>
      <c r="C110" s="189" t="str">
        <f t="shared" si="22"/>
        <v/>
      </c>
      <c r="D110" s="189" t="str">
        <f t="shared" si="25"/>
        <v/>
      </c>
      <c r="E110" s="190" t="str">
        <f t="shared" si="26"/>
        <v/>
      </c>
      <c r="F110" s="61" t="str">
        <f t="shared" si="27"/>
        <v/>
      </c>
      <c r="G110" s="1171"/>
      <c r="H110" s="1180" t="str">
        <f t="shared" si="24"/>
        <v/>
      </c>
      <c r="I110" s="191" t="str">
        <f>IF(OR(C110&lt;0,C110=""),"",-E110*INDEX('Replacement Costs'!$A$16:$H$57,MATCH(C110,'Replacement Costs'!$C$16:$C$57,0),MATCH("Total Yearly Replacement Costs",'Replacement Costs'!$A$16:$H$16,0)))</f>
        <v/>
      </c>
      <c r="J110" s="191" t="str">
        <f>IF(AND(C110&gt;=1,C110&lt;anal_period),WorkingCap*SUM(N110:R110)-WorkingCap*SUM(N109:R109),IF(C110&lt;0,0,IF(B110="","",-SUM(J$65:J109))))</f>
        <v/>
      </c>
      <c r="K110" s="191" t="str">
        <f t="shared" si="28"/>
        <v/>
      </c>
      <c r="L110" s="191" t="str">
        <f t="shared" si="29"/>
        <v/>
      </c>
      <c r="M110" s="191" t="str">
        <f t="shared" si="30"/>
        <v/>
      </c>
      <c r="N110" s="191" t="str">
        <f t="shared" si="31"/>
        <v/>
      </c>
      <c r="O110" s="191" t="str">
        <f>IF(C110="","",IF(C110&lt;0,0,IF(AND(C110=1,start_time&lt;1),-(SUM(B185:E185)*output_kgyear*E110*percnt_var*start_time+SUM(B185:E185)*output_kgyear*E110*(1-start_time)),IF(C110&lt;=start_time,-SUM(B185:E185)*output_kgyear*E110*percnt_var,-SUM(B185:E185)*output_kgyear*E110))))</f>
        <v/>
      </c>
      <c r="P110" s="191" t="str">
        <f t="shared" si="33"/>
        <v/>
      </c>
      <c r="Q110" s="191" t="str">
        <f>IF(C110="","",IF(C110&lt;0,0,IF(AND(C110=1,start_time&lt;1),SUM(K185:N185,T185:V185)*output_kgyear*E110*percnt_revs*start_time+SUM(K185:N185,T185:V185)*output_kgyear*E110*(1-start_time),IF(C110&lt;=start_time,SUM(K185:N185,T185:V185)*output_kgyear*E110*percnt_revs,SUM(K185:N185,T185:V185)*output_kgyear*E110))))</f>
        <v/>
      </c>
      <c r="R110" s="191" t="str">
        <f>IF(C110="","",IF(C110&lt;0,0,IF(AND(C110=1,start_time&lt;1),-((SUM(F185:J185,P185:R185)*output_kgyear+inflated_othervar)*E110*percnt_var*start_time+(SUM(F185:J185,P185:R185)*output_kgyear+inflated_othervar)*E110*(1-start_time)),IF(C110&lt;=start_time,-(SUM(F185:J185,P185:R185)*output_kgyear+inflated_othervar)*E110*percnt_var,-E110*(SUM(F185:J185,P185:R185)*output_kgyear+inflated_othervar)))))</f>
        <v/>
      </c>
      <c r="S110" s="191" t="str">
        <f>IF(B110="","",IF($B$31=0,"",-'Debt Financing Calculations'!E59))</f>
        <v/>
      </c>
      <c r="T110" s="191" t="str">
        <f t="shared" si="35"/>
        <v/>
      </c>
      <c r="U110" s="191" t="str">
        <f>IF(C110="","",IF(C110&lt;-1,0,IF(C110=anal_period,-LOOKUP(C110,depr_yr,depr_cost)-Depreciation!$C$141-Depreciation!$B$166,-LOOKUP(C110,depr_yr,depr_cost))))</f>
        <v/>
      </c>
      <c r="V110" s="191" t="str">
        <f t="shared" si="36"/>
        <v/>
      </c>
      <c r="W110" s="192" t="str">
        <f t="shared" si="37"/>
        <v/>
      </c>
      <c r="X110" s="191" t="str">
        <f t="shared" si="38"/>
        <v/>
      </c>
      <c r="Y110" s="191" t="str">
        <f t="shared" si="39"/>
        <v/>
      </c>
      <c r="Z110" s="191" t="str">
        <f>IF(C110="","",IF($B$31=0,"",-'Debt Financing Calculations'!F59))</f>
        <v/>
      </c>
      <c r="AA110" s="191" t="str">
        <f t="shared" si="40"/>
        <v/>
      </c>
      <c r="AB110" s="191" t="str">
        <f t="shared" si="23"/>
        <v/>
      </c>
      <c r="AC110" s="1158" t="str">
        <f t="shared" si="41"/>
        <v/>
      </c>
      <c r="AD110" s="138"/>
      <c r="AE110" s="1162" t="str">
        <f t="shared" si="42"/>
        <v/>
      </c>
      <c r="AF110" s="1158" t="str">
        <f t="shared" si="43"/>
        <v/>
      </c>
    </row>
    <row r="111" spans="1:32" x14ac:dyDescent="0.25">
      <c r="A111" s="59" t="str">
        <f t="shared" si="21"/>
        <v/>
      </c>
      <c r="B111" s="189" t="str">
        <f>IF(MAX($B$65:B110)&lt;(construct+anal_period),B110+1,"")</f>
        <v/>
      </c>
      <c r="C111" s="189" t="str">
        <f t="shared" si="22"/>
        <v/>
      </c>
      <c r="D111" s="189" t="str">
        <f t="shared" si="25"/>
        <v/>
      </c>
      <c r="E111" s="190" t="str">
        <f t="shared" si="26"/>
        <v/>
      </c>
      <c r="F111" s="61" t="str">
        <f t="shared" si="27"/>
        <v/>
      </c>
      <c r="G111" s="1171"/>
      <c r="H111" s="1180" t="str">
        <f t="shared" si="24"/>
        <v/>
      </c>
      <c r="I111" s="191" t="str">
        <f>IF(OR(C111&lt;0,C111=""),"",-E111*INDEX('Replacement Costs'!$A$16:$H$57,MATCH(C111,'Replacement Costs'!$C$16:$C$57,0),MATCH("Total Yearly Replacement Costs",'Replacement Costs'!$A$16:$H$16,0)))</f>
        <v/>
      </c>
      <c r="J111" s="191" t="str">
        <f>IF(AND(C111&gt;=1,C111&lt;anal_period),WorkingCap*SUM(N111:R111)-WorkingCap*SUM(N110:R110),IF(C111&lt;0,0,IF(B111="","",-SUM(J$65:J110))))</f>
        <v/>
      </c>
      <c r="K111" s="191" t="str">
        <f t="shared" si="28"/>
        <v/>
      </c>
      <c r="L111" s="191" t="str">
        <f t="shared" si="29"/>
        <v/>
      </c>
      <c r="M111" s="191" t="str">
        <f t="shared" si="30"/>
        <v/>
      </c>
      <c r="N111" s="191" t="str">
        <f t="shared" si="31"/>
        <v/>
      </c>
      <c r="O111" s="191" t="str">
        <f>IF(C111="","",IF(C111&lt;0,0,IF(AND(C111=1,start_time&lt;1),-(SUM(B278:E278)*output_kgyear*E111*percnt_var*start_time+SUM(B278:E278)*output_kgyear*E111*(1-start_time)),IF(C111&lt;=start_time,-SUM(B278:E278)*output_kgyear*E111*percnt_var,-SUM(B278:E278)*output_kgyear*E111))))</f>
        <v/>
      </c>
      <c r="P111" s="191" t="str">
        <f t="shared" si="33"/>
        <v/>
      </c>
      <c r="Q111" s="191" t="str">
        <f>IF(C111="","",IF(C111&lt;0,0,IF(AND(C111=1,start_time&lt;1),SUM(K278:N278,T278:V278)*output_kgyear*E111*percnt_revs*start_time+SUM(K278:N278,T278:V278)*output_kgyear*E111*(1-start_time),IF(C111&lt;=start_time,SUM(K278:N278,T278:V278)*output_kgyear*E111*percnt_revs,SUM(K278:N278,T278:V278)*output_kgyear*E111))))</f>
        <v/>
      </c>
      <c r="R111" s="191" t="str">
        <f>IF(C111="","",IF(C111&lt;0,0,IF(AND(C111=1,start_time&lt;1),-((SUM(F278:J278,P278:R278)*output_kgyear+inflated_othervar)*E111*percnt_var*start_time+(SUM(F278:J278,P278:R278)*output_kgyear+inflated_othervar)*E111*(1-start_time)),IF(C111&lt;=start_time,-(SUM(F278:J278,P278:R278)*output_kgyear+inflated_othervar)*E111*percnt_var,-E111*(SUM(F278:J278,P278:R278)*output_kgyear+inflated_othervar)))))</f>
        <v/>
      </c>
      <c r="S111" s="191" t="str">
        <f>IF(B111="","",IF($B$31=0,"",-'Debt Financing Calculations'!E60))</f>
        <v/>
      </c>
      <c r="T111" s="191" t="str">
        <f t="shared" si="35"/>
        <v/>
      </c>
      <c r="U111" s="191" t="str">
        <f>IF(C111="","",IF(C111&lt;-1,0,IF(C111=anal_period,-LOOKUP(C111,depr_yr,depr_cost)-Depreciation!$C$141-Depreciation!$B$166,-LOOKUP(C111,depr_yr,depr_cost))))</f>
        <v/>
      </c>
      <c r="V111" s="191" t="str">
        <f t="shared" si="36"/>
        <v/>
      </c>
      <c r="W111" s="192" t="str">
        <f t="shared" si="37"/>
        <v/>
      </c>
      <c r="X111" s="191" t="str">
        <f t="shared" si="38"/>
        <v/>
      </c>
      <c r="Y111" s="191" t="str">
        <f t="shared" si="39"/>
        <v/>
      </c>
      <c r="Z111" s="191" t="str">
        <f>IF(C111="","",IF($B$31=0,"",-'Debt Financing Calculations'!F60))</f>
        <v/>
      </c>
      <c r="AA111" s="191" t="str">
        <f t="shared" si="40"/>
        <v/>
      </c>
      <c r="AB111" s="191" t="str">
        <f t="shared" si="23"/>
        <v/>
      </c>
      <c r="AC111" s="1158" t="str">
        <f t="shared" si="41"/>
        <v/>
      </c>
      <c r="AD111" s="138"/>
      <c r="AE111" s="1162" t="str">
        <f t="shared" si="42"/>
        <v/>
      </c>
      <c r="AF111" s="1158" t="str">
        <f t="shared" si="43"/>
        <v/>
      </c>
    </row>
    <row r="112" spans="1:32" x14ac:dyDescent="0.25">
      <c r="A112" s="59" t="str">
        <f t="shared" si="21"/>
        <v/>
      </c>
      <c r="B112" s="189" t="str">
        <f>IF(MAX($B$65:B111)&lt;(construct+anal_period),B111+1,"")</f>
        <v/>
      </c>
      <c r="C112" s="189" t="str">
        <f t="shared" si="22"/>
        <v/>
      </c>
      <c r="D112" s="189" t="str">
        <f t="shared" si="25"/>
        <v/>
      </c>
      <c r="E112" s="190" t="str">
        <f t="shared" si="26"/>
        <v/>
      </c>
      <c r="F112" s="61" t="str">
        <f t="shared" si="27"/>
        <v/>
      </c>
      <c r="G112" s="1171"/>
      <c r="H112" s="1180" t="str">
        <f t="shared" si="24"/>
        <v/>
      </c>
      <c r="I112" s="191" t="str">
        <f>IF(OR(C112&lt;0,C112=""),"",-E112*INDEX('Replacement Costs'!$A$16:$H$57,MATCH(C112,'Replacement Costs'!$C$16:$C$57,0),MATCH("Total Yearly Replacement Costs",'Replacement Costs'!$A$16:$H$16,0)))</f>
        <v/>
      </c>
      <c r="J112" s="191" t="str">
        <f>IF(AND(C112&gt;=1,C112&lt;anal_period),WorkingCap*SUM(N112:R112)-WorkingCap*SUM(N111:R111),IF(C112&lt;0,0,IF(B112="","",-SUM(J$65:J111))))</f>
        <v/>
      </c>
      <c r="K112" s="191" t="str">
        <f t="shared" si="28"/>
        <v/>
      </c>
      <c r="L112" s="191" t="str">
        <f t="shared" si="29"/>
        <v/>
      </c>
      <c r="M112" s="191" t="str">
        <f t="shared" si="30"/>
        <v/>
      </c>
      <c r="N112" s="191" t="str">
        <f t="shared" si="31"/>
        <v/>
      </c>
      <c r="O112" s="191" t="str">
        <f>IF(C112="","",IF(C112&lt;0,0,IF(AND(C112=1,start_time&lt;1),-(SUM(B279:E279)*output_kgyear*E112*percnt_var*start_time+SUM(B279:E279)*output_kgyear*E112*(1-start_time)),IF(C112&lt;=start_time,-SUM(B279:E279)*output_kgyear*E112*percnt_var,-SUM(B279:E279)*output_kgyear*E112))))</f>
        <v/>
      </c>
      <c r="P112" s="191" t="str">
        <f t="shared" si="33"/>
        <v/>
      </c>
      <c r="Q112" s="191" t="str">
        <f>IF(C112="","",IF(C112&lt;0,0,IF(AND(C112=1,start_time&lt;1),SUM(K279:N279,T279:V279)*output_kgyear*E112*percnt_revs*start_time+SUM(K279:N279,T279:V279)*output_kgyear*E112*(1-start_time),IF(C112&lt;=start_time,SUM(K279:N279,T279:V279)*output_kgyear*E112*percnt_revs,SUM(K279:N279,T279:V279)*output_kgyear*E112))))</f>
        <v/>
      </c>
      <c r="R112" s="191" t="str">
        <f>IF(C112="","",IF(C112&lt;0,0,IF(AND(C112=1,start_time&lt;1),-((SUM(F279:J279,P279:R279)*output_kgyear+inflated_othervar)*E112*percnt_var*start_time+(SUM(F279:J279,P279:R279)*output_kgyear+inflated_othervar)*E112*(1-start_time)),IF(C112&lt;=start_time,-(SUM(F279:J279,P279:R279)*output_kgyear+inflated_othervar)*E112*percnt_var,-E112*(SUM(F279:J279,P279:R279)*output_kgyear+inflated_othervar)))))</f>
        <v/>
      </c>
      <c r="S112" s="191" t="str">
        <f>IF(B112="","",IF($B$31=0,"",-'Debt Financing Calculations'!E61))</f>
        <v/>
      </c>
      <c r="T112" s="191" t="str">
        <f t="shared" si="35"/>
        <v/>
      </c>
      <c r="U112" s="191" t="str">
        <f>IF(C112="","",IF(C112&lt;-1,0,IF(C112=anal_period,-LOOKUP(C112,depr_yr,depr_cost)-Depreciation!$C$141-Depreciation!$B$166,-LOOKUP(C112,depr_yr,depr_cost))))</f>
        <v/>
      </c>
      <c r="V112" s="191" t="str">
        <f t="shared" si="36"/>
        <v/>
      </c>
      <c r="W112" s="192" t="str">
        <f t="shared" si="37"/>
        <v/>
      </c>
      <c r="X112" s="191" t="str">
        <f t="shared" si="38"/>
        <v/>
      </c>
      <c r="Y112" s="191" t="str">
        <f t="shared" si="39"/>
        <v/>
      </c>
      <c r="Z112" s="191" t="str">
        <f>IF(C112="","",IF($B$31=0,"",-'Debt Financing Calculations'!F61))</f>
        <v/>
      </c>
      <c r="AA112" s="191" t="str">
        <f t="shared" si="40"/>
        <v/>
      </c>
      <c r="AB112" s="191" t="str">
        <f t="shared" si="23"/>
        <v/>
      </c>
      <c r="AC112" s="1158" t="str">
        <f t="shared" si="41"/>
        <v/>
      </c>
      <c r="AD112" s="138"/>
      <c r="AE112" s="1162" t="str">
        <f t="shared" si="42"/>
        <v/>
      </c>
      <c r="AF112" s="1158" t="str">
        <f t="shared" si="43"/>
        <v/>
      </c>
    </row>
    <row r="113" spans="1:33" ht="13" thickBot="1" x14ac:dyDescent="0.3">
      <c r="A113" s="63" t="str">
        <f t="shared" si="21"/>
        <v/>
      </c>
      <c r="B113" s="193" t="str">
        <f>IF(MAX($B$65:B112)&lt;(construct+anal_period),B112+1,"")</f>
        <v/>
      </c>
      <c r="C113" s="193" t="str">
        <f t="shared" si="22"/>
        <v/>
      </c>
      <c r="D113" s="193" t="str">
        <f t="shared" si="25"/>
        <v/>
      </c>
      <c r="E113" s="1165" t="str">
        <f t="shared" si="26"/>
        <v/>
      </c>
      <c r="F113" s="1166" t="str">
        <f t="shared" si="27"/>
        <v/>
      </c>
      <c r="G113" s="1173"/>
      <c r="H113" s="1182" t="str">
        <f t="shared" si="24"/>
        <v/>
      </c>
      <c r="I113" s="1167" t="str">
        <f>IF(OR(C113&lt;0,C113=""),"",-E113*INDEX('Replacement Costs'!$A$16:$H$57,MATCH(C113,'Replacement Costs'!$C$16:$C$57,0),MATCH("Total Yearly Replacement Costs",'Replacement Costs'!$A$16:$H$16,0)))</f>
        <v/>
      </c>
      <c r="J113" s="1167" t="str">
        <f>IF(AND(C113&gt;=1,C113&lt;anal_period),WorkingCap*SUM(N113:R113)-WorkingCap*SUM(N112:R112),IF(C113&lt;0,0,IF(B113="","",-SUM(J$65:J112))))</f>
        <v/>
      </c>
      <c r="K113" s="1167" t="str">
        <f t="shared" si="28"/>
        <v/>
      </c>
      <c r="L113" s="1167" t="str">
        <f t="shared" si="29"/>
        <v/>
      </c>
      <c r="M113" s="1167" t="str">
        <f t="shared" si="30"/>
        <v/>
      </c>
      <c r="N113" s="1167" t="str">
        <f t="shared" si="31"/>
        <v/>
      </c>
      <c r="O113" s="1167" t="str">
        <f>IF(C113="","",IF(C113&lt;0,0,IF(AND(C113=1,start_time&lt;1),-(SUM(B280:E280)*output_kgyear*E113*percnt_var*start_time+SUM(B280:E280)*output_kgyear*E113*(1-start_time)),IF(C113&lt;=start_time,-SUM(B280:E280)*output_kgyear*E113*percnt_var,-SUM(B280:E280)*output_kgyear*E113))))</f>
        <v/>
      </c>
      <c r="P113" s="1167" t="str">
        <f t="shared" si="33"/>
        <v/>
      </c>
      <c r="Q113" s="1167" t="str">
        <f>IF(C113="","",IF(C113&lt;0,0,IF(AND(C113=1,start_time&lt;1),SUM(K280:N280,T280:V280)*output_kgyear*E113*percnt_revs*start_time+SUM(K280:N280,T280:V280)*output_kgyear*E113*(1-start_time),IF(C113&lt;=start_time,SUM(K280:N280,T280:V280)*output_kgyear*E113*percnt_revs,SUM(K280:N280,T280:V280)*output_kgyear*E113))))</f>
        <v/>
      </c>
      <c r="R113" s="1167" t="str">
        <f>IF(C113="","",IF(C113&lt;0,0,IF(AND(C113=1,start_time&lt;1),-((SUM(F280:J280,P280:R280)*output_kgyear+inflated_othervar)*E113*percnt_var*start_time+(SUM(F280:J280,P280:R280)*output_kgyear+inflated_othervar)*E113*(1-start_time)),IF(C113&lt;=start_time,-(SUM(F280:J280,P280:R280)*output_kgyear+inflated_othervar)*E113*percnt_var,-E113*(SUM(F280:J280,P280:R280)*output_kgyear+inflated_othervar)))))</f>
        <v/>
      </c>
      <c r="S113" s="1167" t="str">
        <f>IF(B113="","",IF($B$31=0,"",-'Debt Financing Calculations'!E62))</f>
        <v/>
      </c>
      <c r="T113" s="1167" t="str">
        <f t="shared" si="35"/>
        <v/>
      </c>
      <c r="U113" s="1167" t="str">
        <f>IF(C113="","",IF(C113&lt;-1,0,IF(C113=anal_period,-LOOKUP(C113,depr_yr,depr_cost)-Depreciation!$C$141-Depreciation!$B$166,-LOOKUP(C113,depr_yr,depr_cost))))</f>
        <v/>
      </c>
      <c r="V113" s="1167" t="str">
        <f t="shared" si="36"/>
        <v/>
      </c>
      <c r="W113" s="1168" t="str">
        <f t="shared" si="37"/>
        <v/>
      </c>
      <c r="X113" s="1167" t="str">
        <f t="shared" si="38"/>
        <v/>
      </c>
      <c r="Y113" s="1167" t="str">
        <f t="shared" si="39"/>
        <v/>
      </c>
      <c r="Z113" s="1167" t="str">
        <f>IF(C113="","",IF($B$31=0,"",-'Debt Financing Calculations'!F62))</f>
        <v/>
      </c>
      <c r="AA113" s="1167" t="str">
        <f t="shared" si="40"/>
        <v/>
      </c>
      <c r="AB113" s="1167" t="str">
        <f t="shared" si="23"/>
        <v/>
      </c>
      <c r="AC113" s="1169" t="str">
        <f t="shared" si="41"/>
        <v/>
      </c>
      <c r="AD113" s="138"/>
      <c r="AE113" s="1164" t="str">
        <f t="shared" si="42"/>
        <v/>
      </c>
      <c r="AF113" s="1160" t="str">
        <f t="shared" si="43"/>
        <v/>
      </c>
    </row>
    <row r="114" spans="1:33" ht="13" thickTop="1" x14ac:dyDescent="0.25">
      <c r="A114" s="138"/>
      <c r="B114" s="138"/>
      <c r="C114" s="138"/>
      <c r="D114" s="138"/>
      <c r="E114" s="1183" t="s">
        <v>149</v>
      </c>
      <c r="F114" s="1184">
        <f t="shared" ref="F114:AC114" ca="1" si="44">SUM(F65:F113)</f>
        <v>11169714691.599178</v>
      </c>
      <c r="G114" s="1184">
        <f t="shared" ca="1" si="44"/>
        <v>-268843839.85891169</v>
      </c>
      <c r="H114" s="1184">
        <f t="shared" ca="1" si="44"/>
        <v>-183472571.71091211</v>
      </c>
      <c r="I114" s="1184">
        <f t="shared" ca="1" si="44"/>
        <v>-889687814.04741597</v>
      </c>
      <c r="J114" s="1184">
        <f t="shared" ca="1" si="44"/>
        <v>0</v>
      </c>
      <c r="K114" s="1184">
        <f t="shared" ca="1" si="44"/>
        <v>-1020896.6377014909</v>
      </c>
      <c r="L114" s="1184">
        <f t="shared" ca="1" si="44"/>
        <v>99004046.479310513</v>
      </c>
      <c r="M114" s="1184">
        <f t="shared" ca="1" si="44"/>
        <v>-98778986.900511429</v>
      </c>
      <c r="N114" s="1184">
        <f t="shared" ca="1" si="44"/>
        <v>-843399506.29743361</v>
      </c>
      <c r="O114" s="1184">
        <f t="shared" ca="1" si="44"/>
        <v>-6616890369.9741764</v>
      </c>
      <c r="P114" s="1184">
        <f t="shared" ca="1" si="44"/>
        <v>0</v>
      </c>
      <c r="Q114" s="1184">
        <f t="shared" ca="1" si="44"/>
        <v>0</v>
      </c>
      <c r="R114" s="1184">
        <f t="shared" ca="1" si="44"/>
        <v>-1466121904.5690069</v>
      </c>
      <c r="S114" s="1184">
        <f t="shared" ca="1" si="44"/>
        <v>-427730549.21552861</v>
      </c>
      <c r="T114" s="1184">
        <f t="shared" ca="1" si="44"/>
        <v>1815797421.1218321</v>
      </c>
      <c r="U114" s="1184">
        <f t="shared" ca="1" si="44"/>
        <v>-1342004225.61724</v>
      </c>
      <c r="V114" s="1184">
        <f t="shared" ca="1" si="44"/>
        <v>473793195.5045929</v>
      </c>
      <c r="W114" s="1184">
        <f t="shared" si="44"/>
        <v>11.068200000000001</v>
      </c>
      <c r="X114" s="1184">
        <f t="shared" ca="1" si="44"/>
        <v>-121954368.52288218</v>
      </c>
      <c r="Y114" s="1184">
        <f t="shared" ca="1" si="44"/>
        <v>1693843052.5989504</v>
      </c>
      <c r="Z114" s="1184">
        <f t="shared" ca="1" si="44"/>
        <v>-268843839.85891169</v>
      </c>
      <c r="AA114" s="1184">
        <f t="shared" ca="1" si="44"/>
        <v>350817930.34400916</v>
      </c>
      <c r="AB114" s="1184">
        <f t="shared" ca="1" si="44"/>
        <v>8912186341.9240761</v>
      </c>
      <c r="AC114" s="1185">
        <f t="shared" ca="1" si="44"/>
        <v>472772298.86689126</v>
      </c>
      <c r="AD114" s="138"/>
    </row>
    <row r="115" spans="1:33" ht="13" thickBot="1" x14ac:dyDescent="0.3">
      <c r="E115" s="1186" t="s">
        <v>150</v>
      </c>
      <c r="F115" s="1167">
        <f t="shared" ref="F115:AC115" ca="1" si="45">NPV(nominal_irr,F65:F113)</f>
        <v>1608242386.2638793</v>
      </c>
      <c r="G115" s="1167">
        <f t="shared" ca="1" si="45"/>
        <v>-244288009.17649084</v>
      </c>
      <c r="H115" s="1167">
        <f t="shared" ca="1" si="45"/>
        <v>-148185754.22674888</v>
      </c>
      <c r="I115" s="1167">
        <f t="shared" ca="1" si="45"/>
        <v>-125268542.34790881</v>
      </c>
      <c r="J115" s="1167">
        <f t="shared" ca="1" si="45"/>
        <v>-16189351.320339963</v>
      </c>
      <c r="K115" s="1167">
        <f t="shared" ca="1" si="45"/>
        <v>-927649.32731934986</v>
      </c>
      <c r="L115" s="1167">
        <f t="shared" ca="1" si="45"/>
        <v>1610428.8687488344</v>
      </c>
      <c r="M115" s="1167">
        <f t="shared" ca="1" si="45"/>
        <v>-1606767.9836054961</v>
      </c>
      <c r="N115" s="1167">
        <f t="shared" ca="1" si="45"/>
        <v>-123361008.72108836</v>
      </c>
      <c r="O115" s="1167">
        <f t="shared" ca="1" si="45"/>
        <v>-851742051.81544983</v>
      </c>
      <c r="P115" s="1167">
        <f t="shared" ca="1" si="45"/>
        <v>0</v>
      </c>
      <c r="Q115" s="1167">
        <f t="shared" ca="1" si="45"/>
        <v>0</v>
      </c>
      <c r="R115" s="1167">
        <f t="shared" ca="1" si="45"/>
        <v>-212216473.0346691</v>
      </c>
      <c r="S115" s="1167">
        <f t="shared" ca="1" si="45"/>
        <v>-97347966.9906791</v>
      </c>
      <c r="T115" s="1167">
        <f t="shared" ca="1" si="45"/>
        <v>323578546.58713722</v>
      </c>
      <c r="U115" s="1167">
        <f t="shared" ca="1" si="45"/>
        <v>-212334737.01305822</v>
      </c>
      <c r="V115" s="1167">
        <f t="shared" ca="1" si="45"/>
        <v>111243809.57407866</v>
      </c>
      <c r="W115" s="1167">
        <f t="shared" ca="1" si="45"/>
        <v>2.5190315964626389</v>
      </c>
      <c r="X115" s="1167">
        <f t="shared" ca="1" si="45"/>
        <v>-28634156.584367841</v>
      </c>
      <c r="Y115" s="1167">
        <f t="shared" ca="1" si="45"/>
        <v>294944390.00276887</v>
      </c>
      <c r="Z115" s="1167">
        <f t="shared" ca="1" si="45"/>
        <v>-4373092.7804507166</v>
      </c>
      <c r="AA115" s="1167">
        <f t="shared" ca="1" si="45"/>
        <v>1.3074668136707323E-6</v>
      </c>
      <c r="AB115" s="1167">
        <f t="shared" ca="1" si="45"/>
        <v>-56769870.555583872</v>
      </c>
      <c r="AC115" s="1169">
        <f t="shared" ca="1" si="45"/>
        <v>28634156.584369171</v>
      </c>
      <c r="AD115" s="138"/>
    </row>
    <row r="116" spans="1:33" ht="13" thickBot="1" x14ac:dyDescent="0.3">
      <c r="D116" s="195"/>
      <c r="E116" s="1187" t="s">
        <v>1118</v>
      </c>
      <c r="F116" s="1188">
        <f t="shared" ref="F116:AC116" ca="1" si="46">+F65+NPV($X$59,F66:F113)</f>
        <v>1769902910.9311252</v>
      </c>
      <c r="G116" s="1188">
        <f t="shared" ca="1" si="46"/>
        <v>-268843839.85891169</v>
      </c>
      <c r="H116" s="1188">
        <f ca="1">+H65+NPV($X$59,H66:H113)</f>
        <v>-163081386.2416217</v>
      </c>
      <c r="I116" s="1188">
        <f t="shared" ca="1" si="46"/>
        <v>-137860536.22472066</v>
      </c>
      <c r="J116" s="1188">
        <f t="shared" ca="1" si="46"/>
        <v>-17816704.915060546</v>
      </c>
      <c r="K116" s="1188">
        <f t="shared" ca="1" si="46"/>
        <v>-1020896.6377014909</v>
      </c>
      <c r="L116" s="1188">
        <f t="shared" ca="1" si="46"/>
        <v>1772309.1786354671</v>
      </c>
      <c r="M116" s="1188">
        <f t="shared" ca="1" si="46"/>
        <v>-1768280.3013175204</v>
      </c>
      <c r="N116" s="1188">
        <f t="shared" ca="1" si="46"/>
        <v>-135761257.31773213</v>
      </c>
      <c r="O116" s="1188">
        <f t="shared" ca="1" si="46"/>
        <v>-937359162.86393857</v>
      </c>
      <c r="P116" s="1188">
        <f t="shared" ca="1" si="46"/>
        <v>0</v>
      </c>
      <c r="Q116" s="1188">
        <f t="shared" ca="1" si="46"/>
        <v>0</v>
      </c>
      <c r="R116" s="1188">
        <f t="shared" ca="1" si="46"/>
        <v>-233548472.90411404</v>
      </c>
      <c r="S116" s="1188">
        <f t="shared" ca="1" si="46"/>
        <v>-107133384.63258216</v>
      </c>
      <c r="T116" s="1188">
        <f t="shared" ca="1" si="46"/>
        <v>356104662.09007579</v>
      </c>
      <c r="U116" s="1188">
        <f t="shared" ca="1" si="46"/>
        <v>-233678624.77761087</v>
      </c>
      <c r="V116" s="1188">
        <f t="shared" ca="1" si="46"/>
        <v>122426037.31246503</v>
      </c>
      <c r="W116" s="1188">
        <f t="shared" ca="1" si="46"/>
        <v>2.7722446525390634</v>
      </c>
      <c r="X116" s="1188">
        <f t="shared" ca="1" si="46"/>
        <v>-31512462.004228491</v>
      </c>
      <c r="Y116" s="1188">
        <f t="shared" ca="1" si="46"/>
        <v>324592200.08584744</v>
      </c>
      <c r="Z116" s="1188">
        <f t="shared" ca="1" si="46"/>
        <v>-4812676.0667416221</v>
      </c>
      <c r="AA116" s="1188">
        <f t="shared" ca="1" si="46"/>
        <v>1.4640390872955322E-6</v>
      </c>
      <c r="AB116" s="1188">
        <f t="shared" ca="1" si="46"/>
        <v>-62476377.943831086</v>
      </c>
      <c r="AC116" s="1189">
        <f t="shared" ca="1" si="46"/>
        <v>31512462.004229933</v>
      </c>
      <c r="AD116" s="1190"/>
      <c r="AE116" s="1191">
        <f ca="1">+AE65+NPV(real_irr,AE66:AE113)</f>
        <v>1224665447.1183949</v>
      </c>
      <c r="AF116" s="1192">
        <f ca="1">+AF65+NPV($X$59,AF66:AF113)</f>
        <v>0</v>
      </c>
      <c r="AG116" s="1193"/>
    </row>
    <row r="117" spans="1:33" ht="16.5" thickTop="1" thickBot="1" x14ac:dyDescent="0.4">
      <c r="A117" s="49" t="s">
        <v>79</v>
      </c>
      <c r="B117" s="153"/>
      <c r="C117" s="153"/>
      <c r="D117" s="153"/>
      <c r="E117" s="1194" t="s">
        <v>1174</v>
      </c>
      <c r="F117" s="1208"/>
      <c r="G117" s="1208"/>
      <c r="H117" s="1208">
        <f ca="1">-H116/$AE$116*(1+inflation_rate)^construct/INFLATION_FACTOR</f>
        <v>0.1435766003247316</v>
      </c>
      <c r="I117" s="1208">
        <f ca="1">-I116/$AE$116*(1+inflation_rate)^construct/INFLATION_FACTOR</f>
        <v>0.12137220296106475</v>
      </c>
      <c r="J117" s="1208">
        <f ca="1">-J116/$AE$116*(1+inflation_rate)^construct/INFLATION_FACTOR</f>
        <v>1.5685799462749842E-2</v>
      </c>
      <c r="K117" s="1208">
        <f ca="1">-K116/$AE$116*(1+inflation_rate)^construct/INFLATION_FACTOR</f>
        <v>8.987958215351488E-4</v>
      </c>
      <c r="L117" s="1208"/>
      <c r="M117" s="1208">
        <f ca="1">-M116/$AE$116*(1+inflation_rate)^construct/INFLATION_FACTOR</f>
        <v>1.5567912435341155E-3</v>
      </c>
      <c r="N117" s="1208">
        <f ca="1">-N116/$AE$116*(1+inflation_rate)^construct/INFLATION_FACTOR</f>
        <v>0.11952400105681882</v>
      </c>
      <c r="O117" s="1208">
        <f ca="1">-O116/$AE$116*(1+inflation_rate)^construct/INFLATION_FACTOR</f>
        <v>0.82524955783637077</v>
      </c>
      <c r="P117" s="1208">
        <f ca="1">-P116/$AE$116*(1+inflation_rate)^construct/INFLATION_FACTOR</f>
        <v>0</v>
      </c>
      <c r="Q117" s="1208"/>
      <c r="R117" s="1208">
        <f ca="1">-R116/$AE$116*(1+inflation_rate)^construct/INFLATION_FACTOR</f>
        <v>0.20561571448089225</v>
      </c>
      <c r="S117" s="1208">
        <f ca="1">-S116/$AE$116*(1+inflation_rate)^construct/INFLATION_FACTOR</f>
        <v>9.432006620325277E-2</v>
      </c>
      <c r="T117" s="1208"/>
      <c r="U117" s="1208"/>
      <c r="V117" s="1208"/>
      <c r="W117" s="1208"/>
      <c r="X117" s="1208">
        <f ca="1">-X116/$AE$116*(1+inflation_rate)^construct/INFLATION_FACTOR</f>
        <v>2.7743522830533017E-2</v>
      </c>
      <c r="Y117" s="1208"/>
      <c r="Z117" s="1208">
        <f ca="1">-Z116/$AE$116*(1+inflation_rate)^construct/INFLATION_FACTOR</f>
        <v>4.2370725688043549E-3</v>
      </c>
      <c r="AA117" s="1208"/>
      <c r="AB117" s="1208"/>
      <c r="AC117" s="1209"/>
      <c r="AD117" s="1210"/>
      <c r="AE117" s="1211"/>
      <c r="AF117" s="1211"/>
      <c r="AG117" s="1209">
        <f ca="1">+SUM(F117:AC117)</f>
        <v>1.5597801247902876</v>
      </c>
    </row>
    <row r="118" spans="1:33" ht="15" customHeight="1" thickTop="1" thickBot="1" x14ac:dyDescent="0.35">
      <c r="A118" s="55" t="s">
        <v>80</v>
      </c>
      <c r="B118" s="57" t="s">
        <v>151</v>
      </c>
      <c r="C118" s="57" t="s">
        <v>152</v>
      </c>
      <c r="D118" s="1091" t="s">
        <v>153</v>
      </c>
      <c r="E118" s="1195" t="s">
        <v>1175</v>
      </c>
      <c r="F118" s="1212">
        <f ca="1">F116/$AE$116*(1+inflation_rate)^construct/INFLATION_FACTOR</f>
        <v>1.5582197865293927</v>
      </c>
      <c r="G118" s="1212"/>
      <c r="H118" s="1212"/>
      <c r="I118" s="1212"/>
      <c r="J118" s="1212"/>
      <c r="K118" s="1212"/>
      <c r="L118" s="1212">
        <f ca="1">L116/$AE$116*(1+inflation_rate)^construct/INFLATION_FACTOR</f>
        <v>1.5603382608962266E-3</v>
      </c>
      <c r="M118" s="1212"/>
      <c r="N118" s="1212"/>
      <c r="O118" s="1212"/>
      <c r="P118" s="1212"/>
      <c r="Q118" s="1212">
        <f ca="1">Q116/$AE$116*(1+inflation_rate)^construct/INFLATION_FACTOR</f>
        <v>0</v>
      </c>
      <c r="R118" s="1212"/>
      <c r="S118" s="1212"/>
      <c r="T118" s="1212"/>
      <c r="U118" s="1212"/>
      <c r="V118" s="1212"/>
      <c r="W118" s="1212"/>
      <c r="X118" s="1212"/>
      <c r="Y118" s="1212"/>
      <c r="Z118" s="1212"/>
      <c r="AA118" s="1212"/>
      <c r="AB118" s="1212"/>
      <c r="AC118" s="1213"/>
      <c r="AD118" s="1214"/>
      <c r="AE118" s="1215"/>
      <c r="AF118" s="1215"/>
      <c r="AG118" s="1213">
        <f ca="1">+SUM(F118:AC118)</f>
        <v>1.5597801247902889</v>
      </c>
    </row>
    <row r="119" spans="1:33" ht="15" customHeight="1" x14ac:dyDescent="0.25">
      <c r="A119" s="198" t="s">
        <v>154</v>
      </c>
      <c r="B119" s="191">
        <f ca="1">(SUM(H115:K115)+L115*(1-total_tax_rate)+S115*(1-total_tax_rate)+U115*(-total_tax_rate)+Z115)/(1-total_tax_rate)</f>
        <v>-419316084.70906538</v>
      </c>
      <c r="C119" s="199">
        <f t="shared" ref="C119:C125" ca="1" si="47">B119/SUM($B$118:$B$125)</f>
        <v>0.26072940763810004</v>
      </c>
      <c r="D119" s="200">
        <f t="shared" ref="D119:D125" ca="1" si="48">H2_price_real*C119</f>
        <v>0.4062737219117748</v>
      </c>
      <c r="E119" s="196"/>
    </row>
    <row r="120" spans="1:33" ht="15" customHeight="1" x14ac:dyDescent="0.25">
      <c r="A120" s="198" t="s">
        <v>84</v>
      </c>
      <c r="B120" s="191">
        <f ca="1">M115</f>
        <v>-1606767.9836054961</v>
      </c>
      <c r="C120" s="199">
        <f t="shared" ca="1" si="47"/>
        <v>9.9908322111705609E-4</v>
      </c>
      <c r="D120" s="200">
        <f t="shared" ca="1" si="48"/>
        <v>1.5567912435341155E-3</v>
      </c>
      <c r="E120" s="196"/>
      <c r="V120" s="155"/>
      <c r="W120" s="138"/>
      <c r="X120" s="138"/>
      <c r="Y120" s="138"/>
    </row>
    <row r="121" spans="1:33" ht="15" customHeight="1" x14ac:dyDescent="0.25">
      <c r="A121" s="198" t="s">
        <v>85</v>
      </c>
      <c r="B121" s="191">
        <f ca="1">N115</f>
        <v>-123361008.72108836</v>
      </c>
      <c r="C121" s="199">
        <f t="shared" ca="1" si="47"/>
        <v>7.6705482814483833E-2</v>
      </c>
      <c r="D121" s="200">
        <f t="shared" ca="1" si="48"/>
        <v>0.11952400105681886</v>
      </c>
      <c r="E121" s="196"/>
      <c r="V121" s="155"/>
      <c r="W121" s="138"/>
      <c r="X121" s="138"/>
      <c r="Y121" s="138"/>
    </row>
    <row r="122" spans="1:33" ht="15" customHeight="1" x14ac:dyDescent="0.25">
      <c r="A122" s="198" t="s">
        <v>1004</v>
      </c>
      <c r="B122" s="191">
        <f ca="1">O115</f>
        <v>-851742051.81544983</v>
      </c>
      <c r="C122" s="199">
        <f t="shared" ca="1" si="47"/>
        <v>0.52961049844864438</v>
      </c>
      <c r="D122" s="200">
        <f t="shared" ca="1" si="48"/>
        <v>0.82524955783637099</v>
      </c>
      <c r="E122" s="196"/>
      <c r="V122" s="155"/>
      <c r="W122" s="138"/>
      <c r="X122" s="138"/>
      <c r="Y122" s="138"/>
    </row>
    <row r="123" spans="1:33" ht="15" customHeight="1" x14ac:dyDescent="0.25">
      <c r="A123" s="198" t="s">
        <v>86</v>
      </c>
      <c r="B123" s="191">
        <f ca="1">P115</f>
        <v>0</v>
      </c>
      <c r="C123" s="199">
        <f t="shared" ca="1" si="47"/>
        <v>0</v>
      </c>
      <c r="D123" s="200">
        <f t="shared" ca="1" si="48"/>
        <v>0</v>
      </c>
      <c r="E123" s="196"/>
      <c r="V123" s="155"/>
      <c r="W123" s="138"/>
      <c r="X123" s="138"/>
      <c r="Y123" s="138"/>
    </row>
    <row r="124" spans="1:33" ht="15" customHeight="1" x14ac:dyDescent="0.25">
      <c r="A124" s="198" t="s">
        <v>87</v>
      </c>
      <c r="B124" s="191">
        <f ca="1">Q115</f>
        <v>0</v>
      </c>
      <c r="C124" s="199">
        <f t="shared" ca="1" si="47"/>
        <v>0</v>
      </c>
      <c r="D124" s="200">
        <f t="shared" ca="1" si="48"/>
        <v>0</v>
      </c>
      <c r="E124" s="196"/>
      <c r="V124" s="155"/>
      <c r="W124" s="138"/>
      <c r="X124" s="138"/>
      <c r="Y124" s="138"/>
    </row>
    <row r="125" spans="1:33" ht="29.25" customHeight="1" thickBot="1" x14ac:dyDescent="0.3">
      <c r="A125" s="201" t="s">
        <v>88</v>
      </c>
      <c r="B125" s="194">
        <f ca="1">R115</f>
        <v>-212216473.0346691</v>
      </c>
      <c r="C125" s="202">
        <f t="shared" ca="1" si="47"/>
        <v>0.13195552787765472</v>
      </c>
      <c r="D125" s="203">
        <f t="shared" ca="1" si="48"/>
        <v>0.20561571448089222</v>
      </c>
      <c r="E125" s="196"/>
      <c r="V125" s="155"/>
      <c r="W125" s="138"/>
      <c r="X125" s="138"/>
      <c r="Y125" s="138"/>
    </row>
    <row r="126" spans="1:33" ht="15" customHeight="1" thickTop="1" x14ac:dyDescent="0.25">
      <c r="D126" s="195"/>
      <c r="E126" s="196"/>
      <c r="K126"/>
      <c r="L126"/>
      <c r="M126"/>
      <c r="V126" s="155"/>
      <c r="W126" s="138"/>
      <c r="X126" s="138"/>
      <c r="Y126" s="138"/>
    </row>
    <row r="127" spans="1:33" ht="15" customHeight="1" x14ac:dyDescent="0.25">
      <c r="D127" s="195"/>
      <c r="E127" s="196"/>
      <c r="K127"/>
      <c r="L127"/>
      <c r="M127"/>
      <c r="V127" s="155"/>
      <c r="W127" s="138"/>
      <c r="X127" s="138"/>
      <c r="Y127" s="138"/>
    </row>
    <row r="128" spans="1:33" ht="42.75" customHeight="1" thickBot="1" x14ac:dyDescent="0.3">
      <c r="A128" s="232" t="s">
        <v>261</v>
      </c>
      <c r="B128" s="421">
        <f>(1+inflation_rate)^(startup_year-ref_year)</f>
        <v>0.9813542688910698</v>
      </c>
      <c r="P128" s="845"/>
    </row>
    <row r="129" spans="1:22" ht="51.75" customHeight="1" thickBot="1" x14ac:dyDescent="0.4">
      <c r="A129" s="204" t="s">
        <v>155</v>
      </c>
      <c r="B129" s="205"/>
      <c r="C129" s="205"/>
      <c r="D129" s="205"/>
      <c r="E129" s="205"/>
      <c r="F129" s="205"/>
      <c r="G129" s="205"/>
      <c r="H129" s="205"/>
      <c r="I129" s="205"/>
      <c r="J129" s="205"/>
      <c r="K129" s="205"/>
      <c r="L129" s="205"/>
      <c r="M129" s="205"/>
      <c r="N129" s="205"/>
      <c r="O129" s="205"/>
      <c r="P129" s="844"/>
      <c r="Q129" s="205"/>
      <c r="R129" s="205"/>
      <c r="S129" s="205"/>
      <c r="T129" s="205"/>
      <c r="U129" s="205"/>
      <c r="V129" s="240"/>
    </row>
    <row r="130" spans="1:22" ht="31.9" customHeight="1" thickTop="1" thickBot="1" x14ac:dyDescent="0.4">
      <c r="A130" s="378"/>
      <c r="B130" s="206" t="s">
        <v>67</v>
      </c>
      <c r="C130" s="234"/>
      <c r="D130" s="234"/>
      <c r="E130" s="153"/>
      <c r="F130" s="207" t="s">
        <v>68</v>
      </c>
      <c r="G130" s="234"/>
      <c r="H130" s="234"/>
      <c r="I130" s="235"/>
      <c r="J130" s="599" t="s">
        <v>1002</v>
      </c>
      <c r="K130" s="237" t="s">
        <v>69</v>
      </c>
      <c r="L130" s="153"/>
      <c r="M130" s="153"/>
      <c r="N130" s="197"/>
      <c r="O130" s="399" t="s">
        <v>70</v>
      </c>
      <c r="P130" s="404"/>
      <c r="Q130" s="404"/>
      <c r="R130" s="405"/>
      <c r="S130" s="206" t="s">
        <v>73</v>
      </c>
      <c r="T130" s="415"/>
      <c r="U130" s="415"/>
      <c r="V130" s="416"/>
    </row>
    <row r="131" spans="1:22" ht="30.75" customHeight="1" thickTop="1" thickBot="1" x14ac:dyDescent="0.4">
      <c r="A131" s="379" t="s">
        <v>263</v>
      </c>
      <c r="B131" s="381" t="str">
        <f>Input_Sheet_Template!$B$75</f>
        <v>Industrial Natural Gas</v>
      </c>
      <c r="C131" s="382"/>
      <c r="D131" s="382"/>
      <c r="E131" s="382"/>
      <c r="F131" s="383" t="str">
        <f>Input_Sheet_Template!$B$78</f>
        <v>Industrial Electricity</v>
      </c>
      <c r="G131" s="382"/>
      <c r="H131" s="382"/>
      <c r="I131" s="384"/>
      <c r="J131" s="607" t="str">
        <f ca="1">IF(CO2_CashFlow_eUse&gt;0,'HyARC Physical Property Data'!A77,"")</f>
        <v>Industrial Electricity</v>
      </c>
      <c r="K131" s="601"/>
      <c r="L131" s="385"/>
      <c r="M131" s="385"/>
      <c r="N131" s="386"/>
      <c r="O131" s="400" t="s">
        <v>71</v>
      </c>
      <c r="P131" s="406" t="str">
        <f>Input_Sheet_Template!$B$138</f>
        <v>Demineralized Water</v>
      </c>
      <c r="Q131" s="406" t="str">
        <f>Input_Sheet_Template!$B$140</f>
        <v>Cooling Water</v>
      </c>
      <c r="R131" s="407"/>
      <c r="S131" s="400" t="s">
        <v>71</v>
      </c>
      <c r="T131" s="406"/>
      <c r="U131" s="406"/>
      <c r="V131" s="407"/>
    </row>
    <row r="132" spans="1:22" ht="31.5" customHeight="1" thickBot="1" x14ac:dyDescent="0.4">
      <c r="A132" s="380" t="s">
        <v>933</v>
      </c>
      <c r="B132" s="387">
        <f>Input_Sheet_Template!$C$75</f>
        <v>1.0549999999999999</v>
      </c>
      <c r="C132" s="388"/>
      <c r="D132" s="388"/>
      <c r="E132" s="388"/>
      <c r="F132" s="389">
        <f>Input_Sheet_Template!$C$78</f>
        <v>3.5999999999999995E-3</v>
      </c>
      <c r="G132" s="388"/>
      <c r="H132" s="388"/>
      <c r="I132" s="390"/>
      <c r="J132" s="608">
        <f ca="1">IF(J131="",0,VLOOKUP(J131,MASTER_PROPERTY_TABLE,9,FALSE))</f>
        <v>3.5999999999999995E-3</v>
      </c>
      <c r="K132" s="602"/>
      <c r="L132" s="391"/>
      <c r="M132" s="391"/>
      <c r="N132" s="392"/>
      <c r="O132" s="401" t="s">
        <v>264</v>
      </c>
      <c r="P132" s="846">
        <f>Input_Sheet_Template!$D$138</f>
        <v>3.355</v>
      </c>
      <c r="Q132" s="846">
        <f>Input_Sheet_Template!$D$140</f>
        <v>1.4950000000000001</v>
      </c>
      <c r="R132" s="847"/>
      <c r="S132" s="401" t="s">
        <v>264</v>
      </c>
      <c r="T132" s="408"/>
      <c r="U132" s="408"/>
      <c r="V132" s="409"/>
    </row>
    <row r="133" spans="1:22" ht="16.5" customHeight="1" thickBot="1" x14ac:dyDescent="0.4">
      <c r="A133" s="380" t="s">
        <v>264</v>
      </c>
      <c r="B133" s="387">
        <f ca="1">feedstockIndustrial_Natural_Gas_Usage</f>
        <v>0.15579999999999999</v>
      </c>
      <c r="C133" s="388"/>
      <c r="D133" s="388"/>
      <c r="E133" s="388"/>
      <c r="F133" s="389">
        <f ca="1">utilityIndustrial_Electricity_Usage</f>
        <v>0.6</v>
      </c>
      <c r="G133" s="388"/>
      <c r="H133" s="388"/>
      <c r="I133" s="390"/>
      <c r="J133" s="608">
        <f ca="1" xml:space="preserve"> CO2_eUse_kWhpkg</f>
        <v>5.3094322433205741E-2</v>
      </c>
      <c r="K133" s="602"/>
      <c r="L133" s="391"/>
      <c r="M133" s="391"/>
      <c r="N133" s="392"/>
      <c r="O133" s="401" t="s">
        <v>72</v>
      </c>
      <c r="P133" s="408">
        <f>Input_Sheet_Template!$C$138</f>
        <v>7.1248532835024025E-3</v>
      </c>
      <c r="Q133" s="408">
        <f>Input_Sheet_Template!$C$140</f>
        <v>1.1334993860117458E-4</v>
      </c>
      <c r="R133" s="409"/>
      <c r="S133" s="401" t="s">
        <v>74</v>
      </c>
      <c r="T133" s="408"/>
      <c r="U133" s="408"/>
      <c r="V133" s="409"/>
    </row>
    <row r="134" spans="1:22" ht="16.5" customHeight="1" thickBot="1" x14ac:dyDescent="0.4">
      <c r="A134" s="380" t="s">
        <v>265</v>
      </c>
      <c r="B134" s="387">
        <f>feedstockIndustrial_Natural_Gas_Price</f>
        <v>3.7336748144174337</v>
      </c>
      <c r="C134" s="388"/>
      <c r="D134" s="388"/>
      <c r="E134" s="388"/>
      <c r="F134" s="389">
        <f>utilityIndustrial_Electricity_Price</f>
        <v>6.9980611257164108E-2</v>
      </c>
      <c r="G134" s="388"/>
      <c r="H134" s="388"/>
      <c r="I134" s="390"/>
      <c r="J134" s="608">
        <f ca="1">IF(J131="",0,CO2_eCost)</f>
        <v>6.9980611257164108E-2</v>
      </c>
      <c r="K134" s="602"/>
      <c r="L134" s="391"/>
      <c r="M134" s="391"/>
      <c r="N134" s="392"/>
      <c r="O134" s="402" t="s">
        <v>266</v>
      </c>
      <c r="P134" s="410" t="str">
        <f>Input_Sheet_Template!$F$138</f>
        <v>Yes</v>
      </c>
      <c r="Q134" s="410" t="str">
        <f>Input_Sheet_Template!$F$140</f>
        <v>Yes</v>
      </c>
      <c r="R134" s="411"/>
      <c r="S134" s="402" t="s">
        <v>266</v>
      </c>
      <c r="T134" s="417"/>
      <c r="U134" s="417"/>
      <c r="V134" s="418"/>
    </row>
    <row r="135" spans="1:22" ht="16.5" customHeight="1" thickBot="1" x14ac:dyDescent="0.4">
      <c r="A135" s="422" t="s">
        <v>266</v>
      </c>
      <c r="B135" s="393" t="str">
        <f>Input_Sheet_Template!$G$75</f>
        <v>yes</v>
      </c>
      <c r="C135" s="394"/>
      <c r="D135" s="394"/>
      <c r="E135" s="394"/>
      <c r="F135" s="395" t="str">
        <f>Input_Sheet_Template!$G$78</f>
        <v>yes</v>
      </c>
      <c r="G135" s="394"/>
      <c r="H135" s="394"/>
      <c r="I135" s="396"/>
      <c r="J135" s="609" t="str">
        <f ca="1">IF(J131="","","yes")</f>
        <v>yes</v>
      </c>
      <c r="K135" s="603"/>
      <c r="L135" s="397"/>
      <c r="M135" s="397"/>
      <c r="N135" s="398"/>
      <c r="O135" s="403"/>
      <c r="P135" s="412"/>
      <c r="Q135" s="412"/>
      <c r="R135" s="413"/>
      <c r="S135" s="414"/>
      <c r="T135" s="419"/>
      <c r="U135" s="419"/>
      <c r="V135" s="420"/>
    </row>
    <row r="136" spans="1:22" ht="30" customHeight="1" thickBot="1" x14ac:dyDescent="0.4">
      <c r="A136" s="380" t="s">
        <v>530</v>
      </c>
      <c r="B136" s="538">
        <f ca="1">IF(B131="",0,VLOOKUP(B131,MASTER_PROPERTY_TABLE,11,FALSE)*B132*B133)</f>
        <v>9.2564958969142097</v>
      </c>
      <c r="C136" s="539">
        <f>IF(C131="",0,VLOOKUP(C131,MASTER_PROPERTY_TABLE,11,FALSE)*C132*C133)</f>
        <v>0</v>
      </c>
      <c r="D136" s="539">
        <f>IF(D131="",0,VLOOKUP(D131,MASTER_PROPERTY_TABLE,11,FALSE)*D132*D133)</f>
        <v>0</v>
      </c>
      <c r="E136" s="540">
        <f>IF(E131="",0,VLOOKUP(E131,MASTER_PROPERTY_TABLE,11,FALSE)*E132*E133)</f>
        <v>0</v>
      </c>
      <c r="F136" s="538">
        <f ca="1">IF(F131="",,VLOOKUP(F131,MASTER_PROPERTY_TABLE,11,FALSE)*F132*F133)</f>
        <v>0</v>
      </c>
      <c r="G136" s="539">
        <f>IF(G131="",,VLOOKUP(G131,MASTER_PROPERTY_TABLE,11,FALSE)*G132*G133)</f>
        <v>0</v>
      </c>
      <c r="H136" s="539">
        <f>IF(H131="",,VLOOKUP(H131,MASTER_PROPERTY_TABLE,11,FALSE)*H132*H133)</f>
        <v>0</v>
      </c>
      <c r="I136" s="539">
        <f>IF(I131="",,VLOOKUP(I131,MASTER_PROPERTY_TABLE,11,FALSE)*I132*I133)</f>
        <v>0</v>
      </c>
      <c r="J136" s="540">
        <f ca="1">IF($J$131="",0,VLOOKUP($J$131,MASTER_PROPERTY_TABLE,12,FALSE)*$J$132*$J$133)</f>
        <v>0</v>
      </c>
      <c r="K136" s="388"/>
      <c r="L136" s="391"/>
      <c r="M136" s="391"/>
      <c r="N136" s="392"/>
      <c r="O136" s="425"/>
      <c r="P136" s="423"/>
      <c r="Q136" s="423"/>
      <c r="R136" s="424"/>
      <c r="S136" s="426"/>
      <c r="T136" s="427"/>
      <c r="U136" s="427"/>
      <c r="V136" s="428"/>
    </row>
    <row r="137" spans="1:22" ht="30" customHeight="1" thickBot="1" x14ac:dyDescent="0.4">
      <c r="A137" s="537" t="s">
        <v>934</v>
      </c>
      <c r="B137" s="429">
        <f ca="1">IF(B131="",0,IF(VLOOKUP(B131,MASTER_PROPERTY_TABLE,12,FALSE)="English",mmBTU_to_GJ,1))</f>
        <v>1</v>
      </c>
      <c r="C137" s="430">
        <f>IF(C131="",0,IF(VLOOKUP(C131,MASTER_PROPERTY_TABLE,12,FALSE)="English",mmBTU_to_GJ,1))</f>
        <v>0</v>
      </c>
      <c r="D137" s="430">
        <f>IF(D131="",0,IF(VLOOKUP(D131,MASTER_PROPERTY_TABLE,12,FALSE)="English",mmBTU_to_GJ,1))</f>
        <v>0</v>
      </c>
      <c r="E137" s="431">
        <f>IF(E131="",,IF(VLOOKUP(E131,MASTER_PROPERTY_TABLE,12,FALSE)="English",mmBTU_to_GJ,1))</f>
        <v>0</v>
      </c>
      <c r="F137" s="429">
        <f ca="1">IF(F131="",,IF(VLOOKUP(F131,MASTER_PROPERTY_TABLE,12,FALSE)="English",mmBTU_to_GJ,1))</f>
        <v>1</v>
      </c>
      <c r="G137" s="430">
        <f>IF(G131="",,IF(VLOOKUP(G131,MASTER_PROPERTY_TABLE,12,FALSE)="English",mmBTU_to_GJ,1))</f>
        <v>0</v>
      </c>
      <c r="H137" s="430">
        <f>IF(H131="",,IF(VLOOKUP(H131,MASTER_PROPERTY_TABLE,12,FALSE)="English",mmBTU_to_GJ,1))</f>
        <v>0</v>
      </c>
      <c r="I137" s="430">
        <f>IF(I131="",,IF(VLOOKUP(I131,MASTER_PROPERTY_TABLE,12,FALSE)="English",mmBTU_to_GJ,1))</f>
        <v>0</v>
      </c>
      <c r="J137" s="431">
        <f ca="1">IF($J$131="",0,IF(VLOOKUP($J$131,MASTER_PROPERTY_TABLE,12,FALSE)="English",mmBTU_to_GJ,1))</f>
        <v>1</v>
      </c>
      <c r="K137" s="430">
        <f>IF(K131="",,IF(VLOOKUP(K131,MASTER_PROPERTY_TABLE,12,FALSE)="English",mmBTU_to_GJ,1))</f>
        <v>0</v>
      </c>
      <c r="L137" s="430">
        <f>IF(L131="",,IF(VLOOKUP(L131,MASTER_PROPERTY_TABLE,12,FALSE)="English",mmBTU_to_GJ,1))</f>
        <v>0</v>
      </c>
      <c r="M137" s="430">
        <f>IF(M131="",,IF(VLOOKUP(M131,MASTER_PROPERTY_TABLE,12,FALSE)="English",mmBTU_to_GJ,1))</f>
        <v>0</v>
      </c>
      <c r="N137" s="430">
        <f>IF(N131="",,IF(VLOOKUP(N131,MASTER_PROPERTY_TABLE,12,FALSE)="English",mmBTU_to_GJ,1))</f>
        <v>0</v>
      </c>
      <c r="O137" s="536"/>
      <c r="P137" s="534"/>
      <c r="Q137" s="534"/>
      <c r="R137" s="535"/>
      <c r="S137" s="414"/>
      <c r="T137" s="419"/>
      <c r="U137" s="419"/>
      <c r="V137" s="420"/>
    </row>
    <row r="138" spans="1:22" ht="38.25" customHeight="1" thickTop="1" x14ac:dyDescent="0.3">
      <c r="A138" s="208" t="s">
        <v>1034</v>
      </c>
      <c r="B138" s="241" t="str">
        <f t="shared" ref="B138:N138" si="49">IF(B$131="","",B$131&amp;" ($/kg of H2)")</f>
        <v>Industrial Natural Gas ($/kg of H2)</v>
      </c>
      <c r="C138" s="241" t="str">
        <f t="shared" si="49"/>
        <v/>
      </c>
      <c r="D138" s="241" t="str">
        <f t="shared" si="49"/>
        <v/>
      </c>
      <c r="E138" s="241" t="str">
        <f t="shared" si="49"/>
        <v/>
      </c>
      <c r="F138" s="241" t="str">
        <f t="shared" si="49"/>
        <v>Industrial Electricity ($/kg of H2)</v>
      </c>
      <c r="G138" s="241" t="str">
        <f t="shared" si="49"/>
        <v/>
      </c>
      <c r="H138" s="241" t="str">
        <f t="shared" si="49"/>
        <v/>
      </c>
      <c r="I138" s="600" t="str">
        <f t="shared" si="49"/>
        <v/>
      </c>
      <c r="J138" s="606"/>
      <c r="K138" s="604" t="str">
        <f t="shared" si="49"/>
        <v/>
      </c>
      <c r="L138" s="241" t="str">
        <f t="shared" si="49"/>
        <v/>
      </c>
      <c r="M138" s="241" t="str">
        <f t="shared" si="49"/>
        <v/>
      </c>
      <c r="N138" s="241" t="str">
        <f t="shared" si="49"/>
        <v/>
      </c>
      <c r="O138" s="241"/>
      <c r="P138" s="241" t="str">
        <f>IF(P$131="","",P$131&amp;" ($/kg of H2)")</f>
        <v>Demineralized Water ($/kg of H2)</v>
      </c>
      <c r="Q138" s="241" t="str">
        <f>IF(Q$131="","",Q$131&amp;" ($/kg of H2)")</f>
        <v>Cooling Water ($/kg of H2)</v>
      </c>
      <c r="R138" s="241" t="str">
        <f>IF(R$131="","",R$131&amp;" ($/kg of H2)")</f>
        <v/>
      </c>
      <c r="S138" s="242"/>
      <c r="T138" s="241" t="str">
        <f>IF(T$131="","",T$131&amp;" ($/kg of H2)")</f>
        <v/>
      </c>
      <c r="U138" s="241" t="str">
        <f>IF(U$131="","",U$131&amp;" ($/kg of H2)")</f>
        <v/>
      </c>
      <c r="V138" s="241" t="str">
        <f>IF(V$131="","",V$131&amp;" ($/kg of H2)")</f>
        <v/>
      </c>
    </row>
    <row r="139" spans="1:22" ht="15" customHeight="1" x14ac:dyDescent="0.25">
      <c r="A139" s="209">
        <f t="shared" ref="A139:A182" si="50">IF(A65="","",A65)</f>
        <v>2012</v>
      </c>
      <c r="B139" s="211">
        <f ca="1">IF($A139="","",IF($B$131="","",IF($B$135="no",INFLATION_FACTOR*$B$133*$B$134,INFLATION_FACTOR*$B$133*$B$132*INDEX(FEEDPRICETABLE,MATCH($B$131,List_Energy_Feedstocks,0),MATCH($A139,Feedstock_Year,0)))))</f>
        <v>0.67087264008045799</v>
      </c>
      <c r="C139" s="211" t="str">
        <f t="shared" ref="C139:C182" si="51">IF($A139="","",IF($C$131="","",IF($C$135="no",INFLATION_FACTOR*$C$133*$C$134,INFLATION_FACTOR*$C$133*$C$132*INDEX(FEEDPRICETABLE,MATCH($C$131,List_Energy_Feedstocks,0),MATCH($A139,Feedstock_Year,0)))))</f>
        <v/>
      </c>
      <c r="D139" s="211" t="str">
        <f t="shared" ref="D139:D182" si="52">IF($A139="","",IF($D$131="","",IF($D$135="no",INFLATION_FACTOR*$D$133*$D$134,INFLATION_FACTOR*$D$133*$D$132*INDEX(FEEDPRICETABLE,MATCH($D$131,List_Energy_Feedstocks,0),MATCH($A139,Feedstock_Year,0)))))</f>
        <v/>
      </c>
      <c r="E139" s="238" t="str">
        <f t="shared" ref="E139:E182" si="53">IF($A139="","",IF($E$131="","",IF($E$135="no",INFLATION_FACTOR*$E$133*$E$134,INFLATION_FACTOR*$E$133*$E$132*INDEX(FEEDPRICETABLE,MATCH($E$131,List_Energy_Feedstocks,0),MATCH($A139,Feedstock_Year,0)))))</f>
        <v/>
      </c>
      <c r="F139" s="210">
        <f ca="1">IF($A139="","",IF($F$131="","",IF($F$135="no",INFLATION_FACTOR*$F$133*$F$134,INFLATION_FACTOR*$F$133*$F$132*INDEX(FEEDPRICETABLE,MATCH($F$131,List_Energy_Feedstocks,0),MATCH($A139,Feedstock_Year,0)))))</f>
        <v>4.1587742388331538E-2</v>
      </c>
      <c r="G139" s="211" t="str">
        <f t="shared" ref="G139:G182" si="54">IF($A139="","",IF($G$131="","",IF($G$135="no",INFLATION_FACTOR*$G$133*$G$134,INFLATION_FACTOR*$G$133*$G$132*INDEX(FEEDPRICETABLE,MATCH($G$131,List_Energy_Feedstocks,0),MATCH($A139,Feedstock_Year,0)))))</f>
        <v/>
      </c>
      <c r="H139" s="211" t="str">
        <f t="shared" ref="H139:H182" si="55">IF($A139="","",IF($H$131="","",IF($H$135="no",INFLATION_FACTOR*$H$133*$H$134,INFLATION_FACTOR*$H$133*$H$132*INDEX(FEEDPRICETABLE,MATCH(H$131,List_Energy_Feedstocks,0),MATCH($A139,Feedstock_Year,0)))))</f>
        <v/>
      </c>
      <c r="I139" s="238" t="str">
        <f t="shared" ref="I139:I182" si="56">IF($A139="","",IF($I$131="","",IF($I$135="no",INFLATION_FACTOR*$I$133*$I$134,INFLATION_FACTOR*$I$133*$I$132*INDEX(FEEDPRICETABLE,MATCH($I$131,List_Energy_Feedstocks,0),MATCH($A139,Feedstock_Year,0)))))</f>
        <v/>
      </c>
      <c r="J139" s="605">
        <f t="shared" ref="J139:J182" ca="1" si="57">IF($A139="","",IF($J$131="","",IF($J$135="no",INFLATION_FACTOR*$J$133*$J$134,INFLATION_FACTOR*$J$133*$J$132*INDEX(FEEDPRICETABLE,MATCH($J$131,List_Energy_Feedstocks,0),MATCH($A139,Feedstock_Year,0)))))</f>
        <v>3.680121672725288E-3</v>
      </c>
      <c r="K139" s="236" t="str">
        <f t="shared" ref="K139:K182" si="58">IF($A139="","",IF($K$131="","",IF($K$135="no",INFLATION_FACTOR*$K$133*$K$134,INFLATION_FACTOR*$K$133*$K$132*INDEX(FEEDPRICETABLE,MATCH($K$131,List_Energy_Feedstocks,0),MATCH($A139,Feedstock_Year,0)))))</f>
        <v/>
      </c>
      <c r="L139" s="236" t="str">
        <f t="shared" ref="L139:L182" si="59">IF($A139="","",IF($L$131="","",IF($L$135="no",INFLATION_FACTOR*$L$133*$L$134,INFLATION_FACTOR*$L$133*$L$132*INDEX(FEEDPRICETABLE,MATCH($L$131,List_Energy_Feedstocks,0),MATCH($A139,Feedstock_Year,0)))))</f>
        <v/>
      </c>
      <c r="M139" s="211" t="str">
        <f t="shared" ref="M139:M182" si="60">IF($A139="","",IF(M$131="","",IF($M$135="no",INFLATION_FACTOR*$M$133*$M$134,INFLATION_FACTOR*$M$133*$M$132*INDEX(FEEDPRICETABLE,MATCH($M$131,List_Energy_Feedstocks,0),MATCH($A139,Feedstock_Year,0)))))</f>
        <v/>
      </c>
      <c r="N139" s="239" t="str">
        <f t="shared" ref="N139:N182" si="61">IF($A139="","",IF($N$131="","",IF($N$135="no",INFLATION_FACTOR*$N$133*$N$134,INFLATION_FACTOR*$N$133*$N$132*INDEX(FEEDPRICETABLE,MATCH($N$131,List_Energy_Feedstocks,0),MATCH($A139,Feedstock_Year,0)))))</f>
        <v/>
      </c>
      <c r="O139" s="243"/>
      <c r="P139" s="233">
        <f ca="1">IF(OR($A139="",$P$131=""),"",IF($P$134="No",INFLATION_FACTOR*$P$132*$P$133,INFLATION_FACTOR*$P$132*INDEX(Tbl_Other_Inputs_and_Byproducts,MATCH($P$131,Other_Inputs_List,0),MATCH($A139,Other_Inputs_years,0))))</f>
        <v>2.3458177395633526E-2</v>
      </c>
      <c r="Q139" s="233">
        <f ca="1">IF(OR($A139="",$Q$131=""),"",IF($Q$134="No",INFLATION_FACTOR*$Q$132*$Q$133,INFLATION_FACTOR*$Q$132*INDEX(Tbl_Other_Inputs_and_Byproducts,MATCH($Q$131,Other_Inputs_List,0),MATCH($A139,Other_Inputs_years,0))))</f>
        <v>1.6629848695658099E-4</v>
      </c>
      <c r="R139" s="233" t="str">
        <f t="shared" ref="R139:R182" si="62">IF(OR($A139="",$R$131=""),"",IF($R$134="No",INFLATION_FACTOR*$R$132*$R$133,INFLATION_FACTOR*$R$132*INDEX(Tbl_Other_Inputs_and_Byproducts,MATCH($R$131,Other_Inputs_List,0),MATCH($A139,Other_Inputs_years,0))))</f>
        <v/>
      </c>
      <c r="S139" s="243"/>
      <c r="T139" s="233" t="str">
        <f t="shared" ref="T139:T182" si="63">IF(OR($A139="",$T$131=""),"",IF($T$134="No",INFLATION_FACTOR*$T$132*$T$133,INFLATION_FACTOR*$T$132*INDEX(Tbl_Other_Inputs_and_Byproducts,MATCH($T$131,Other_Inputs_List,0),MATCH($A139,Other_Inputs_years,0))))</f>
        <v/>
      </c>
      <c r="U139" s="233" t="str">
        <f t="shared" ref="U139:U182" si="64">IF(OR($A139="",$U$131=""),"",IF($U$134="No",INFLATION_FACTOR*$U$132*$U$133,INFLATION_FACTOR*$U$132*INDEX(Tbl_Other_Inputs_and_Byproducts,MATCH($U$131,Other_Inputs_List,0),MATCH($A139,Other_Inputs_years,0))))</f>
        <v/>
      </c>
      <c r="V139" s="233" t="str">
        <f t="shared" ref="V139:V182" si="65">IF(OR($A139="",$V$131=""),"",IF($V$134="No",INFLATION_FACTOR*$V$132*$V$133,INFLATION_FACTOR*$V$132*INDEX(Tbl_Other_Inputs_and_Byproducts,MATCH($V$131,Other_Inputs_List,0),MATCH($A139,Other_Inputs_years,0))))</f>
        <v/>
      </c>
    </row>
    <row r="140" spans="1:22" ht="15" customHeight="1" x14ac:dyDescent="0.25">
      <c r="A140" s="209">
        <f t="shared" si="50"/>
        <v>2013</v>
      </c>
      <c r="B140" s="211">
        <f t="shared" ref="B140:B182" ca="1" si="66">IF($A140="","",IF($B$131="","",IF($B$135="no",INFLATION_FACTOR*$B$133*$B$134,INFLATION_FACTOR*$B$133*$B$132*INDEX(FEEDPRICETABLE,MATCH($B$131,List_Energy_Feedstocks,0),MATCH($A140,Feedstock_Year,0)))))</f>
        <v>0.78954594985194093</v>
      </c>
      <c r="C140" s="211" t="str">
        <f t="shared" si="51"/>
        <v/>
      </c>
      <c r="D140" s="211" t="str">
        <f t="shared" si="52"/>
        <v/>
      </c>
      <c r="E140" s="238" t="str">
        <f t="shared" si="53"/>
        <v/>
      </c>
      <c r="F140" s="210">
        <f t="shared" ref="F140:F182" ca="1" si="67">IF($A140="","",IF($F$131="","",IF($F$135="no",INFLATION_FACTOR*$F$133*$F$134,INFLATION_FACTOR*$F$133*$F$132*INDEX(FEEDPRICETABLE,MATCH($F$131,List_Energy_Feedstocks,0),MATCH($A140,Feedstock_Year,0)))))</f>
        <v>4.2277549590094048E-2</v>
      </c>
      <c r="G140" s="211" t="str">
        <f t="shared" si="54"/>
        <v/>
      </c>
      <c r="H140" s="211" t="str">
        <f t="shared" si="55"/>
        <v/>
      </c>
      <c r="I140" s="238" t="str">
        <f t="shared" si="56"/>
        <v/>
      </c>
      <c r="J140" s="605">
        <f t="shared" ca="1" si="57"/>
        <v>3.7411630827038312E-3</v>
      </c>
      <c r="K140" s="236" t="str">
        <f t="shared" si="58"/>
        <v/>
      </c>
      <c r="L140" s="236" t="str">
        <f t="shared" si="59"/>
        <v/>
      </c>
      <c r="M140" s="211" t="str">
        <f t="shared" si="60"/>
        <v/>
      </c>
      <c r="N140" s="239" t="str">
        <f t="shared" si="61"/>
        <v/>
      </c>
      <c r="O140" s="244"/>
      <c r="P140" s="233">
        <f t="shared" ref="P140:P182" ca="1" si="68">IF(OR($A140="",$P$131=""),"",IF($P$134="No",INFLATION_FACTOR*$P$132*$P$133,INFLATION_FACTOR*$P$132*INDEX(Tbl_Other_Inputs_and_Byproducts,MATCH($P$131,Other_Inputs_List,0),MATCH($A140,Other_Inputs_years,0))))</f>
        <v>2.3458177395633526E-2</v>
      </c>
      <c r="Q140" s="233">
        <f t="shared" ref="Q140:Q182" ca="1" si="69">IF(OR($A140="",$Q$131=""),"",IF($Q$134="No",INFLATION_FACTOR*$Q$132*$Q$133,INFLATION_FACTOR*$Q$132*INDEX(Tbl_Other_Inputs_and_Byproducts,MATCH($Q$131,Other_Inputs_List,0),MATCH($A140,Other_Inputs_years,0))))</f>
        <v>1.6629848695658099E-4</v>
      </c>
      <c r="R140" s="233" t="str">
        <f t="shared" si="62"/>
        <v/>
      </c>
      <c r="S140" s="243"/>
      <c r="T140" s="233" t="str">
        <f t="shared" si="63"/>
        <v/>
      </c>
      <c r="U140" s="233" t="str">
        <f t="shared" si="64"/>
        <v/>
      </c>
      <c r="V140" s="233" t="str">
        <f t="shared" si="65"/>
        <v/>
      </c>
    </row>
    <row r="141" spans="1:22" ht="15" customHeight="1" x14ac:dyDescent="0.25">
      <c r="A141" s="209">
        <f t="shared" si="50"/>
        <v>2014</v>
      </c>
      <c r="B141" s="211">
        <f t="shared" ca="1" si="66"/>
        <v>0.93945810454011291</v>
      </c>
      <c r="C141" s="211" t="str">
        <f t="shared" si="51"/>
        <v/>
      </c>
      <c r="D141" s="211" t="str">
        <f t="shared" si="52"/>
        <v/>
      </c>
      <c r="E141" s="238" t="str">
        <f t="shared" si="53"/>
        <v/>
      </c>
      <c r="F141" s="210">
        <f t="shared" ca="1" si="67"/>
        <v>4.2798702865822491E-2</v>
      </c>
      <c r="G141" s="211" t="str">
        <f t="shared" si="54"/>
        <v/>
      </c>
      <c r="H141" s="211" t="str">
        <f t="shared" si="55"/>
        <v/>
      </c>
      <c r="I141" s="238" t="str">
        <f t="shared" si="56"/>
        <v/>
      </c>
      <c r="J141" s="605">
        <f t="shared" ca="1" si="57"/>
        <v>3.7872802161349104E-3</v>
      </c>
      <c r="K141" s="236" t="str">
        <f t="shared" si="58"/>
        <v/>
      </c>
      <c r="L141" s="236" t="str">
        <f t="shared" si="59"/>
        <v/>
      </c>
      <c r="M141" s="211" t="str">
        <f t="shared" si="60"/>
        <v/>
      </c>
      <c r="N141" s="239" t="str">
        <f t="shared" si="61"/>
        <v/>
      </c>
      <c r="O141" s="244"/>
      <c r="P141" s="233">
        <f t="shared" ca="1" si="68"/>
        <v>2.3458177395633526E-2</v>
      </c>
      <c r="Q141" s="233">
        <f t="shared" ca="1" si="69"/>
        <v>1.6629848695658099E-4</v>
      </c>
      <c r="R141" s="233" t="str">
        <f t="shared" si="62"/>
        <v/>
      </c>
      <c r="S141" s="243"/>
      <c r="T141" s="233" t="str">
        <f t="shared" si="63"/>
        <v/>
      </c>
      <c r="U141" s="233" t="str">
        <f t="shared" si="64"/>
        <v/>
      </c>
      <c r="V141" s="233" t="str">
        <f t="shared" si="65"/>
        <v/>
      </c>
    </row>
    <row r="142" spans="1:22" ht="15" customHeight="1" x14ac:dyDescent="0.25">
      <c r="A142" s="209">
        <f t="shared" si="50"/>
        <v>2015</v>
      </c>
      <c r="B142" s="211">
        <f t="shared" ca="1" si="66"/>
        <v>0.57086019243006503</v>
      </c>
      <c r="C142" s="211" t="str">
        <f t="shared" si="51"/>
        <v/>
      </c>
      <c r="D142" s="211" t="str">
        <f t="shared" si="52"/>
        <v/>
      </c>
      <c r="E142" s="238" t="str">
        <f t="shared" si="53"/>
        <v/>
      </c>
      <c r="F142" s="210">
        <f t="shared" ca="1" si="67"/>
        <v>4.1205462958094671E-2</v>
      </c>
      <c r="G142" s="211" t="str">
        <f t="shared" si="54"/>
        <v/>
      </c>
      <c r="H142" s="211" t="str">
        <f t="shared" si="55"/>
        <v/>
      </c>
      <c r="I142" s="238" t="str">
        <f t="shared" si="56"/>
        <v/>
      </c>
      <c r="J142" s="605">
        <f t="shared" ca="1" si="57"/>
        <v>3.6462935605109906E-3</v>
      </c>
      <c r="K142" s="236" t="str">
        <f t="shared" si="58"/>
        <v/>
      </c>
      <c r="L142" s="236" t="str">
        <f t="shared" si="59"/>
        <v/>
      </c>
      <c r="M142" s="211" t="str">
        <f t="shared" si="60"/>
        <v/>
      </c>
      <c r="N142" s="239" t="str">
        <f t="shared" si="61"/>
        <v/>
      </c>
      <c r="O142" s="244"/>
      <c r="P142" s="233">
        <f t="shared" ca="1" si="68"/>
        <v>2.3458177395633526E-2</v>
      </c>
      <c r="Q142" s="233">
        <f t="shared" ca="1" si="69"/>
        <v>1.6629848695658099E-4</v>
      </c>
      <c r="R142" s="233" t="str">
        <f t="shared" si="62"/>
        <v/>
      </c>
      <c r="S142" s="243"/>
      <c r="T142" s="233" t="str">
        <f t="shared" si="63"/>
        <v/>
      </c>
      <c r="U142" s="233" t="str">
        <f t="shared" si="64"/>
        <v/>
      </c>
      <c r="V142" s="233" t="str">
        <f t="shared" si="65"/>
        <v/>
      </c>
    </row>
    <row r="143" spans="1:22" ht="15" customHeight="1" x14ac:dyDescent="0.25">
      <c r="A143" s="209">
        <f t="shared" si="50"/>
        <v>2016</v>
      </c>
      <c r="B143" s="211">
        <f t="shared" ca="1" si="66"/>
        <v>0.53502029718733757</v>
      </c>
      <c r="C143" s="211" t="str">
        <f t="shared" si="51"/>
        <v/>
      </c>
      <c r="D143" s="211" t="str">
        <f t="shared" si="52"/>
        <v/>
      </c>
      <c r="E143" s="238" t="str">
        <f t="shared" si="53"/>
        <v/>
      </c>
      <c r="F143" s="210">
        <f t="shared" ca="1" si="67"/>
        <v>3.9803718001177608E-2</v>
      </c>
      <c r="G143" s="211" t="str">
        <f t="shared" si="54"/>
        <v/>
      </c>
      <c r="H143" s="211" t="str">
        <f t="shared" si="55"/>
        <v/>
      </c>
      <c r="I143" s="238" t="str">
        <f t="shared" si="56"/>
        <v/>
      </c>
      <c r="J143" s="605">
        <f t="shared" ca="1" si="57"/>
        <v>3.522252395991533E-3</v>
      </c>
      <c r="K143" s="236" t="str">
        <f t="shared" si="58"/>
        <v/>
      </c>
      <c r="L143" s="236" t="str">
        <f t="shared" si="59"/>
        <v/>
      </c>
      <c r="M143" s="211" t="str">
        <f t="shared" si="60"/>
        <v/>
      </c>
      <c r="N143" s="239" t="str">
        <f t="shared" si="61"/>
        <v/>
      </c>
      <c r="O143" s="244"/>
      <c r="P143" s="233">
        <f t="shared" ca="1" si="68"/>
        <v>2.3458177395633526E-2</v>
      </c>
      <c r="Q143" s="233">
        <f t="shared" ca="1" si="69"/>
        <v>1.6629848695658099E-4</v>
      </c>
      <c r="R143" s="233" t="str">
        <f t="shared" si="62"/>
        <v/>
      </c>
      <c r="S143" s="243"/>
      <c r="T143" s="233" t="str">
        <f t="shared" si="63"/>
        <v/>
      </c>
      <c r="U143" s="233" t="str">
        <f t="shared" si="64"/>
        <v/>
      </c>
      <c r="V143" s="233" t="str">
        <f t="shared" si="65"/>
        <v/>
      </c>
    </row>
    <row r="144" spans="1:22" ht="15" customHeight="1" x14ac:dyDescent="0.25">
      <c r="A144" s="209">
        <f t="shared" si="50"/>
        <v>2017</v>
      </c>
      <c r="B144" s="211">
        <f t="shared" ca="1" si="66"/>
        <v>0.6240307328160799</v>
      </c>
      <c r="C144" s="211" t="str">
        <f t="shared" si="51"/>
        <v/>
      </c>
      <c r="D144" s="211" t="str">
        <f t="shared" si="52"/>
        <v/>
      </c>
      <c r="E144" s="238" t="str">
        <f t="shared" si="53"/>
        <v/>
      </c>
      <c r="F144" s="210">
        <f t="shared" ca="1" si="67"/>
        <v>4.1414118241335646E-2</v>
      </c>
      <c r="G144" s="211" t="str">
        <f t="shared" si="54"/>
        <v/>
      </c>
      <c r="H144" s="211" t="str">
        <f t="shared" si="55"/>
        <v/>
      </c>
      <c r="I144" s="238" t="str">
        <f t="shared" si="56"/>
        <v/>
      </c>
      <c r="J144" s="605">
        <f t="shared" ca="1" si="57"/>
        <v>3.6647575786539709E-3</v>
      </c>
      <c r="K144" s="236" t="str">
        <f t="shared" si="58"/>
        <v/>
      </c>
      <c r="L144" s="236" t="str">
        <f t="shared" si="59"/>
        <v/>
      </c>
      <c r="M144" s="211" t="str">
        <f t="shared" si="60"/>
        <v/>
      </c>
      <c r="N144" s="239" t="str">
        <f t="shared" si="61"/>
        <v/>
      </c>
      <c r="O144" s="244"/>
      <c r="P144" s="233">
        <f t="shared" ca="1" si="68"/>
        <v>2.3458177395633526E-2</v>
      </c>
      <c r="Q144" s="233">
        <f t="shared" ca="1" si="69"/>
        <v>1.6629848695658099E-4</v>
      </c>
      <c r="R144" s="233" t="str">
        <f t="shared" si="62"/>
        <v/>
      </c>
      <c r="S144" s="243"/>
      <c r="T144" s="233" t="str">
        <f t="shared" si="63"/>
        <v/>
      </c>
      <c r="U144" s="233" t="str">
        <f t="shared" si="64"/>
        <v/>
      </c>
      <c r="V144" s="233" t="str">
        <f t="shared" si="65"/>
        <v/>
      </c>
    </row>
    <row r="145" spans="1:22" ht="15" customHeight="1" x14ac:dyDescent="0.25">
      <c r="A145" s="209">
        <f t="shared" si="50"/>
        <v>2018</v>
      </c>
      <c r="B145" s="211">
        <f t="shared" ca="1" si="66"/>
        <v>0.68238536152135976</v>
      </c>
      <c r="C145" s="211" t="str">
        <f t="shared" si="51"/>
        <v/>
      </c>
      <c r="D145" s="211" t="str">
        <f t="shared" si="52"/>
        <v/>
      </c>
      <c r="E145" s="238" t="str">
        <f t="shared" si="53"/>
        <v/>
      </c>
      <c r="F145" s="210">
        <f t="shared" ca="1" si="67"/>
        <v>4.0475493459753979E-2</v>
      </c>
      <c r="G145" s="211" t="str">
        <f t="shared" si="54"/>
        <v/>
      </c>
      <c r="H145" s="211" t="str">
        <f t="shared" si="55"/>
        <v/>
      </c>
      <c r="I145" s="238" t="str">
        <f t="shared" si="56"/>
        <v/>
      </c>
      <c r="J145" s="605">
        <f t="shared" ca="1" si="57"/>
        <v>3.5816981673254802E-3</v>
      </c>
      <c r="K145" s="236" t="str">
        <f t="shared" si="58"/>
        <v/>
      </c>
      <c r="L145" s="236" t="str">
        <f t="shared" si="59"/>
        <v/>
      </c>
      <c r="M145" s="211" t="str">
        <f t="shared" si="60"/>
        <v/>
      </c>
      <c r="N145" s="239" t="str">
        <f t="shared" si="61"/>
        <v/>
      </c>
      <c r="O145" s="244"/>
      <c r="P145" s="233">
        <f t="shared" ca="1" si="68"/>
        <v>2.3458177395633526E-2</v>
      </c>
      <c r="Q145" s="233">
        <f t="shared" ca="1" si="69"/>
        <v>1.6629848695658099E-4</v>
      </c>
      <c r="R145" s="233" t="str">
        <f t="shared" si="62"/>
        <v/>
      </c>
      <c r="S145" s="243"/>
      <c r="T145" s="233" t="str">
        <f t="shared" si="63"/>
        <v/>
      </c>
      <c r="U145" s="233" t="str">
        <f t="shared" si="64"/>
        <v/>
      </c>
      <c r="V145" s="233" t="str">
        <f t="shared" si="65"/>
        <v/>
      </c>
    </row>
    <row r="146" spans="1:22" ht="15" customHeight="1" x14ac:dyDescent="0.25">
      <c r="A146" s="209">
        <f t="shared" si="50"/>
        <v>2019</v>
      </c>
      <c r="B146" s="211">
        <f t="shared" ca="1" si="66"/>
        <v>0.74804675998464087</v>
      </c>
      <c r="C146" s="211" t="str">
        <f t="shared" si="51"/>
        <v/>
      </c>
      <c r="D146" s="211" t="str">
        <f t="shared" si="52"/>
        <v/>
      </c>
      <c r="E146" s="238" t="str">
        <f t="shared" si="53"/>
        <v/>
      </c>
      <c r="F146" s="210">
        <f t="shared" ca="1" si="67"/>
        <v>4.0997352154650869E-2</v>
      </c>
      <c r="G146" s="211" t="str">
        <f t="shared" si="54"/>
        <v/>
      </c>
      <c r="H146" s="211" t="str">
        <f t="shared" si="55"/>
        <v/>
      </c>
      <c r="I146" s="238" t="str">
        <f t="shared" si="56"/>
        <v/>
      </c>
      <c r="J146" s="605">
        <f t="shared" ca="1" si="57"/>
        <v>3.6278777236778592E-3</v>
      </c>
      <c r="K146" s="236" t="str">
        <f t="shared" si="58"/>
        <v/>
      </c>
      <c r="L146" s="236" t="str">
        <f t="shared" si="59"/>
        <v/>
      </c>
      <c r="M146" s="211" t="str">
        <f t="shared" si="60"/>
        <v/>
      </c>
      <c r="N146" s="239" t="str">
        <f t="shared" si="61"/>
        <v/>
      </c>
      <c r="O146" s="244"/>
      <c r="P146" s="233">
        <f t="shared" ca="1" si="68"/>
        <v>2.3458177395633526E-2</v>
      </c>
      <c r="Q146" s="233">
        <f t="shared" ca="1" si="69"/>
        <v>1.6629848695658099E-4</v>
      </c>
      <c r="R146" s="233" t="str">
        <f t="shared" si="62"/>
        <v/>
      </c>
      <c r="S146" s="243"/>
      <c r="T146" s="233" t="str">
        <f t="shared" si="63"/>
        <v/>
      </c>
      <c r="U146" s="233" t="str">
        <f t="shared" si="64"/>
        <v/>
      </c>
      <c r="V146" s="233" t="str">
        <f t="shared" si="65"/>
        <v/>
      </c>
    </row>
    <row r="147" spans="1:22" ht="15" customHeight="1" x14ac:dyDescent="0.25">
      <c r="A147" s="209">
        <f t="shared" si="50"/>
        <v>2020</v>
      </c>
      <c r="B147" s="211">
        <f t="shared" ca="1" si="66"/>
        <v>0.81295350880937389</v>
      </c>
      <c r="C147" s="211" t="str">
        <f t="shared" si="51"/>
        <v/>
      </c>
      <c r="D147" s="211" t="str">
        <f t="shared" si="52"/>
        <v/>
      </c>
      <c r="E147" s="238" t="str">
        <f t="shared" si="53"/>
        <v/>
      </c>
      <c r="F147" s="210">
        <f t="shared" ca="1" si="67"/>
        <v>4.176012743660773E-2</v>
      </c>
      <c r="G147" s="211" t="str">
        <f t="shared" si="54"/>
        <v/>
      </c>
      <c r="H147" s="211" t="str">
        <f t="shared" si="55"/>
        <v/>
      </c>
      <c r="I147" s="238" t="str">
        <f t="shared" si="56"/>
        <v/>
      </c>
      <c r="J147" s="605">
        <f t="shared" ca="1" si="57"/>
        <v>3.6953761182850209E-3</v>
      </c>
      <c r="K147" s="236" t="str">
        <f t="shared" si="58"/>
        <v/>
      </c>
      <c r="L147" s="236" t="str">
        <f t="shared" si="59"/>
        <v/>
      </c>
      <c r="M147" s="211" t="str">
        <f t="shared" si="60"/>
        <v/>
      </c>
      <c r="N147" s="239" t="str">
        <f t="shared" si="61"/>
        <v/>
      </c>
      <c r="O147" s="244"/>
      <c r="P147" s="233">
        <f t="shared" ca="1" si="68"/>
        <v>2.3458177395633526E-2</v>
      </c>
      <c r="Q147" s="233">
        <f t="shared" ca="1" si="69"/>
        <v>1.6629848695658099E-4</v>
      </c>
      <c r="R147" s="233" t="str">
        <f t="shared" si="62"/>
        <v/>
      </c>
      <c r="S147" s="243"/>
      <c r="T147" s="233" t="str">
        <f t="shared" si="63"/>
        <v/>
      </c>
      <c r="U147" s="233" t="str">
        <f t="shared" si="64"/>
        <v/>
      </c>
      <c r="V147" s="233" t="str">
        <f t="shared" si="65"/>
        <v/>
      </c>
    </row>
    <row r="148" spans="1:22" ht="15" customHeight="1" x14ac:dyDescent="0.25">
      <c r="A148" s="209">
        <f t="shared" si="50"/>
        <v>2021</v>
      </c>
      <c r="B148" s="211">
        <f t="shared" ca="1" si="66"/>
        <v>0.81381563792440093</v>
      </c>
      <c r="C148" s="211" t="str">
        <f t="shared" si="51"/>
        <v/>
      </c>
      <c r="D148" s="211" t="str">
        <f t="shared" si="52"/>
        <v/>
      </c>
      <c r="E148" s="238" t="str">
        <f t="shared" si="53"/>
        <v/>
      </c>
      <c r="F148" s="210">
        <f t="shared" ca="1" si="67"/>
        <v>4.1990128520486211E-2</v>
      </c>
      <c r="G148" s="211" t="str">
        <f t="shared" si="54"/>
        <v/>
      </c>
      <c r="H148" s="211" t="str">
        <f t="shared" si="55"/>
        <v/>
      </c>
      <c r="I148" s="238" t="str">
        <f t="shared" si="56"/>
        <v/>
      </c>
      <c r="J148" s="605">
        <f t="shared" ca="1" si="57"/>
        <v>3.7157290377974059E-3</v>
      </c>
      <c r="K148" s="236" t="str">
        <f t="shared" si="58"/>
        <v/>
      </c>
      <c r="L148" s="236" t="str">
        <f t="shared" si="59"/>
        <v/>
      </c>
      <c r="M148" s="211" t="str">
        <f t="shared" si="60"/>
        <v/>
      </c>
      <c r="N148" s="239" t="str">
        <f t="shared" si="61"/>
        <v/>
      </c>
      <c r="O148" s="244"/>
      <c r="P148" s="233">
        <f t="shared" ca="1" si="68"/>
        <v>2.3458177395633526E-2</v>
      </c>
      <c r="Q148" s="233">
        <f t="shared" ca="1" si="69"/>
        <v>1.6629848695658099E-4</v>
      </c>
      <c r="R148" s="233" t="str">
        <f t="shared" si="62"/>
        <v/>
      </c>
      <c r="S148" s="243"/>
      <c r="T148" s="233" t="str">
        <f t="shared" si="63"/>
        <v/>
      </c>
      <c r="U148" s="233" t="str">
        <f t="shared" si="64"/>
        <v/>
      </c>
      <c r="V148" s="233" t="str">
        <f t="shared" si="65"/>
        <v/>
      </c>
    </row>
    <row r="149" spans="1:22" ht="15" customHeight="1" x14ac:dyDescent="0.25">
      <c r="A149" s="209">
        <f t="shared" si="50"/>
        <v>2022</v>
      </c>
      <c r="B149" s="211">
        <f t="shared" ca="1" si="66"/>
        <v>0.80481900948429408</v>
      </c>
      <c r="C149" s="211" t="str">
        <f t="shared" si="51"/>
        <v/>
      </c>
      <c r="D149" s="211" t="str">
        <f t="shared" si="52"/>
        <v/>
      </c>
      <c r="E149" s="238" t="str">
        <f t="shared" si="53"/>
        <v/>
      </c>
      <c r="F149" s="210">
        <f t="shared" ca="1" si="67"/>
        <v>4.3345473179186453E-2</v>
      </c>
      <c r="G149" s="211" t="str">
        <f t="shared" si="54"/>
        <v/>
      </c>
      <c r="H149" s="211" t="str">
        <f t="shared" si="55"/>
        <v/>
      </c>
      <c r="I149" s="238" t="str">
        <f t="shared" si="56"/>
        <v/>
      </c>
      <c r="J149" s="605">
        <f t="shared" ca="1" si="57"/>
        <v>3.835664214992662E-3</v>
      </c>
      <c r="K149" s="236" t="str">
        <f t="shared" si="58"/>
        <v/>
      </c>
      <c r="L149" s="236" t="str">
        <f t="shared" si="59"/>
        <v/>
      </c>
      <c r="M149" s="211" t="str">
        <f t="shared" si="60"/>
        <v/>
      </c>
      <c r="N149" s="239" t="str">
        <f t="shared" si="61"/>
        <v/>
      </c>
      <c r="O149" s="244"/>
      <c r="P149" s="233">
        <f t="shared" ca="1" si="68"/>
        <v>2.3458177395633526E-2</v>
      </c>
      <c r="Q149" s="233">
        <f t="shared" ca="1" si="69"/>
        <v>1.6629848695658099E-4</v>
      </c>
      <c r="R149" s="233" t="str">
        <f t="shared" si="62"/>
        <v/>
      </c>
      <c r="S149" s="243"/>
      <c r="T149" s="233" t="str">
        <f t="shared" si="63"/>
        <v/>
      </c>
      <c r="U149" s="233" t="str">
        <f t="shared" si="64"/>
        <v/>
      </c>
      <c r="V149" s="233" t="str">
        <f t="shared" si="65"/>
        <v/>
      </c>
    </row>
    <row r="150" spans="1:22" ht="15" customHeight="1" x14ac:dyDescent="0.25">
      <c r="A150" s="209">
        <f t="shared" si="50"/>
        <v>2023</v>
      </c>
      <c r="B150" s="211">
        <f t="shared" ca="1" si="66"/>
        <v>0.80666236659368928</v>
      </c>
      <c r="C150" s="211" t="str">
        <f t="shared" si="51"/>
        <v/>
      </c>
      <c r="D150" s="211" t="str">
        <f t="shared" si="52"/>
        <v/>
      </c>
      <c r="E150" s="238" t="str">
        <f t="shared" si="53"/>
        <v/>
      </c>
      <c r="F150" s="210">
        <f t="shared" ca="1" si="67"/>
        <v>4.3482852210392553E-2</v>
      </c>
      <c r="G150" s="211" t="str">
        <f t="shared" si="54"/>
        <v/>
      </c>
      <c r="H150" s="211" t="str">
        <f t="shared" si="55"/>
        <v/>
      </c>
      <c r="I150" s="238" t="str">
        <f t="shared" si="56"/>
        <v/>
      </c>
      <c r="J150" s="605">
        <f t="shared" ca="1" si="57"/>
        <v>3.8478209592900255E-3</v>
      </c>
      <c r="K150" s="236" t="str">
        <f t="shared" si="58"/>
        <v/>
      </c>
      <c r="L150" s="236" t="str">
        <f t="shared" si="59"/>
        <v/>
      </c>
      <c r="M150" s="211" t="str">
        <f t="shared" si="60"/>
        <v/>
      </c>
      <c r="N150" s="239" t="str">
        <f t="shared" si="61"/>
        <v/>
      </c>
      <c r="O150" s="244"/>
      <c r="P150" s="233">
        <f t="shared" ca="1" si="68"/>
        <v>2.3458177395633526E-2</v>
      </c>
      <c r="Q150" s="233">
        <f t="shared" ca="1" si="69"/>
        <v>1.6629848695658099E-4</v>
      </c>
      <c r="R150" s="233" t="str">
        <f t="shared" si="62"/>
        <v/>
      </c>
      <c r="S150" s="243"/>
      <c r="T150" s="233" t="str">
        <f t="shared" si="63"/>
        <v/>
      </c>
      <c r="U150" s="233" t="str">
        <f t="shared" si="64"/>
        <v/>
      </c>
      <c r="V150" s="233" t="str">
        <f t="shared" si="65"/>
        <v/>
      </c>
    </row>
    <row r="151" spans="1:22" ht="15" customHeight="1" x14ac:dyDescent="0.25">
      <c r="A151" s="209">
        <f t="shared" si="50"/>
        <v>2024</v>
      </c>
      <c r="B151" s="211">
        <f t="shared" ca="1" si="66"/>
        <v>0.82049694745726021</v>
      </c>
      <c r="C151" s="211" t="str">
        <f t="shared" si="51"/>
        <v/>
      </c>
      <c r="D151" s="211" t="str">
        <f t="shared" si="52"/>
        <v/>
      </c>
      <c r="E151" s="238" t="str">
        <f t="shared" si="53"/>
        <v/>
      </c>
      <c r="F151" s="210">
        <f t="shared" ca="1" si="67"/>
        <v>4.336822435865028E-2</v>
      </c>
      <c r="G151" s="211" t="str">
        <f t="shared" si="54"/>
        <v/>
      </c>
      <c r="H151" s="211" t="str">
        <f t="shared" si="55"/>
        <v/>
      </c>
      <c r="I151" s="238" t="str">
        <f t="shared" si="56"/>
        <v/>
      </c>
      <c r="J151" s="605">
        <f t="shared" ca="1" si="57"/>
        <v>3.8376774790896424E-3</v>
      </c>
      <c r="K151" s="236" t="str">
        <f t="shared" si="58"/>
        <v/>
      </c>
      <c r="L151" s="236" t="str">
        <f t="shared" si="59"/>
        <v/>
      </c>
      <c r="M151" s="211" t="str">
        <f t="shared" si="60"/>
        <v/>
      </c>
      <c r="N151" s="239" t="str">
        <f t="shared" si="61"/>
        <v/>
      </c>
      <c r="O151" s="244"/>
      <c r="P151" s="233">
        <f t="shared" ca="1" si="68"/>
        <v>2.3458177395633526E-2</v>
      </c>
      <c r="Q151" s="233">
        <f t="shared" ca="1" si="69"/>
        <v>1.6629848695658099E-4</v>
      </c>
      <c r="R151" s="233" t="str">
        <f t="shared" si="62"/>
        <v/>
      </c>
      <c r="S151" s="243"/>
      <c r="T151" s="233" t="str">
        <f t="shared" si="63"/>
        <v/>
      </c>
      <c r="U151" s="233" t="str">
        <f t="shared" si="64"/>
        <v/>
      </c>
      <c r="V151" s="233" t="str">
        <f t="shared" si="65"/>
        <v/>
      </c>
    </row>
    <row r="152" spans="1:22" ht="15" customHeight="1" x14ac:dyDescent="0.25">
      <c r="A152" s="209">
        <f t="shared" si="50"/>
        <v>2025</v>
      </c>
      <c r="B152" s="211">
        <f t="shared" ca="1" si="66"/>
        <v>0.83854876001242606</v>
      </c>
      <c r="C152" s="211" t="str">
        <f t="shared" si="51"/>
        <v/>
      </c>
      <c r="D152" s="211" t="str">
        <f t="shared" si="52"/>
        <v/>
      </c>
      <c r="E152" s="238" t="str">
        <f t="shared" si="53"/>
        <v/>
      </c>
      <c r="F152" s="210">
        <f t="shared" ca="1" si="67"/>
        <v>4.4409562960340473E-2</v>
      </c>
      <c r="G152" s="211" t="str">
        <f t="shared" si="54"/>
        <v/>
      </c>
      <c r="H152" s="211" t="str">
        <f t="shared" si="55"/>
        <v/>
      </c>
      <c r="I152" s="238" t="str">
        <f t="shared" si="56"/>
        <v/>
      </c>
      <c r="J152" s="605">
        <f t="shared" ca="1" si="57"/>
        <v>3.9298260915567804E-3</v>
      </c>
      <c r="K152" s="236" t="str">
        <f t="shared" si="58"/>
        <v/>
      </c>
      <c r="L152" s="236" t="str">
        <f t="shared" si="59"/>
        <v/>
      </c>
      <c r="M152" s="211" t="str">
        <f t="shared" si="60"/>
        <v/>
      </c>
      <c r="N152" s="239" t="str">
        <f t="shared" si="61"/>
        <v/>
      </c>
      <c r="O152" s="244"/>
      <c r="P152" s="233">
        <f t="shared" ca="1" si="68"/>
        <v>2.3458177395633526E-2</v>
      </c>
      <c r="Q152" s="233">
        <f t="shared" ca="1" si="69"/>
        <v>1.6629848695658099E-4</v>
      </c>
      <c r="R152" s="233" t="str">
        <f t="shared" si="62"/>
        <v/>
      </c>
      <c r="S152" s="243"/>
      <c r="T152" s="233" t="str">
        <f t="shared" si="63"/>
        <v/>
      </c>
      <c r="U152" s="233" t="str">
        <f t="shared" si="64"/>
        <v/>
      </c>
      <c r="V152" s="233" t="str">
        <f t="shared" si="65"/>
        <v/>
      </c>
    </row>
    <row r="153" spans="1:22" ht="15" customHeight="1" x14ac:dyDescent="0.25">
      <c r="A153" s="209">
        <f t="shared" si="50"/>
        <v>2026</v>
      </c>
      <c r="B153" s="211">
        <f t="shared" ca="1" si="66"/>
        <v>0.85721487205051072</v>
      </c>
      <c r="C153" s="211" t="str">
        <f t="shared" si="51"/>
        <v/>
      </c>
      <c r="D153" s="211" t="str">
        <f t="shared" si="52"/>
        <v/>
      </c>
      <c r="E153" s="238" t="str">
        <f t="shared" si="53"/>
        <v/>
      </c>
      <c r="F153" s="210">
        <f t="shared" ca="1" si="67"/>
        <v>4.486056029002284E-2</v>
      </c>
      <c r="G153" s="211" t="str">
        <f t="shared" si="54"/>
        <v/>
      </c>
      <c r="H153" s="211" t="str">
        <f t="shared" si="55"/>
        <v/>
      </c>
      <c r="I153" s="238" t="str">
        <f t="shared" si="56"/>
        <v/>
      </c>
      <c r="J153" s="605">
        <f t="shared" ca="1" si="57"/>
        <v>3.9697350876212309E-3</v>
      </c>
      <c r="K153" s="236" t="str">
        <f t="shared" si="58"/>
        <v/>
      </c>
      <c r="L153" s="236" t="str">
        <f t="shared" si="59"/>
        <v/>
      </c>
      <c r="M153" s="211" t="str">
        <f t="shared" si="60"/>
        <v/>
      </c>
      <c r="N153" s="239" t="str">
        <f t="shared" si="61"/>
        <v/>
      </c>
      <c r="O153" s="244"/>
      <c r="P153" s="233">
        <f t="shared" ca="1" si="68"/>
        <v>2.3458177395633526E-2</v>
      </c>
      <c r="Q153" s="233">
        <f t="shared" ca="1" si="69"/>
        <v>1.6629848695658099E-4</v>
      </c>
      <c r="R153" s="233" t="str">
        <f t="shared" si="62"/>
        <v/>
      </c>
      <c r="S153" s="243"/>
      <c r="T153" s="233" t="str">
        <f t="shared" si="63"/>
        <v/>
      </c>
      <c r="U153" s="233" t="str">
        <f t="shared" si="64"/>
        <v/>
      </c>
      <c r="V153" s="233" t="str">
        <f t="shared" si="65"/>
        <v/>
      </c>
    </row>
    <row r="154" spans="1:22" ht="15" customHeight="1" x14ac:dyDescent="0.25">
      <c r="A154" s="209">
        <f t="shared" si="50"/>
        <v>2027</v>
      </c>
      <c r="B154" s="211">
        <f t="shared" ca="1" si="66"/>
        <v>0.87216812621336393</v>
      </c>
      <c r="C154" s="211" t="str">
        <f t="shared" si="51"/>
        <v/>
      </c>
      <c r="D154" s="211" t="str">
        <f t="shared" si="52"/>
        <v/>
      </c>
      <c r="E154" s="238" t="str">
        <f t="shared" si="53"/>
        <v/>
      </c>
      <c r="F154" s="210">
        <f t="shared" ca="1" si="67"/>
        <v>4.5119034503127875E-2</v>
      </c>
      <c r="G154" s="211" t="str">
        <f t="shared" si="54"/>
        <v/>
      </c>
      <c r="H154" s="211" t="str">
        <f t="shared" si="55"/>
        <v/>
      </c>
      <c r="I154" s="238" t="str">
        <f t="shared" si="56"/>
        <v/>
      </c>
      <c r="J154" s="605">
        <f t="shared" ca="1" si="57"/>
        <v>3.9926076096400108E-3</v>
      </c>
      <c r="K154" s="236" t="str">
        <f t="shared" si="58"/>
        <v/>
      </c>
      <c r="L154" s="236" t="str">
        <f t="shared" si="59"/>
        <v/>
      </c>
      <c r="M154" s="211" t="str">
        <f t="shared" si="60"/>
        <v/>
      </c>
      <c r="N154" s="239" t="str">
        <f t="shared" si="61"/>
        <v/>
      </c>
      <c r="O154" s="244"/>
      <c r="P154" s="233">
        <f t="shared" ca="1" si="68"/>
        <v>2.3458177395633526E-2</v>
      </c>
      <c r="Q154" s="233">
        <f t="shared" ca="1" si="69"/>
        <v>1.6629848695658099E-4</v>
      </c>
      <c r="R154" s="233" t="str">
        <f t="shared" si="62"/>
        <v/>
      </c>
      <c r="S154" s="243"/>
      <c r="T154" s="233" t="str">
        <f t="shared" si="63"/>
        <v/>
      </c>
      <c r="U154" s="233" t="str">
        <f t="shared" si="64"/>
        <v/>
      </c>
      <c r="V154" s="233" t="str">
        <f t="shared" si="65"/>
        <v/>
      </c>
    </row>
    <row r="155" spans="1:22" ht="15" customHeight="1" x14ac:dyDescent="0.25">
      <c r="A155" s="209">
        <f t="shared" si="50"/>
        <v>2028</v>
      </c>
      <c r="B155" s="211">
        <f t="shared" ca="1" si="66"/>
        <v>0.8869931082840895</v>
      </c>
      <c r="C155" s="211" t="str">
        <f t="shared" si="51"/>
        <v/>
      </c>
      <c r="D155" s="211" t="str">
        <f t="shared" si="52"/>
        <v/>
      </c>
      <c r="E155" s="238" t="str">
        <f t="shared" si="53"/>
        <v/>
      </c>
      <c r="F155" s="210">
        <f t="shared" ca="1" si="67"/>
        <v>4.5412196027557805E-2</v>
      </c>
      <c r="G155" s="211" t="str">
        <f t="shared" si="54"/>
        <v/>
      </c>
      <c r="H155" s="211" t="str">
        <f t="shared" si="55"/>
        <v/>
      </c>
      <c r="I155" s="238" t="str">
        <f t="shared" si="56"/>
        <v/>
      </c>
      <c r="J155" s="605">
        <f t="shared" ca="1" si="57"/>
        <v>4.0185496304784981E-3</v>
      </c>
      <c r="K155" s="236" t="str">
        <f t="shared" si="58"/>
        <v/>
      </c>
      <c r="L155" s="236" t="str">
        <f t="shared" si="59"/>
        <v/>
      </c>
      <c r="M155" s="211" t="str">
        <f t="shared" si="60"/>
        <v/>
      </c>
      <c r="N155" s="239" t="str">
        <f t="shared" si="61"/>
        <v/>
      </c>
      <c r="O155" s="244"/>
      <c r="P155" s="233">
        <f t="shared" ca="1" si="68"/>
        <v>2.3458177395633526E-2</v>
      </c>
      <c r="Q155" s="233">
        <f t="shared" ca="1" si="69"/>
        <v>1.6629848695658099E-4</v>
      </c>
      <c r="R155" s="233" t="str">
        <f t="shared" si="62"/>
        <v/>
      </c>
      <c r="S155" s="243"/>
      <c r="T155" s="233" t="str">
        <f t="shared" si="63"/>
        <v/>
      </c>
      <c r="U155" s="233" t="str">
        <f t="shared" si="64"/>
        <v/>
      </c>
      <c r="V155" s="233" t="str">
        <f t="shared" si="65"/>
        <v/>
      </c>
    </row>
    <row r="156" spans="1:22" ht="15" customHeight="1" x14ac:dyDescent="0.25">
      <c r="A156" s="209">
        <f t="shared" si="50"/>
        <v>2029</v>
      </c>
      <c r="B156" s="211">
        <f t="shared" ca="1" si="66"/>
        <v>0.89944971970028698</v>
      </c>
      <c r="C156" s="211" t="str">
        <f t="shared" si="51"/>
        <v/>
      </c>
      <c r="D156" s="211" t="str">
        <f t="shared" si="52"/>
        <v/>
      </c>
      <c r="E156" s="238" t="str">
        <f t="shared" si="53"/>
        <v/>
      </c>
      <c r="F156" s="210">
        <f t="shared" ca="1" si="67"/>
        <v>4.5642522587511274E-2</v>
      </c>
      <c r="G156" s="211" t="str">
        <f t="shared" si="54"/>
        <v/>
      </c>
      <c r="H156" s="211" t="str">
        <f t="shared" si="55"/>
        <v/>
      </c>
      <c r="I156" s="238" t="str">
        <f t="shared" si="56"/>
        <v/>
      </c>
      <c r="J156" s="605">
        <f t="shared" ca="1" si="57"/>
        <v>4.0389313515436665E-3</v>
      </c>
      <c r="K156" s="236" t="str">
        <f t="shared" si="58"/>
        <v/>
      </c>
      <c r="L156" s="236" t="str">
        <f t="shared" si="59"/>
        <v/>
      </c>
      <c r="M156" s="211" t="str">
        <f t="shared" si="60"/>
        <v/>
      </c>
      <c r="N156" s="239" t="str">
        <f t="shared" si="61"/>
        <v/>
      </c>
      <c r="O156" s="244"/>
      <c r="P156" s="233">
        <f t="shared" ca="1" si="68"/>
        <v>2.3458177395633526E-2</v>
      </c>
      <c r="Q156" s="233">
        <f t="shared" ca="1" si="69"/>
        <v>1.6629848695658099E-4</v>
      </c>
      <c r="R156" s="233" t="str">
        <f t="shared" si="62"/>
        <v/>
      </c>
      <c r="S156" s="243"/>
      <c r="T156" s="233" t="str">
        <f t="shared" si="63"/>
        <v/>
      </c>
      <c r="U156" s="233" t="str">
        <f t="shared" si="64"/>
        <v/>
      </c>
      <c r="V156" s="233" t="str">
        <f t="shared" si="65"/>
        <v/>
      </c>
    </row>
    <row r="157" spans="1:22" ht="15" customHeight="1" x14ac:dyDescent="0.25">
      <c r="A157" s="209">
        <f t="shared" si="50"/>
        <v>2030</v>
      </c>
      <c r="B157" s="211">
        <f t="shared" ca="1" si="66"/>
        <v>0.90256127347738024</v>
      </c>
      <c r="C157" s="211" t="str">
        <f t="shared" si="51"/>
        <v/>
      </c>
      <c r="D157" s="211" t="str">
        <f t="shared" si="52"/>
        <v/>
      </c>
      <c r="E157" s="238" t="str">
        <f t="shared" si="53"/>
        <v/>
      </c>
      <c r="F157" s="210">
        <f t="shared" ca="1" si="67"/>
        <v>4.5802538278821484E-2</v>
      </c>
      <c r="G157" s="211" t="str">
        <f t="shared" si="54"/>
        <v/>
      </c>
      <c r="H157" s="211" t="str">
        <f t="shared" si="55"/>
        <v/>
      </c>
      <c r="I157" s="238" t="str">
        <f t="shared" si="56"/>
        <v/>
      </c>
      <c r="J157" s="605">
        <f t="shared" ca="1" si="57"/>
        <v>4.0530912260583274E-3</v>
      </c>
      <c r="K157" s="236" t="str">
        <f t="shared" si="58"/>
        <v/>
      </c>
      <c r="L157" s="236" t="str">
        <f t="shared" si="59"/>
        <v/>
      </c>
      <c r="M157" s="211" t="str">
        <f t="shared" si="60"/>
        <v/>
      </c>
      <c r="N157" s="239" t="str">
        <f t="shared" si="61"/>
        <v/>
      </c>
      <c r="O157" s="244"/>
      <c r="P157" s="233">
        <f t="shared" ca="1" si="68"/>
        <v>2.3458177395633526E-2</v>
      </c>
      <c r="Q157" s="233">
        <f t="shared" ca="1" si="69"/>
        <v>1.6629848695658099E-4</v>
      </c>
      <c r="R157" s="233" t="str">
        <f t="shared" si="62"/>
        <v/>
      </c>
      <c r="S157" s="243"/>
      <c r="T157" s="233" t="str">
        <f t="shared" si="63"/>
        <v/>
      </c>
      <c r="U157" s="233" t="str">
        <f t="shared" si="64"/>
        <v/>
      </c>
      <c r="V157" s="233" t="str">
        <f t="shared" si="65"/>
        <v/>
      </c>
    </row>
    <row r="158" spans="1:22" ht="15" customHeight="1" x14ac:dyDescent="0.25">
      <c r="A158" s="209">
        <f t="shared" si="50"/>
        <v>2031</v>
      </c>
      <c r="B158" s="211">
        <f t="shared" ca="1" si="66"/>
        <v>0.90643481546325078</v>
      </c>
      <c r="C158" s="211" t="str">
        <f t="shared" si="51"/>
        <v/>
      </c>
      <c r="D158" s="211" t="str">
        <f t="shared" si="52"/>
        <v/>
      </c>
      <c r="E158" s="238" t="str">
        <f t="shared" si="53"/>
        <v/>
      </c>
      <c r="F158" s="210">
        <f t="shared" ca="1" si="67"/>
        <v>4.5860563430189821E-2</v>
      </c>
      <c r="G158" s="211" t="str">
        <f t="shared" si="54"/>
        <v/>
      </c>
      <c r="H158" s="211" t="str">
        <f t="shared" si="55"/>
        <v/>
      </c>
      <c r="I158" s="238" t="str">
        <f t="shared" si="56"/>
        <v/>
      </c>
      <c r="J158" s="605">
        <f t="shared" ca="1" si="57"/>
        <v>4.0582259028849712E-3</v>
      </c>
      <c r="K158" s="236" t="str">
        <f t="shared" si="58"/>
        <v/>
      </c>
      <c r="L158" s="236" t="str">
        <f t="shared" si="59"/>
        <v/>
      </c>
      <c r="M158" s="211" t="str">
        <f t="shared" si="60"/>
        <v/>
      </c>
      <c r="N158" s="239" t="str">
        <f t="shared" si="61"/>
        <v/>
      </c>
      <c r="O158" s="244"/>
      <c r="P158" s="233">
        <f t="shared" ca="1" si="68"/>
        <v>2.3458177395633526E-2</v>
      </c>
      <c r="Q158" s="233">
        <f t="shared" ca="1" si="69"/>
        <v>1.6629848695658099E-4</v>
      </c>
      <c r="R158" s="233" t="str">
        <f t="shared" si="62"/>
        <v/>
      </c>
      <c r="S158" s="243"/>
      <c r="T158" s="233" t="str">
        <f t="shared" si="63"/>
        <v/>
      </c>
      <c r="U158" s="233" t="str">
        <f t="shared" si="64"/>
        <v/>
      </c>
      <c r="V158" s="233" t="str">
        <f t="shared" si="65"/>
        <v/>
      </c>
    </row>
    <row r="159" spans="1:22" ht="15" customHeight="1" x14ac:dyDescent="0.25">
      <c r="A159" s="209">
        <f t="shared" si="50"/>
        <v>2032</v>
      </c>
      <c r="B159" s="211">
        <f t="shared" ca="1" si="66"/>
        <v>0.90416337509049749</v>
      </c>
      <c r="C159" s="211" t="str">
        <f t="shared" si="51"/>
        <v/>
      </c>
      <c r="D159" s="211" t="str">
        <f t="shared" si="52"/>
        <v/>
      </c>
      <c r="E159" s="238" t="str">
        <f t="shared" si="53"/>
        <v/>
      </c>
      <c r="F159" s="210">
        <f t="shared" ca="1" si="67"/>
        <v>4.5755932917639706E-2</v>
      </c>
      <c r="G159" s="211" t="str">
        <f t="shared" si="54"/>
        <v/>
      </c>
      <c r="H159" s="211" t="str">
        <f t="shared" si="55"/>
        <v/>
      </c>
      <c r="I159" s="238" t="str">
        <f t="shared" si="56"/>
        <v/>
      </c>
      <c r="J159" s="605">
        <f t="shared" ca="1" si="57"/>
        <v>4.0489670926021591E-3</v>
      </c>
      <c r="K159" s="236" t="str">
        <f t="shared" si="58"/>
        <v/>
      </c>
      <c r="L159" s="236" t="str">
        <f t="shared" si="59"/>
        <v/>
      </c>
      <c r="M159" s="211" t="str">
        <f t="shared" si="60"/>
        <v/>
      </c>
      <c r="N159" s="239" t="str">
        <f t="shared" si="61"/>
        <v/>
      </c>
      <c r="O159" s="244"/>
      <c r="P159" s="233">
        <f t="shared" ca="1" si="68"/>
        <v>2.3458177395633526E-2</v>
      </c>
      <c r="Q159" s="233">
        <f t="shared" ca="1" si="69"/>
        <v>1.6629848695658099E-4</v>
      </c>
      <c r="R159" s="233" t="str">
        <f t="shared" si="62"/>
        <v/>
      </c>
      <c r="S159" s="243"/>
      <c r="T159" s="233" t="str">
        <f t="shared" si="63"/>
        <v/>
      </c>
      <c r="U159" s="233" t="str">
        <f t="shared" si="64"/>
        <v/>
      </c>
      <c r="V159" s="233" t="str">
        <f t="shared" si="65"/>
        <v/>
      </c>
    </row>
    <row r="160" spans="1:22" ht="15" customHeight="1" x14ac:dyDescent="0.25">
      <c r="A160" s="209">
        <f t="shared" si="50"/>
        <v>2033</v>
      </c>
      <c r="B160" s="211">
        <f t="shared" ca="1" si="66"/>
        <v>0.89518402286780474</v>
      </c>
      <c r="C160" s="211" t="str">
        <f t="shared" si="51"/>
        <v/>
      </c>
      <c r="D160" s="211" t="str">
        <f t="shared" si="52"/>
        <v/>
      </c>
      <c r="E160" s="238" t="str">
        <f t="shared" si="53"/>
        <v/>
      </c>
      <c r="F160" s="210">
        <f t="shared" ca="1" si="67"/>
        <v>4.559238319907085E-2</v>
      </c>
      <c r="G160" s="211" t="str">
        <f t="shared" si="54"/>
        <v/>
      </c>
      <c r="H160" s="211" t="str">
        <f t="shared" si="55"/>
        <v/>
      </c>
      <c r="I160" s="238" t="str">
        <f t="shared" si="56"/>
        <v/>
      </c>
      <c r="J160" s="605">
        <f t="shared" ca="1" si="57"/>
        <v>4.0344944901162336E-3</v>
      </c>
      <c r="K160" s="236" t="str">
        <f t="shared" si="58"/>
        <v/>
      </c>
      <c r="L160" s="236" t="str">
        <f t="shared" si="59"/>
        <v/>
      </c>
      <c r="M160" s="211" t="str">
        <f t="shared" si="60"/>
        <v/>
      </c>
      <c r="N160" s="239" t="str">
        <f t="shared" si="61"/>
        <v/>
      </c>
      <c r="O160" s="244"/>
      <c r="P160" s="233">
        <f t="shared" ca="1" si="68"/>
        <v>2.3458177395633526E-2</v>
      </c>
      <c r="Q160" s="233">
        <f t="shared" ca="1" si="69"/>
        <v>1.6629848695658099E-4</v>
      </c>
      <c r="R160" s="233" t="str">
        <f t="shared" si="62"/>
        <v/>
      </c>
      <c r="S160" s="243"/>
      <c r="T160" s="233" t="str">
        <f t="shared" si="63"/>
        <v/>
      </c>
      <c r="U160" s="233" t="str">
        <f t="shared" si="64"/>
        <v/>
      </c>
      <c r="V160" s="233" t="str">
        <f t="shared" si="65"/>
        <v/>
      </c>
    </row>
    <row r="161" spans="1:22" ht="15" customHeight="1" x14ac:dyDescent="0.25">
      <c r="A161" s="209">
        <f t="shared" si="50"/>
        <v>2034</v>
      </c>
      <c r="B161" s="211">
        <f t="shared" ca="1" si="66"/>
        <v>0.89495576275630706</v>
      </c>
      <c r="C161" s="211" t="str">
        <f t="shared" si="51"/>
        <v/>
      </c>
      <c r="D161" s="211" t="str">
        <f t="shared" si="52"/>
        <v/>
      </c>
      <c r="E161" s="238" t="str">
        <f t="shared" si="53"/>
        <v/>
      </c>
      <c r="F161" s="210">
        <f t="shared" ca="1" si="67"/>
        <v>4.5459878272543247E-2</v>
      </c>
      <c r="G161" s="211" t="str">
        <f t="shared" si="54"/>
        <v/>
      </c>
      <c r="H161" s="211" t="str">
        <f t="shared" si="55"/>
        <v/>
      </c>
      <c r="I161" s="238" t="str">
        <f t="shared" si="56"/>
        <v/>
      </c>
      <c r="J161" s="605">
        <f t="shared" ca="1" si="57"/>
        <v>4.0227690579611591E-3</v>
      </c>
      <c r="K161" s="236" t="str">
        <f t="shared" si="58"/>
        <v/>
      </c>
      <c r="L161" s="236" t="str">
        <f t="shared" si="59"/>
        <v/>
      </c>
      <c r="M161" s="211" t="str">
        <f t="shared" si="60"/>
        <v/>
      </c>
      <c r="N161" s="239" t="str">
        <f t="shared" si="61"/>
        <v/>
      </c>
      <c r="O161" s="244"/>
      <c r="P161" s="233">
        <f t="shared" ca="1" si="68"/>
        <v>2.3458177395633526E-2</v>
      </c>
      <c r="Q161" s="233">
        <f t="shared" ca="1" si="69"/>
        <v>1.6629848695658099E-4</v>
      </c>
      <c r="R161" s="233" t="str">
        <f t="shared" si="62"/>
        <v/>
      </c>
      <c r="S161" s="243"/>
      <c r="T161" s="233" t="str">
        <f t="shared" si="63"/>
        <v/>
      </c>
      <c r="U161" s="233" t="str">
        <f t="shared" si="64"/>
        <v/>
      </c>
      <c r="V161" s="233" t="str">
        <f t="shared" si="65"/>
        <v/>
      </c>
    </row>
    <row r="162" spans="1:22" ht="15" customHeight="1" x14ac:dyDescent="0.25">
      <c r="A162" s="209">
        <f t="shared" si="50"/>
        <v>2035</v>
      </c>
      <c r="B162" s="211">
        <f t="shared" ca="1" si="66"/>
        <v>0.90886082447145233</v>
      </c>
      <c r="C162" s="211" t="str">
        <f t="shared" si="51"/>
        <v/>
      </c>
      <c r="D162" s="211" t="str">
        <f t="shared" si="52"/>
        <v/>
      </c>
      <c r="E162" s="238" t="str">
        <f t="shared" si="53"/>
        <v/>
      </c>
      <c r="F162" s="210">
        <f t="shared" ca="1" si="67"/>
        <v>4.5620625280466391E-2</v>
      </c>
      <c r="G162" s="211" t="str">
        <f t="shared" si="54"/>
        <v/>
      </c>
      <c r="H162" s="211" t="str">
        <f t="shared" si="55"/>
        <v/>
      </c>
      <c r="I162" s="238" t="str">
        <f t="shared" si="56"/>
        <v/>
      </c>
      <c r="J162" s="605">
        <f t="shared" ca="1" si="57"/>
        <v>4.0369936470758998E-3</v>
      </c>
      <c r="K162" s="236" t="str">
        <f t="shared" si="58"/>
        <v/>
      </c>
      <c r="L162" s="236" t="str">
        <f t="shared" si="59"/>
        <v/>
      </c>
      <c r="M162" s="211" t="str">
        <f t="shared" si="60"/>
        <v/>
      </c>
      <c r="N162" s="239" t="str">
        <f t="shared" si="61"/>
        <v/>
      </c>
      <c r="O162" s="244"/>
      <c r="P162" s="233">
        <f t="shared" ca="1" si="68"/>
        <v>2.3458177395633526E-2</v>
      </c>
      <c r="Q162" s="233">
        <f t="shared" ca="1" si="69"/>
        <v>1.6629848695658099E-4</v>
      </c>
      <c r="R162" s="233" t="str">
        <f t="shared" si="62"/>
        <v/>
      </c>
      <c r="S162" s="243"/>
      <c r="T162" s="233" t="str">
        <f t="shared" si="63"/>
        <v/>
      </c>
      <c r="U162" s="233" t="str">
        <f t="shared" si="64"/>
        <v/>
      </c>
      <c r="V162" s="233" t="str">
        <f t="shared" si="65"/>
        <v/>
      </c>
    </row>
    <row r="163" spans="1:22" ht="15" customHeight="1" x14ac:dyDescent="0.25">
      <c r="A163" s="209">
        <f t="shared" si="50"/>
        <v>2036</v>
      </c>
      <c r="B163" s="211">
        <f t="shared" ca="1" si="66"/>
        <v>0.9094645747596668</v>
      </c>
      <c r="C163" s="211" t="str">
        <f t="shared" si="51"/>
        <v/>
      </c>
      <c r="D163" s="211" t="str">
        <f t="shared" si="52"/>
        <v/>
      </c>
      <c r="E163" s="238" t="str">
        <f t="shared" si="53"/>
        <v/>
      </c>
      <c r="F163" s="210">
        <f t="shared" ca="1" si="67"/>
        <v>4.5786497532014782E-2</v>
      </c>
      <c r="G163" s="211" t="str">
        <f t="shared" si="54"/>
        <v/>
      </c>
      <c r="H163" s="211" t="str">
        <f t="shared" si="55"/>
        <v/>
      </c>
      <c r="I163" s="238" t="str">
        <f t="shared" si="56"/>
        <v/>
      </c>
      <c r="J163" s="605">
        <f t="shared" ca="1" si="57"/>
        <v>4.0516717717532869E-3</v>
      </c>
      <c r="K163" s="236" t="str">
        <f t="shared" si="58"/>
        <v/>
      </c>
      <c r="L163" s="236" t="str">
        <f t="shared" si="59"/>
        <v/>
      </c>
      <c r="M163" s="211" t="str">
        <f t="shared" si="60"/>
        <v/>
      </c>
      <c r="N163" s="239" t="str">
        <f t="shared" si="61"/>
        <v/>
      </c>
      <c r="O163" s="244"/>
      <c r="P163" s="233">
        <f t="shared" ca="1" si="68"/>
        <v>2.3458177395633526E-2</v>
      </c>
      <c r="Q163" s="233">
        <f t="shared" ca="1" si="69"/>
        <v>1.6629848695658099E-4</v>
      </c>
      <c r="R163" s="233" t="str">
        <f t="shared" si="62"/>
        <v/>
      </c>
      <c r="S163" s="243"/>
      <c r="T163" s="233" t="str">
        <f t="shared" si="63"/>
        <v/>
      </c>
      <c r="U163" s="233" t="str">
        <f t="shared" si="64"/>
        <v/>
      </c>
      <c r="V163" s="233" t="str">
        <f t="shared" si="65"/>
        <v/>
      </c>
    </row>
    <row r="164" spans="1:22" ht="15" customHeight="1" x14ac:dyDescent="0.25">
      <c r="A164" s="209">
        <f t="shared" si="50"/>
        <v>2037</v>
      </c>
      <c r="B164" s="211">
        <f t="shared" ca="1" si="66"/>
        <v>0.91112951288036981</v>
      </c>
      <c r="C164" s="211" t="str">
        <f t="shared" si="51"/>
        <v/>
      </c>
      <c r="D164" s="211" t="str">
        <f t="shared" si="52"/>
        <v/>
      </c>
      <c r="E164" s="238" t="str">
        <f t="shared" si="53"/>
        <v/>
      </c>
      <c r="F164" s="210">
        <f t="shared" ca="1" si="67"/>
        <v>4.5751878530483403E-2</v>
      </c>
      <c r="G164" s="211" t="str">
        <f t="shared" si="54"/>
        <v/>
      </c>
      <c r="H164" s="211" t="str">
        <f t="shared" si="55"/>
        <v/>
      </c>
      <c r="I164" s="238" t="str">
        <f t="shared" si="56"/>
        <v/>
      </c>
      <c r="J164" s="605">
        <f t="shared" ca="1" si="57"/>
        <v>4.0486083177039157E-3</v>
      </c>
      <c r="K164" s="236" t="str">
        <f t="shared" si="58"/>
        <v/>
      </c>
      <c r="L164" s="236" t="str">
        <f t="shared" si="59"/>
        <v/>
      </c>
      <c r="M164" s="211" t="str">
        <f t="shared" si="60"/>
        <v/>
      </c>
      <c r="N164" s="239" t="str">
        <f t="shared" si="61"/>
        <v/>
      </c>
      <c r="O164" s="244"/>
      <c r="P164" s="233">
        <f t="shared" ca="1" si="68"/>
        <v>2.3458177395633526E-2</v>
      </c>
      <c r="Q164" s="233">
        <f t="shared" ca="1" si="69"/>
        <v>1.6629848695658099E-4</v>
      </c>
      <c r="R164" s="233" t="str">
        <f t="shared" si="62"/>
        <v/>
      </c>
      <c r="S164" s="243"/>
      <c r="T164" s="233" t="str">
        <f t="shared" si="63"/>
        <v/>
      </c>
      <c r="U164" s="233" t="str">
        <f t="shared" si="64"/>
        <v/>
      </c>
      <c r="V164" s="233" t="str">
        <f t="shared" si="65"/>
        <v/>
      </c>
    </row>
    <row r="165" spans="1:22" ht="15" customHeight="1" x14ac:dyDescent="0.25">
      <c r="A165" s="209">
        <f t="shared" si="50"/>
        <v>2038</v>
      </c>
      <c r="B165" s="211">
        <f t="shared" ca="1" si="66"/>
        <v>0.91024169876954131</v>
      </c>
      <c r="C165" s="211" t="str">
        <f t="shared" si="51"/>
        <v/>
      </c>
      <c r="D165" s="211" t="str">
        <f t="shared" si="52"/>
        <v/>
      </c>
      <c r="E165" s="238" t="str">
        <f t="shared" si="53"/>
        <v/>
      </c>
      <c r="F165" s="210">
        <f t="shared" ca="1" si="67"/>
        <v>4.576204061682463E-2</v>
      </c>
      <c r="G165" s="211" t="str">
        <f t="shared" si="54"/>
        <v/>
      </c>
      <c r="H165" s="211" t="str">
        <f t="shared" si="55"/>
        <v/>
      </c>
      <c r="I165" s="238" t="str">
        <f t="shared" si="56"/>
        <v/>
      </c>
      <c r="J165" s="605">
        <f t="shared" ca="1" si="57"/>
        <v>4.049507566185241E-3</v>
      </c>
      <c r="K165" s="236" t="str">
        <f t="shared" si="58"/>
        <v/>
      </c>
      <c r="L165" s="236" t="str">
        <f t="shared" si="59"/>
        <v/>
      </c>
      <c r="M165" s="211" t="str">
        <f t="shared" si="60"/>
        <v/>
      </c>
      <c r="N165" s="239" t="str">
        <f t="shared" si="61"/>
        <v/>
      </c>
      <c r="O165" s="244"/>
      <c r="P165" s="233">
        <f t="shared" ca="1" si="68"/>
        <v>2.3458177395633526E-2</v>
      </c>
      <c r="Q165" s="233">
        <f t="shared" ca="1" si="69"/>
        <v>1.6629848695658099E-4</v>
      </c>
      <c r="R165" s="233" t="str">
        <f t="shared" si="62"/>
        <v/>
      </c>
      <c r="S165" s="243"/>
      <c r="T165" s="233" t="str">
        <f t="shared" si="63"/>
        <v/>
      </c>
      <c r="U165" s="233" t="str">
        <f t="shared" si="64"/>
        <v/>
      </c>
      <c r="V165" s="233" t="str">
        <f t="shared" si="65"/>
        <v/>
      </c>
    </row>
    <row r="166" spans="1:22" ht="15" customHeight="1" x14ac:dyDescent="0.25">
      <c r="A166" s="209">
        <f t="shared" si="50"/>
        <v>2039</v>
      </c>
      <c r="B166" s="211">
        <f t="shared" ca="1" si="66"/>
        <v>0.91369785957363781</v>
      </c>
      <c r="C166" s="211" t="str">
        <f t="shared" si="51"/>
        <v/>
      </c>
      <c r="D166" s="211" t="str">
        <f t="shared" si="52"/>
        <v/>
      </c>
      <c r="E166" s="238" t="str">
        <f t="shared" si="53"/>
        <v/>
      </c>
      <c r="F166" s="210">
        <f t="shared" ca="1" si="67"/>
        <v>4.5797457235650881E-2</v>
      </c>
      <c r="G166" s="211" t="str">
        <f t="shared" si="54"/>
        <v/>
      </c>
      <c r="H166" s="211" t="str">
        <f t="shared" si="55"/>
        <v/>
      </c>
      <c r="I166" s="238" t="str">
        <f t="shared" si="56"/>
        <v/>
      </c>
      <c r="J166" s="605">
        <f t="shared" ca="1" si="57"/>
        <v>4.0526416018176652E-3</v>
      </c>
      <c r="K166" s="236" t="str">
        <f t="shared" si="58"/>
        <v/>
      </c>
      <c r="L166" s="236" t="str">
        <f t="shared" si="59"/>
        <v/>
      </c>
      <c r="M166" s="211" t="str">
        <f t="shared" si="60"/>
        <v/>
      </c>
      <c r="N166" s="239" t="str">
        <f t="shared" si="61"/>
        <v/>
      </c>
      <c r="O166" s="244"/>
      <c r="P166" s="233">
        <f t="shared" ca="1" si="68"/>
        <v>2.3458177395633526E-2</v>
      </c>
      <c r="Q166" s="233">
        <f t="shared" ca="1" si="69"/>
        <v>1.6629848695658099E-4</v>
      </c>
      <c r="R166" s="233" t="str">
        <f t="shared" si="62"/>
        <v/>
      </c>
      <c r="S166" s="243"/>
      <c r="T166" s="233" t="str">
        <f t="shared" si="63"/>
        <v/>
      </c>
      <c r="U166" s="233" t="str">
        <f t="shared" si="64"/>
        <v/>
      </c>
      <c r="V166" s="233" t="str">
        <f t="shared" si="65"/>
        <v/>
      </c>
    </row>
    <row r="167" spans="1:22" ht="15" customHeight="1" x14ac:dyDescent="0.25">
      <c r="A167" s="209">
        <f t="shared" si="50"/>
        <v>2040</v>
      </c>
      <c r="B167" s="211">
        <f t="shared" ca="1" si="66"/>
        <v>0.90677651763953826</v>
      </c>
      <c r="C167" s="211" t="str">
        <f t="shared" si="51"/>
        <v/>
      </c>
      <c r="D167" s="211" t="str">
        <f t="shared" si="52"/>
        <v/>
      </c>
      <c r="E167" s="238" t="str">
        <f t="shared" si="53"/>
        <v/>
      </c>
      <c r="F167" s="210">
        <f t="shared" ca="1" si="67"/>
        <v>4.5690074240244405E-2</v>
      </c>
      <c r="G167" s="211" t="str">
        <f t="shared" si="54"/>
        <v/>
      </c>
      <c r="H167" s="211" t="str">
        <f t="shared" si="55"/>
        <v/>
      </c>
      <c r="I167" s="238" t="str">
        <f t="shared" si="56"/>
        <v/>
      </c>
      <c r="J167" s="605">
        <f t="shared" ca="1" si="57"/>
        <v>4.0431392228477405E-3</v>
      </c>
      <c r="K167" s="236" t="str">
        <f t="shared" si="58"/>
        <v/>
      </c>
      <c r="L167" s="236" t="str">
        <f t="shared" si="59"/>
        <v/>
      </c>
      <c r="M167" s="211" t="str">
        <f t="shared" si="60"/>
        <v/>
      </c>
      <c r="N167" s="239" t="str">
        <f t="shared" si="61"/>
        <v/>
      </c>
      <c r="O167" s="244"/>
      <c r="P167" s="233">
        <f t="shared" ca="1" si="68"/>
        <v>2.3458177395633526E-2</v>
      </c>
      <c r="Q167" s="233">
        <f t="shared" ca="1" si="69"/>
        <v>1.6629848695658099E-4</v>
      </c>
      <c r="R167" s="233" t="str">
        <f t="shared" si="62"/>
        <v/>
      </c>
      <c r="S167" s="243"/>
      <c r="T167" s="233" t="str">
        <f t="shared" si="63"/>
        <v/>
      </c>
      <c r="U167" s="233" t="str">
        <f t="shared" si="64"/>
        <v/>
      </c>
      <c r="V167" s="233" t="str">
        <f t="shared" si="65"/>
        <v/>
      </c>
    </row>
    <row r="168" spans="1:22" ht="15" customHeight="1" x14ac:dyDescent="0.25">
      <c r="A168" s="209">
        <f t="shared" si="50"/>
        <v>2041</v>
      </c>
      <c r="B168" s="211">
        <f t="shared" ca="1" si="66"/>
        <v>0.90750991600179831</v>
      </c>
      <c r="C168" s="211" t="str">
        <f t="shared" si="51"/>
        <v/>
      </c>
      <c r="D168" s="211" t="str">
        <f t="shared" si="52"/>
        <v/>
      </c>
      <c r="E168" s="238" t="str">
        <f t="shared" si="53"/>
        <v/>
      </c>
      <c r="F168" s="210">
        <f t="shared" ca="1" si="67"/>
        <v>4.5555702849064572E-2</v>
      </c>
      <c r="G168" s="211" t="str">
        <f t="shared" si="54"/>
        <v/>
      </c>
      <c r="H168" s="211" t="str">
        <f t="shared" si="55"/>
        <v/>
      </c>
      <c r="I168" s="238" t="str">
        <f t="shared" si="56"/>
        <v/>
      </c>
      <c r="J168" s="605">
        <f t="shared" ca="1" si="57"/>
        <v>4.031248626232573E-3</v>
      </c>
      <c r="K168" s="236" t="str">
        <f t="shared" si="58"/>
        <v/>
      </c>
      <c r="L168" s="236" t="str">
        <f t="shared" si="59"/>
        <v/>
      </c>
      <c r="M168" s="211" t="str">
        <f t="shared" si="60"/>
        <v/>
      </c>
      <c r="N168" s="239" t="str">
        <f t="shared" si="61"/>
        <v/>
      </c>
      <c r="O168" s="244"/>
      <c r="P168" s="233">
        <f t="shared" ca="1" si="68"/>
        <v>2.3458177395633526E-2</v>
      </c>
      <c r="Q168" s="233">
        <f t="shared" ca="1" si="69"/>
        <v>1.6629848695658099E-4</v>
      </c>
      <c r="R168" s="233" t="str">
        <f t="shared" si="62"/>
        <v/>
      </c>
      <c r="S168" s="243"/>
      <c r="T168" s="233" t="str">
        <f t="shared" si="63"/>
        <v/>
      </c>
      <c r="U168" s="233" t="str">
        <f t="shared" si="64"/>
        <v/>
      </c>
      <c r="V168" s="233" t="str">
        <f t="shared" si="65"/>
        <v/>
      </c>
    </row>
    <row r="169" spans="1:22" ht="15" customHeight="1" x14ac:dyDescent="0.25">
      <c r="A169" s="209">
        <f t="shared" si="50"/>
        <v>2042</v>
      </c>
      <c r="B169" s="211">
        <f t="shared" ca="1" si="66"/>
        <v>0.91624785984133328</v>
      </c>
      <c r="C169" s="211" t="str">
        <f t="shared" si="51"/>
        <v/>
      </c>
      <c r="D169" s="211" t="str">
        <f t="shared" si="52"/>
        <v/>
      </c>
      <c r="E169" s="238" t="str">
        <f t="shared" si="53"/>
        <v/>
      </c>
      <c r="F169" s="210">
        <f t="shared" ca="1" si="67"/>
        <v>4.5608540474348862E-2</v>
      </c>
      <c r="G169" s="211" t="str">
        <f t="shared" si="54"/>
        <v/>
      </c>
      <c r="H169" s="211" t="str">
        <f t="shared" si="55"/>
        <v/>
      </c>
      <c r="I169" s="238" t="str">
        <f t="shared" si="56"/>
        <v/>
      </c>
      <c r="J169" s="605">
        <f t="shared" ca="1" si="57"/>
        <v>4.0359242560883213E-3</v>
      </c>
      <c r="K169" s="236" t="str">
        <f t="shared" si="58"/>
        <v/>
      </c>
      <c r="L169" s="236" t="str">
        <f t="shared" si="59"/>
        <v/>
      </c>
      <c r="M169" s="211" t="str">
        <f t="shared" si="60"/>
        <v/>
      </c>
      <c r="N169" s="239" t="str">
        <f t="shared" si="61"/>
        <v/>
      </c>
      <c r="O169" s="244"/>
      <c r="P169" s="233">
        <f t="shared" ca="1" si="68"/>
        <v>2.3458177395633526E-2</v>
      </c>
      <c r="Q169" s="233">
        <f t="shared" ca="1" si="69"/>
        <v>1.6629848695658099E-4</v>
      </c>
      <c r="R169" s="233" t="str">
        <f t="shared" si="62"/>
        <v/>
      </c>
      <c r="S169" s="243"/>
      <c r="T169" s="233" t="str">
        <f t="shared" si="63"/>
        <v/>
      </c>
      <c r="U169" s="233" t="str">
        <f t="shared" si="64"/>
        <v/>
      </c>
      <c r="V169" s="233" t="str">
        <f t="shared" si="65"/>
        <v/>
      </c>
    </row>
    <row r="170" spans="1:22" ht="15" customHeight="1" x14ac:dyDescent="0.25">
      <c r="A170" s="209">
        <f t="shared" si="50"/>
        <v>2043</v>
      </c>
      <c r="B170" s="211">
        <f t="shared" ca="1" si="66"/>
        <v>0.92962240408367414</v>
      </c>
      <c r="C170" s="211" t="str">
        <f t="shared" si="51"/>
        <v/>
      </c>
      <c r="D170" s="211" t="str">
        <f t="shared" si="52"/>
        <v/>
      </c>
      <c r="E170" s="238" t="str">
        <f t="shared" si="53"/>
        <v/>
      </c>
      <c r="F170" s="210">
        <f t="shared" ca="1" si="67"/>
        <v>4.5747727705971547E-2</v>
      </c>
      <c r="G170" s="211" t="str">
        <f t="shared" si="54"/>
        <v/>
      </c>
      <c r="H170" s="211" t="str">
        <f t="shared" si="55"/>
        <v/>
      </c>
      <c r="I170" s="238" t="str">
        <f t="shared" si="56"/>
        <v/>
      </c>
      <c r="J170" s="605">
        <f t="shared" ca="1" si="57"/>
        <v>4.0482410090122555E-3</v>
      </c>
      <c r="K170" s="236" t="str">
        <f t="shared" si="58"/>
        <v/>
      </c>
      <c r="L170" s="236" t="str">
        <f t="shared" si="59"/>
        <v/>
      </c>
      <c r="M170" s="211" t="str">
        <f t="shared" si="60"/>
        <v/>
      </c>
      <c r="N170" s="239" t="str">
        <f t="shared" si="61"/>
        <v/>
      </c>
      <c r="O170" s="244"/>
      <c r="P170" s="233">
        <f t="shared" ca="1" si="68"/>
        <v>2.3458177395633526E-2</v>
      </c>
      <c r="Q170" s="233">
        <f t="shared" ca="1" si="69"/>
        <v>1.6629848695658099E-4</v>
      </c>
      <c r="R170" s="233" t="str">
        <f t="shared" si="62"/>
        <v/>
      </c>
      <c r="S170" s="243"/>
      <c r="T170" s="233" t="str">
        <f t="shared" si="63"/>
        <v/>
      </c>
      <c r="U170" s="233" t="str">
        <f t="shared" si="64"/>
        <v/>
      </c>
      <c r="V170" s="233" t="str">
        <f t="shared" si="65"/>
        <v/>
      </c>
    </row>
    <row r="171" spans="1:22" ht="15" customHeight="1" x14ac:dyDescent="0.25">
      <c r="A171" s="209">
        <f t="shared" si="50"/>
        <v>2044</v>
      </c>
      <c r="B171" s="211">
        <f t="shared" ca="1" si="66"/>
        <v>0.93878919562096586</v>
      </c>
      <c r="C171" s="211" t="str">
        <f t="shared" si="51"/>
        <v/>
      </c>
      <c r="D171" s="211" t="str">
        <f t="shared" si="52"/>
        <v/>
      </c>
      <c r="E171" s="238" t="str">
        <f t="shared" si="53"/>
        <v/>
      </c>
      <c r="F171" s="210">
        <f t="shared" ca="1" si="67"/>
        <v>4.5920099433461786E-2</v>
      </c>
      <c r="G171" s="211" t="str">
        <f t="shared" si="54"/>
        <v/>
      </c>
      <c r="H171" s="211" t="str">
        <f t="shared" si="55"/>
        <v/>
      </c>
      <c r="I171" s="238" t="str">
        <f t="shared" si="56"/>
        <v/>
      </c>
      <c r="J171" s="605">
        <f t="shared" ca="1" si="57"/>
        <v>4.063494275808481E-3</v>
      </c>
      <c r="K171" s="236" t="str">
        <f t="shared" si="58"/>
        <v/>
      </c>
      <c r="L171" s="236" t="str">
        <f t="shared" si="59"/>
        <v/>
      </c>
      <c r="M171" s="211" t="str">
        <f t="shared" si="60"/>
        <v/>
      </c>
      <c r="N171" s="239" t="str">
        <f t="shared" si="61"/>
        <v/>
      </c>
      <c r="O171" s="244"/>
      <c r="P171" s="233">
        <f t="shared" ca="1" si="68"/>
        <v>2.3458177395633526E-2</v>
      </c>
      <c r="Q171" s="233">
        <f t="shared" ca="1" si="69"/>
        <v>1.6629848695658099E-4</v>
      </c>
      <c r="R171" s="233" t="str">
        <f t="shared" si="62"/>
        <v/>
      </c>
      <c r="S171" s="243"/>
      <c r="T171" s="233" t="str">
        <f t="shared" si="63"/>
        <v/>
      </c>
      <c r="U171" s="233" t="str">
        <f t="shared" si="64"/>
        <v/>
      </c>
      <c r="V171" s="233" t="str">
        <f t="shared" si="65"/>
        <v/>
      </c>
    </row>
    <row r="172" spans="1:22" ht="15" customHeight="1" x14ac:dyDescent="0.25">
      <c r="A172" s="209">
        <f t="shared" si="50"/>
        <v>2045</v>
      </c>
      <c r="B172" s="211">
        <f t="shared" ca="1" si="66"/>
        <v>0.95084386743024618</v>
      </c>
      <c r="C172" s="211" t="str">
        <f t="shared" si="51"/>
        <v/>
      </c>
      <c r="D172" s="211" t="str">
        <f t="shared" si="52"/>
        <v/>
      </c>
      <c r="E172" s="238" t="str">
        <f t="shared" si="53"/>
        <v/>
      </c>
      <c r="F172" s="210">
        <f t="shared" ca="1" si="67"/>
        <v>4.6087844176997128E-2</v>
      </c>
      <c r="G172" s="211" t="str">
        <f t="shared" si="54"/>
        <v/>
      </c>
      <c r="H172" s="211" t="str">
        <f t="shared" si="55"/>
        <v/>
      </c>
      <c r="I172" s="238" t="str">
        <f t="shared" si="56"/>
        <v/>
      </c>
      <c r="J172" s="605">
        <f t="shared" ca="1" si="57"/>
        <v>4.0783380983080491E-3</v>
      </c>
      <c r="K172" s="236" t="str">
        <f t="shared" si="58"/>
        <v/>
      </c>
      <c r="L172" s="236" t="str">
        <f t="shared" si="59"/>
        <v/>
      </c>
      <c r="M172" s="211" t="str">
        <f t="shared" si="60"/>
        <v/>
      </c>
      <c r="N172" s="239" t="str">
        <f t="shared" si="61"/>
        <v/>
      </c>
      <c r="O172" s="244"/>
      <c r="P172" s="233">
        <f t="shared" ca="1" si="68"/>
        <v>2.3458177395633526E-2</v>
      </c>
      <c r="Q172" s="233">
        <f t="shared" ca="1" si="69"/>
        <v>1.6629848695658099E-4</v>
      </c>
      <c r="R172" s="233" t="str">
        <f t="shared" si="62"/>
        <v/>
      </c>
      <c r="S172" s="243"/>
      <c r="T172" s="233" t="str">
        <f t="shared" si="63"/>
        <v/>
      </c>
      <c r="U172" s="233" t="str">
        <f t="shared" si="64"/>
        <v/>
      </c>
      <c r="V172" s="233" t="str">
        <f t="shared" si="65"/>
        <v/>
      </c>
    </row>
    <row r="173" spans="1:22" ht="15" customHeight="1" x14ac:dyDescent="0.25">
      <c r="A173" s="209">
        <f t="shared" si="50"/>
        <v>2046</v>
      </c>
      <c r="B173" s="211">
        <f t="shared" ca="1" si="66"/>
        <v>0.96005927699530491</v>
      </c>
      <c r="C173" s="211" t="str">
        <f t="shared" si="51"/>
        <v/>
      </c>
      <c r="D173" s="211" t="str">
        <f t="shared" si="52"/>
        <v/>
      </c>
      <c r="E173" s="238" t="str">
        <f t="shared" si="53"/>
        <v/>
      </c>
      <c r="F173" s="210">
        <f t="shared" ca="1" si="67"/>
        <v>4.6258391631178182E-2</v>
      </c>
      <c r="G173" s="211" t="str">
        <f t="shared" si="54"/>
        <v/>
      </c>
      <c r="H173" s="211" t="str">
        <f t="shared" si="55"/>
        <v/>
      </c>
      <c r="I173" s="238" t="str">
        <f t="shared" si="56"/>
        <v/>
      </c>
      <c r="J173" s="605">
        <f t="shared" ca="1" si="57"/>
        <v>4.0934299341788011E-3</v>
      </c>
      <c r="K173" s="236" t="str">
        <f t="shared" si="58"/>
        <v/>
      </c>
      <c r="L173" s="236" t="str">
        <f t="shared" si="59"/>
        <v/>
      </c>
      <c r="M173" s="211" t="str">
        <f t="shared" si="60"/>
        <v/>
      </c>
      <c r="N173" s="239" t="str">
        <f t="shared" si="61"/>
        <v/>
      </c>
      <c r="O173" s="244"/>
      <c r="P173" s="233">
        <f t="shared" ca="1" si="68"/>
        <v>2.3458177395633526E-2</v>
      </c>
      <c r="Q173" s="233">
        <f t="shared" ca="1" si="69"/>
        <v>1.6629848695658099E-4</v>
      </c>
      <c r="R173" s="233" t="str">
        <f t="shared" si="62"/>
        <v/>
      </c>
      <c r="S173" s="243"/>
      <c r="T173" s="233" t="str">
        <f t="shared" si="63"/>
        <v/>
      </c>
      <c r="U173" s="233" t="str">
        <f t="shared" si="64"/>
        <v/>
      </c>
      <c r="V173" s="233" t="str">
        <f t="shared" si="65"/>
        <v/>
      </c>
    </row>
    <row r="174" spans="1:22" ht="15" customHeight="1" x14ac:dyDescent="0.25">
      <c r="A174" s="209">
        <f t="shared" si="50"/>
        <v>2047</v>
      </c>
      <c r="B174" s="211">
        <f t="shared" ca="1" si="66"/>
        <v>0.97016724016446498</v>
      </c>
      <c r="C174" s="211" t="str">
        <f t="shared" si="51"/>
        <v/>
      </c>
      <c r="D174" s="211" t="str">
        <f t="shared" si="52"/>
        <v/>
      </c>
      <c r="E174" s="238" t="str">
        <f t="shared" si="53"/>
        <v/>
      </c>
      <c r="F174" s="210">
        <f t="shared" ca="1" si="67"/>
        <v>4.6411435705326666E-2</v>
      </c>
      <c r="G174" s="211" t="str">
        <f t="shared" si="54"/>
        <v/>
      </c>
      <c r="H174" s="211" t="str">
        <f t="shared" si="55"/>
        <v/>
      </c>
      <c r="I174" s="238" t="str">
        <f t="shared" si="56"/>
        <v/>
      </c>
      <c r="J174" s="605">
        <f t="shared" ca="1" si="57"/>
        <v>4.1069728865443531E-3</v>
      </c>
      <c r="K174" s="236" t="str">
        <f t="shared" si="58"/>
        <v/>
      </c>
      <c r="L174" s="236" t="str">
        <f t="shared" si="59"/>
        <v/>
      </c>
      <c r="M174" s="211" t="str">
        <f t="shared" si="60"/>
        <v/>
      </c>
      <c r="N174" s="239" t="str">
        <f t="shared" si="61"/>
        <v/>
      </c>
      <c r="O174" s="244"/>
      <c r="P174" s="233">
        <f t="shared" ca="1" si="68"/>
        <v>2.3458177395633526E-2</v>
      </c>
      <c r="Q174" s="233">
        <f t="shared" ca="1" si="69"/>
        <v>1.6629848695658099E-4</v>
      </c>
      <c r="R174" s="233" t="str">
        <f t="shared" si="62"/>
        <v/>
      </c>
      <c r="S174" s="243"/>
      <c r="T174" s="233" t="str">
        <f t="shared" si="63"/>
        <v/>
      </c>
      <c r="U174" s="233" t="str">
        <f t="shared" si="64"/>
        <v/>
      </c>
      <c r="V174" s="233" t="str">
        <f t="shared" si="65"/>
        <v/>
      </c>
    </row>
    <row r="175" spans="1:22" ht="15" customHeight="1" x14ac:dyDescent="0.25">
      <c r="A175" s="209">
        <f t="shared" si="50"/>
        <v>2048</v>
      </c>
      <c r="B175" s="211">
        <f t="shared" ca="1" si="66"/>
        <v>0.98794997181123445</v>
      </c>
      <c r="C175" s="211" t="str">
        <f t="shared" si="51"/>
        <v/>
      </c>
      <c r="D175" s="211" t="str">
        <f t="shared" si="52"/>
        <v/>
      </c>
      <c r="E175" s="238" t="str">
        <f t="shared" si="53"/>
        <v/>
      </c>
      <c r="F175" s="210">
        <f t="shared" ca="1" si="67"/>
        <v>4.6583588439655335E-2</v>
      </c>
      <c r="G175" s="211" t="str">
        <f t="shared" si="54"/>
        <v/>
      </c>
      <c r="H175" s="211" t="str">
        <f t="shared" si="55"/>
        <v/>
      </c>
      <c r="I175" s="238" t="str">
        <f t="shared" si="56"/>
        <v/>
      </c>
      <c r="J175" s="605">
        <f t="shared" ca="1" si="57"/>
        <v>4.1222067745180268E-3</v>
      </c>
      <c r="K175" s="236" t="str">
        <f t="shared" si="58"/>
        <v/>
      </c>
      <c r="L175" s="236" t="str">
        <f t="shared" si="59"/>
        <v/>
      </c>
      <c r="M175" s="211" t="str">
        <f t="shared" si="60"/>
        <v/>
      </c>
      <c r="N175" s="239" t="str">
        <f t="shared" si="61"/>
        <v/>
      </c>
      <c r="O175" s="244"/>
      <c r="P175" s="233">
        <f t="shared" ca="1" si="68"/>
        <v>2.3458177395633526E-2</v>
      </c>
      <c r="Q175" s="233">
        <f t="shared" ca="1" si="69"/>
        <v>1.6629848695658099E-4</v>
      </c>
      <c r="R175" s="233" t="str">
        <f t="shared" si="62"/>
        <v/>
      </c>
      <c r="S175" s="243"/>
      <c r="T175" s="233" t="str">
        <f t="shared" si="63"/>
        <v/>
      </c>
      <c r="U175" s="233" t="str">
        <f t="shared" si="64"/>
        <v/>
      </c>
      <c r="V175" s="233" t="str">
        <f t="shared" si="65"/>
        <v/>
      </c>
    </row>
    <row r="176" spans="1:22" ht="15" customHeight="1" x14ac:dyDescent="0.25">
      <c r="A176" s="209">
        <f t="shared" si="50"/>
        <v>2049</v>
      </c>
      <c r="B176" s="211">
        <f t="shared" ca="1" si="66"/>
        <v>0.99373597577615669</v>
      </c>
      <c r="C176" s="211" t="str">
        <f t="shared" si="51"/>
        <v/>
      </c>
      <c r="D176" s="211" t="str">
        <f t="shared" si="52"/>
        <v/>
      </c>
      <c r="E176" s="238" t="str">
        <f t="shared" si="53"/>
        <v/>
      </c>
      <c r="F176" s="210">
        <f t="shared" ca="1" si="67"/>
        <v>4.6732740864685013E-2</v>
      </c>
      <c r="G176" s="211" t="str">
        <f t="shared" si="54"/>
        <v/>
      </c>
      <c r="H176" s="211" t="str">
        <f t="shared" si="55"/>
        <v/>
      </c>
      <c r="I176" s="238" t="str">
        <f t="shared" si="56"/>
        <v/>
      </c>
      <c r="J176" s="605">
        <f t="shared" ca="1" si="57"/>
        <v>4.1354053527617269E-3</v>
      </c>
      <c r="K176" s="236" t="str">
        <f t="shared" si="58"/>
        <v/>
      </c>
      <c r="L176" s="236" t="str">
        <f t="shared" si="59"/>
        <v/>
      </c>
      <c r="M176" s="211" t="str">
        <f t="shared" si="60"/>
        <v/>
      </c>
      <c r="N176" s="239" t="str">
        <f t="shared" si="61"/>
        <v/>
      </c>
      <c r="O176" s="244"/>
      <c r="P176" s="233">
        <f t="shared" ca="1" si="68"/>
        <v>2.3458177395633526E-2</v>
      </c>
      <c r="Q176" s="233">
        <f t="shared" ca="1" si="69"/>
        <v>1.6629848695658099E-4</v>
      </c>
      <c r="R176" s="233" t="str">
        <f t="shared" si="62"/>
        <v/>
      </c>
      <c r="S176" s="243"/>
      <c r="T176" s="233" t="str">
        <f t="shared" si="63"/>
        <v/>
      </c>
      <c r="U176" s="233" t="str">
        <f t="shared" si="64"/>
        <v/>
      </c>
      <c r="V176" s="233" t="str">
        <f t="shared" si="65"/>
        <v/>
      </c>
    </row>
    <row r="177" spans="1:22" ht="15" customHeight="1" x14ac:dyDescent="0.25">
      <c r="A177" s="209">
        <f t="shared" si="50"/>
        <v>2050</v>
      </c>
      <c r="B177" s="211">
        <f t="shared" ca="1" si="66"/>
        <v>1.0063179544337664</v>
      </c>
      <c r="C177" s="211" t="str">
        <f t="shared" si="51"/>
        <v/>
      </c>
      <c r="D177" s="211" t="str">
        <f t="shared" si="52"/>
        <v/>
      </c>
      <c r="E177" s="238" t="str">
        <f t="shared" si="53"/>
        <v/>
      </c>
      <c r="F177" s="210">
        <f t="shared" ca="1" si="67"/>
        <v>4.6877340642888017E-2</v>
      </c>
      <c r="G177" s="211" t="str">
        <f t="shared" si="54"/>
        <v/>
      </c>
      <c r="H177" s="211" t="str">
        <f t="shared" si="55"/>
        <v/>
      </c>
      <c r="I177" s="238" t="str">
        <f t="shared" si="56"/>
        <v/>
      </c>
      <c r="J177" s="605">
        <f t="shared" ca="1" si="57"/>
        <v>4.1482010648411947E-3</v>
      </c>
      <c r="K177" s="236" t="str">
        <f t="shared" si="58"/>
        <v/>
      </c>
      <c r="L177" s="236" t="str">
        <f t="shared" si="59"/>
        <v/>
      </c>
      <c r="M177" s="211" t="str">
        <f t="shared" si="60"/>
        <v/>
      </c>
      <c r="N177" s="239" t="str">
        <f t="shared" si="61"/>
        <v/>
      </c>
      <c r="O177" s="244"/>
      <c r="P177" s="233">
        <f t="shared" ca="1" si="68"/>
        <v>2.3458177395633526E-2</v>
      </c>
      <c r="Q177" s="233">
        <f t="shared" ca="1" si="69"/>
        <v>1.6629848695658099E-4</v>
      </c>
      <c r="R177" s="233" t="str">
        <f t="shared" si="62"/>
        <v/>
      </c>
      <c r="S177" s="243"/>
      <c r="T177" s="233" t="str">
        <f t="shared" si="63"/>
        <v/>
      </c>
      <c r="U177" s="233" t="str">
        <f t="shared" si="64"/>
        <v/>
      </c>
      <c r="V177" s="233" t="str">
        <f t="shared" si="65"/>
        <v/>
      </c>
    </row>
    <row r="178" spans="1:22" ht="15" customHeight="1" x14ac:dyDescent="0.25">
      <c r="A178" s="209">
        <f t="shared" si="50"/>
        <v>2051</v>
      </c>
      <c r="B178" s="211">
        <f t="shared" ca="1" si="66"/>
        <v>1.0119124194383855</v>
      </c>
      <c r="C178" s="211" t="str">
        <f t="shared" si="51"/>
        <v/>
      </c>
      <c r="D178" s="211" t="str">
        <f t="shared" si="52"/>
        <v/>
      </c>
      <c r="E178" s="238" t="str">
        <f t="shared" si="53"/>
        <v/>
      </c>
      <c r="F178" s="210">
        <f t="shared" ca="1" si="67"/>
        <v>4.6919856300353883E-2</v>
      </c>
      <c r="G178" s="211" t="str">
        <f t="shared" si="54"/>
        <v/>
      </c>
      <c r="H178" s="211" t="str">
        <f t="shared" si="55"/>
        <v/>
      </c>
      <c r="I178" s="238" t="str">
        <f t="shared" si="56"/>
        <v/>
      </c>
      <c r="J178" s="605">
        <f t="shared" ca="1" si="57"/>
        <v>4.1519632982177819E-3</v>
      </c>
      <c r="K178" s="236" t="str">
        <f t="shared" si="58"/>
        <v/>
      </c>
      <c r="L178" s="236" t="str">
        <f t="shared" si="59"/>
        <v/>
      </c>
      <c r="M178" s="211" t="str">
        <f t="shared" si="60"/>
        <v/>
      </c>
      <c r="N178" s="239" t="str">
        <f t="shared" si="61"/>
        <v/>
      </c>
      <c r="O178" s="244"/>
      <c r="P178" s="233">
        <f t="shared" ca="1" si="68"/>
        <v>2.3458177395633526E-2</v>
      </c>
      <c r="Q178" s="233">
        <f t="shared" ca="1" si="69"/>
        <v>1.6629848695658099E-4</v>
      </c>
      <c r="R178" s="233" t="str">
        <f t="shared" si="62"/>
        <v/>
      </c>
      <c r="S178" s="243"/>
      <c r="T178" s="233" t="str">
        <f t="shared" si="63"/>
        <v/>
      </c>
      <c r="U178" s="233" t="str">
        <f t="shared" si="64"/>
        <v/>
      </c>
      <c r="V178" s="233" t="str">
        <f t="shared" si="65"/>
        <v/>
      </c>
    </row>
    <row r="179" spans="1:22" ht="15" customHeight="1" x14ac:dyDescent="0.25">
      <c r="A179" s="209">
        <f t="shared" si="50"/>
        <v>2052</v>
      </c>
      <c r="B179" s="211">
        <f t="shared" ca="1" si="66"/>
        <v>1.0175379859835767</v>
      </c>
      <c r="C179" s="211" t="str">
        <f t="shared" si="51"/>
        <v/>
      </c>
      <c r="D179" s="211" t="str">
        <f t="shared" si="52"/>
        <v/>
      </c>
      <c r="E179" s="238" t="str">
        <f t="shared" si="53"/>
        <v/>
      </c>
      <c r="F179" s="210">
        <f t="shared" ca="1" si="67"/>
        <v>4.6962410517625092E-2</v>
      </c>
      <c r="G179" s="211" t="str">
        <f t="shared" si="54"/>
        <v/>
      </c>
      <c r="H179" s="211" t="str">
        <f t="shared" si="55"/>
        <v/>
      </c>
      <c r="I179" s="238" t="str">
        <f t="shared" si="56"/>
        <v/>
      </c>
      <c r="J179" s="605">
        <f t="shared" ca="1" si="57"/>
        <v>4.1557289437722652E-3</v>
      </c>
      <c r="K179" s="236" t="str">
        <f t="shared" si="58"/>
        <v/>
      </c>
      <c r="L179" s="236" t="str">
        <f t="shared" si="59"/>
        <v/>
      </c>
      <c r="M179" s="211" t="str">
        <f t="shared" si="60"/>
        <v/>
      </c>
      <c r="N179" s="239" t="str">
        <f t="shared" si="61"/>
        <v/>
      </c>
      <c r="O179" s="244"/>
      <c r="P179" s="233">
        <f t="shared" ca="1" si="68"/>
        <v>2.3458177395633526E-2</v>
      </c>
      <c r="Q179" s="233">
        <f t="shared" ca="1" si="69"/>
        <v>1.6629848695658099E-4</v>
      </c>
      <c r="R179" s="233" t="str">
        <f t="shared" si="62"/>
        <v/>
      </c>
      <c r="S179" s="243"/>
      <c r="T179" s="233" t="str">
        <f t="shared" si="63"/>
        <v/>
      </c>
      <c r="U179" s="233" t="str">
        <f t="shared" si="64"/>
        <v/>
      </c>
      <c r="V179" s="233" t="str">
        <f t="shared" si="65"/>
        <v/>
      </c>
    </row>
    <row r="180" spans="1:22" ht="15" customHeight="1" x14ac:dyDescent="0.25">
      <c r="A180" s="209">
        <f t="shared" si="50"/>
        <v>2053</v>
      </c>
      <c r="B180" s="211">
        <f t="shared" ca="1" si="66"/>
        <v>1.0231948269734197</v>
      </c>
      <c r="C180" s="211" t="str">
        <f t="shared" si="51"/>
        <v/>
      </c>
      <c r="D180" s="211" t="str">
        <f t="shared" si="52"/>
        <v/>
      </c>
      <c r="E180" s="238" t="str">
        <f t="shared" si="53"/>
        <v/>
      </c>
      <c r="F180" s="210">
        <f t="shared" ca="1" si="67"/>
        <v>4.7005003329673653E-2</v>
      </c>
      <c r="G180" s="211" t="str">
        <f t="shared" si="54"/>
        <v/>
      </c>
      <c r="H180" s="211" t="str">
        <f t="shared" si="55"/>
        <v/>
      </c>
      <c r="I180" s="238" t="str">
        <f t="shared" si="56"/>
        <v/>
      </c>
      <c r="J180" s="605">
        <f t="shared" ca="1" si="57"/>
        <v>4.1594980045993376E-3</v>
      </c>
      <c r="K180" s="236" t="str">
        <f t="shared" si="58"/>
        <v/>
      </c>
      <c r="L180" s="236" t="str">
        <f t="shared" si="59"/>
        <v/>
      </c>
      <c r="M180" s="211" t="str">
        <f t="shared" si="60"/>
        <v/>
      </c>
      <c r="N180" s="239" t="str">
        <f t="shared" si="61"/>
        <v/>
      </c>
      <c r="O180" s="244"/>
      <c r="P180" s="233">
        <f t="shared" ca="1" si="68"/>
        <v>2.3458177395633526E-2</v>
      </c>
      <c r="Q180" s="233">
        <f t="shared" ca="1" si="69"/>
        <v>1.6629848695658099E-4</v>
      </c>
      <c r="R180" s="233" t="str">
        <f t="shared" si="62"/>
        <v/>
      </c>
      <c r="S180" s="243"/>
      <c r="T180" s="233" t="str">
        <f t="shared" si="63"/>
        <v/>
      </c>
      <c r="U180" s="233" t="str">
        <f t="shared" si="64"/>
        <v/>
      </c>
      <c r="V180" s="233" t="str">
        <f t="shared" si="65"/>
        <v/>
      </c>
    </row>
    <row r="181" spans="1:22" ht="15" customHeight="1" x14ac:dyDescent="0.25">
      <c r="A181" s="209">
        <f t="shared" si="50"/>
        <v>2054</v>
      </c>
      <c r="B181" s="211">
        <f t="shared" ca="1" si="66"/>
        <v>1.0288831162732279</v>
      </c>
      <c r="C181" s="211" t="str">
        <f t="shared" si="51"/>
        <v/>
      </c>
      <c r="D181" s="211" t="str">
        <f t="shared" si="52"/>
        <v/>
      </c>
      <c r="E181" s="238" t="str">
        <f t="shared" si="53"/>
        <v/>
      </c>
      <c r="F181" s="210">
        <f t="shared" ca="1" si="67"/>
        <v>4.7047634771503311E-2</v>
      </c>
      <c r="G181" s="211" t="str">
        <f t="shared" si="54"/>
        <v/>
      </c>
      <c r="H181" s="211" t="str">
        <f t="shared" si="55"/>
        <v/>
      </c>
      <c r="I181" s="238" t="str">
        <f t="shared" si="56"/>
        <v/>
      </c>
      <c r="J181" s="605">
        <f t="shared" ca="1" si="57"/>
        <v>4.1632704837964987E-3</v>
      </c>
      <c r="K181" s="236" t="str">
        <f t="shared" si="58"/>
        <v/>
      </c>
      <c r="L181" s="236" t="str">
        <f t="shared" si="59"/>
        <v/>
      </c>
      <c r="M181" s="211" t="str">
        <f t="shared" si="60"/>
        <v/>
      </c>
      <c r="N181" s="239" t="str">
        <f t="shared" si="61"/>
        <v/>
      </c>
      <c r="O181" s="244"/>
      <c r="P181" s="233">
        <f t="shared" ca="1" si="68"/>
        <v>2.3458177395633526E-2</v>
      </c>
      <c r="Q181" s="233">
        <f t="shared" ca="1" si="69"/>
        <v>1.6629848695658099E-4</v>
      </c>
      <c r="R181" s="233" t="str">
        <f t="shared" si="62"/>
        <v/>
      </c>
      <c r="S181" s="243"/>
      <c r="T181" s="233" t="str">
        <f t="shared" si="63"/>
        <v/>
      </c>
      <c r="U181" s="233" t="str">
        <f t="shared" si="64"/>
        <v/>
      </c>
      <c r="V181" s="233" t="str">
        <f t="shared" si="65"/>
        <v/>
      </c>
    </row>
    <row r="182" spans="1:22" ht="15" customHeight="1" thickBot="1" x14ac:dyDescent="0.3">
      <c r="A182" s="212" t="str">
        <f t="shared" si="50"/>
        <v/>
      </c>
      <c r="B182" s="211" t="str">
        <f t="shared" si="66"/>
        <v/>
      </c>
      <c r="C182" s="211" t="str">
        <f t="shared" si="51"/>
        <v/>
      </c>
      <c r="D182" s="211" t="str">
        <f t="shared" si="52"/>
        <v/>
      </c>
      <c r="E182" s="238" t="str">
        <f t="shared" si="53"/>
        <v/>
      </c>
      <c r="F182" s="210" t="str">
        <f t="shared" si="67"/>
        <v/>
      </c>
      <c r="G182" s="211" t="str">
        <f t="shared" si="54"/>
        <v/>
      </c>
      <c r="H182" s="211" t="str">
        <f t="shared" si="55"/>
        <v/>
      </c>
      <c r="I182" s="238" t="str">
        <f t="shared" si="56"/>
        <v/>
      </c>
      <c r="J182" s="605" t="str">
        <f t="shared" si="57"/>
        <v/>
      </c>
      <c r="K182" s="236" t="str">
        <f t="shared" si="58"/>
        <v/>
      </c>
      <c r="L182" s="236" t="str">
        <f t="shared" si="59"/>
        <v/>
      </c>
      <c r="M182" s="211" t="str">
        <f t="shared" si="60"/>
        <v/>
      </c>
      <c r="N182" s="239" t="str">
        <f t="shared" si="61"/>
        <v/>
      </c>
      <c r="O182" s="245"/>
      <c r="P182" s="233" t="str">
        <f t="shared" si="68"/>
        <v/>
      </c>
      <c r="Q182" s="233" t="str">
        <f t="shared" si="69"/>
        <v/>
      </c>
      <c r="R182" s="233" t="str">
        <f t="shared" si="62"/>
        <v/>
      </c>
      <c r="S182" s="243"/>
      <c r="T182" s="233" t="str">
        <f t="shared" si="63"/>
        <v/>
      </c>
      <c r="U182" s="233" t="str">
        <f t="shared" si="64"/>
        <v/>
      </c>
      <c r="V182" s="233" t="str">
        <f t="shared" si="65"/>
        <v/>
      </c>
    </row>
    <row r="184" spans="1:22" ht="13" thickBot="1" x14ac:dyDescent="0.3">
      <c r="A184" s="1084" t="s">
        <v>1188</v>
      </c>
    </row>
    <row r="185" spans="1:22" ht="26.5" thickTop="1" x14ac:dyDescent="0.3">
      <c r="A185" s="208" t="s">
        <v>1034</v>
      </c>
      <c r="B185" s="241" t="str">
        <f>IF(B$131="","",B$131&amp;" ($/year)")</f>
        <v>Industrial Natural Gas ($/year)</v>
      </c>
      <c r="C185" s="241" t="str">
        <f t="shared" ref="C185:N185" si="70">IF(C$131="","",C$131&amp;" ($/year)")</f>
        <v/>
      </c>
      <c r="D185" s="241" t="str">
        <f t="shared" si="70"/>
        <v/>
      </c>
      <c r="E185" s="241" t="str">
        <f t="shared" si="70"/>
        <v/>
      </c>
      <c r="F185" s="241" t="str">
        <f t="shared" si="70"/>
        <v>Industrial Electricity ($/year)</v>
      </c>
      <c r="G185" s="241" t="str">
        <f t="shared" si="70"/>
        <v/>
      </c>
      <c r="H185" s="241" t="str">
        <f t="shared" si="70"/>
        <v/>
      </c>
      <c r="I185" s="600" t="str">
        <f t="shared" si="70"/>
        <v/>
      </c>
      <c r="J185" s="241" t="str">
        <f t="shared" ca="1" si="70"/>
        <v>Industrial Electricity ($/year)</v>
      </c>
      <c r="K185" s="241" t="str">
        <f t="shared" si="70"/>
        <v/>
      </c>
      <c r="L185" s="241" t="str">
        <f t="shared" si="70"/>
        <v/>
      </c>
      <c r="M185" s="241" t="str">
        <f t="shared" si="70"/>
        <v/>
      </c>
      <c r="N185" s="241" t="str">
        <f t="shared" si="70"/>
        <v/>
      </c>
    </row>
    <row r="186" spans="1:22" x14ac:dyDescent="0.25">
      <c r="A186" s="209">
        <f>+A139</f>
        <v>2012</v>
      </c>
      <c r="B186" s="211">
        <f>IF($C65="","",IF($C65&lt;0,0,IF(AND($C65=1,start_time&lt;1),-(SUM(B139)*output_kgyear*$E65*percnt_var*start_time+SUM(B139)*output_kgyear*$E65*(1-start_time)),IF($C65&lt;=start_time,-SUM(B139)*output_kgyear*$E65*percnt_var,-SUM(B139)*output_kgyear*$E65))))</f>
        <v>0</v>
      </c>
      <c r="C186" s="211">
        <f t="shared" ref="C186:N186" si="71">IF($C65="","",IF($C65&lt;0,0,IF(AND($C65=1,start_time&lt;1),-(SUM(C139)*output_kgyear*$E65*percnt_var*start_time+SUM(C139)*output_kgyear*$E65*(1-start_time)),IF($C65&lt;=start_time,-SUM(C139)*output_kgyear*$E65*percnt_var,-SUM(C139)*output_kgyear*$E65))))</f>
        <v>0</v>
      </c>
      <c r="D186" s="211">
        <f t="shared" si="71"/>
        <v>0</v>
      </c>
      <c r="E186" s="238">
        <f t="shared" si="71"/>
        <v>0</v>
      </c>
      <c r="F186" s="210">
        <f t="shared" si="71"/>
        <v>0</v>
      </c>
      <c r="G186" s="211">
        <f t="shared" si="71"/>
        <v>0</v>
      </c>
      <c r="H186" s="211">
        <f t="shared" si="71"/>
        <v>0</v>
      </c>
      <c r="I186" s="238">
        <f t="shared" si="71"/>
        <v>0</v>
      </c>
      <c r="J186" s="605">
        <f t="shared" si="71"/>
        <v>0</v>
      </c>
      <c r="K186" s="236">
        <f t="shared" si="71"/>
        <v>0</v>
      </c>
      <c r="L186" s="236">
        <f t="shared" si="71"/>
        <v>0</v>
      </c>
      <c r="M186" s="211">
        <f t="shared" si="71"/>
        <v>0</v>
      </c>
      <c r="N186" s="239">
        <f t="shared" si="71"/>
        <v>0</v>
      </c>
    </row>
    <row r="187" spans="1:22" x14ac:dyDescent="0.25">
      <c r="A187" s="209">
        <f t="shared" ref="A187:A229" si="72">+A140</f>
        <v>2013</v>
      </c>
      <c r="B187" s="211">
        <f t="shared" ref="B187:N187" si="73">IF($C66="","",IF($C66&lt;0,0,IF(AND($C66=1,start_time&lt;1),-(SUM(B140)*output_kgyear*$E66*percnt_var*start_time+SUM(B140)*output_kgyear*$E66*(1-start_time)),IF($C66&lt;=start_time,-SUM(B140)*output_kgyear*$E66*percnt_var,-SUM(B140)*output_kgyear*$E66))))</f>
        <v>0</v>
      </c>
      <c r="C187" s="211">
        <f t="shared" si="73"/>
        <v>0</v>
      </c>
      <c r="D187" s="211">
        <f t="shared" si="73"/>
        <v>0</v>
      </c>
      <c r="E187" s="238">
        <f t="shared" si="73"/>
        <v>0</v>
      </c>
      <c r="F187" s="210">
        <f t="shared" si="73"/>
        <v>0</v>
      </c>
      <c r="G187" s="211">
        <f t="shared" si="73"/>
        <v>0</v>
      </c>
      <c r="H187" s="211">
        <f t="shared" si="73"/>
        <v>0</v>
      </c>
      <c r="I187" s="238">
        <f t="shared" si="73"/>
        <v>0</v>
      </c>
      <c r="J187" s="605">
        <f t="shared" si="73"/>
        <v>0</v>
      </c>
      <c r="K187" s="236">
        <f t="shared" si="73"/>
        <v>0</v>
      </c>
      <c r="L187" s="236">
        <f t="shared" si="73"/>
        <v>0</v>
      </c>
      <c r="M187" s="211">
        <f t="shared" si="73"/>
        <v>0</v>
      </c>
      <c r="N187" s="239">
        <f t="shared" si="73"/>
        <v>0</v>
      </c>
    </row>
    <row r="188" spans="1:22" x14ac:dyDescent="0.25">
      <c r="A188" s="209">
        <f t="shared" si="72"/>
        <v>2014</v>
      </c>
      <c r="B188" s="211">
        <f t="shared" ref="B188:N188" si="74">IF($C67="","",IF($C67&lt;0,0,IF(AND($C67=1,start_time&lt;1),-(SUM(B141)*output_kgyear*$E67*percnt_var*start_time+SUM(B141)*output_kgyear*$E67*(1-start_time)),IF($C67&lt;=start_time,-SUM(B141)*output_kgyear*$E67*percnt_var,-SUM(B141)*output_kgyear*$E67))))</f>
        <v>0</v>
      </c>
      <c r="C188" s="211">
        <f t="shared" si="74"/>
        <v>0</v>
      </c>
      <c r="D188" s="211">
        <f t="shared" si="74"/>
        <v>0</v>
      </c>
      <c r="E188" s="238">
        <f t="shared" si="74"/>
        <v>0</v>
      </c>
      <c r="F188" s="210">
        <f t="shared" si="74"/>
        <v>0</v>
      </c>
      <c r="G188" s="211">
        <f t="shared" si="74"/>
        <v>0</v>
      </c>
      <c r="H188" s="211">
        <f t="shared" si="74"/>
        <v>0</v>
      </c>
      <c r="I188" s="238">
        <f t="shared" si="74"/>
        <v>0</v>
      </c>
      <c r="J188" s="605">
        <f t="shared" si="74"/>
        <v>0</v>
      </c>
      <c r="K188" s="236">
        <f t="shared" si="74"/>
        <v>0</v>
      </c>
      <c r="L188" s="236">
        <f t="shared" si="74"/>
        <v>0</v>
      </c>
      <c r="M188" s="211">
        <f t="shared" si="74"/>
        <v>0</v>
      </c>
      <c r="N188" s="239">
        <f t="shared" si="74"/>
        <v>0</v>
      </c>
    </row>
    <row r="189" spans="1:22" x14ac:dyDescent="0.25">
      <c r="A189" s="209">
        <f t="shared" si="72"/>
        <v>2015</v>
      </c>
      <c r="B189" s="211">
        <f t="shared" ref="B189:N189" ca="1" si="75">IF($C68="","",IF($C68&lt;0,0,IF(AND($C68=1,start_time&lt;1),-(SUM(B142)*output_kgyear*$E68*percnt_var*start_time+SUM(B142)*output_kgyear*$E68*(1-start_time)),IF($C68&lt;=start_time,-SUM(B142)*output_kgyear*$E68*percnt_var,-SUM(B142)*output_kgyear*$E68))))</f>
        <v>-53359142.563998953</v>
      </c>
      <c r="C189" s="211">
        <f t="shared" ca="1" si="75"/>
        <v>0</v>
      </c>
      <c r="D189" s="211">
        <f t="shared" ca="1" si="75"/>
        <v>0</v>
      </c>
      <c r="E189" s="238">
        <f t="shared" ca="1" si="75"/>
        <v>0</v>
      </c>
      <c r="F189" s="210">
        <f ca="1">IF($C68="","",IF($C68&lt;0,0,IF(AND($C68=1,start_time&lt;1),-(SUM(F142)*output_kgyear*$E68*percnt_var*start_time+SUM(F142)*output_kgyear*$E68*(1-start_time)),IF($C68&lt;=start_time,-SUM(F142)*output_kgyear*$E68*percnt_var,-SUM(F142)*output_kgyear*$E68))))</f>
        <v>-3851535.2822852666</v>
      </c>
      <c r="G189" s="211">
        <f t="shared" ca="1" si="75"/>
        <v>0</v>
      </c>
      <c r="H189" s="211">
        <f t="shared" ca="1" si="75"/>
        <v>0</v>
      </c>
      <c r="I189" s="238">
        <f t="shared" ca="1" si="75"/>
        <v>0</v>
      </c>
      <c r="J189" s="605">
        <f t="shared" ca="1" si="75"/>
        <v>-340824.42690087005</v>
      </c>
      <c r="K189" s="236">
        <f t="shared" ca="1" si="75"/>
        <v>0</v>
      </c>
      <c r="L189" s="236">
        <f t="shared" ca="1" si="75"/>
        <v>0</v>
      </c>
      <c r="M189" s="211">
        <f t="shared" ca="1" si="75"/>
        <v>0</v>
      </c>
      <c r="N189" s="239">
        <f t="shared" ca="1" si="75"/>
        <v>0</v>
      </c>
    </row>
    <row r="190" spans="1:22" x14ac:dyDescent="0.25">
      <c r="A190" s="209">
        <f t="shared" si="72"/>
        <v>2016</v>
      </c>
      <c r="B190" s="211">
        <f t="shared" ref="B190:N190" ca="1" si="76">IF($C69="","",IF($C69&lt;0,0,IF(AND($C69=1,start_time&lt;1),-(SUM(B143)*output_kgyear*$E69*percnt_var*start_time+SUM(B143)*output_kgyear*$E69*(1-start_time)),IF($C69&lt;=start_time,-SUM(B143)*output_kgyear*$E69*percnt_var,-SUM(B143)*output_kgyear*$E69))))</f>
        <v>-67945744.474610254</v>
      </c>
      <c r="C190" s="211">
        <f t="shared" ca="1" si="76"/>
        <v>0</v>
      </c>
      <c r="D190" s="211">
        <f t="shared" ca="1" si="76"/>
        <v>0</v>
      </c>
      <c r="E190" s="238">
        <f t="shared" ca="1" si="76"/>
        <v>0</v>
      </c>
      <c r="F190" s="210">
        <f t="shared" ca="1" si="76"/>
        <v>-5054935.797137578</v>
      </c>
      <c r="G190" s="211">
        <f t="shared" ca="1" si="76"/>
        <v>0</v>
      </c>
      <c r="H190" s="211">
        <f t="shared" ca="1" si="76"/>
        <v>0</v>
      </c>
      <c r="I190" s="238">
        <f t="shared" ca="1" si="76"/>
        <v>0</v>
      </c>
      <c r="J190" s="605">
        <f t="shared" ca="1" si="76"/>
        <v>-447313.98515396082</v>
      </c>
      <c r="K190" s="236">
        <f t="shared" ca="1" si="76"/>
        <v>0</v>
      </c>
      <c r="L190" s="236">
        <f t="shared" ca="1" si="76"/>
        <v>0</v>
      </c>
      <c r="M190" s="211">
        <f t="shared" ca="1" si="76"/>
        <v>0</v>
      </c>
      <c r="N190" s="239">
        <f t="shared" ca="1" si="76"/>
        <v>0</v>
      </c>
    </row>
    <row r="191" spans="1:22" x14ac:dyDescent="0.25">
      <c r="A191" s="209">
        <f t="shared" si="72"/>
        <v>2017</v>
      </c>
      <c r="B191" s="211">
        <f t="shared" ref="B191:N191" ca="1" si="77">IF($C70="","",IF($C70&lt;0,0,IF(AND($C70=1,start_time&lt;1),-(SUM(B144)*output_kgyear*$E70*percnt_var*start_time+SUM(B144)*output_kgyear*$E70*(1-start_time)),IF($C70&lt;=start_time,-SUM(B144)*output_kgyear*$E70*percnt_var,-SUM(B144)*output_kgyear*$E70))))</f>
        <v>-80755510.332918987</v>
      </c>
      <c r="C191" s="211">
        <f t="shared" ca="1" si="77"/>
        <v>0</v>
      </c>
      <c r="D191" s="211">
        <f t="shared" ca="1" si="77"/>
        <v>0</v>
      </c>
      <c r="E191" s="238">
        <f t="shared" ca="1" si="77"/>
        <v>0</v>
      </c>
      <c r="F191" s="210">
        <f t="shared" ca="1" si="77"/>
        <v>-5359380.6806188291</v>
      </c>
      <c r="G191" s="211">
        <f t="shared" ca="1" si="77"/>
        <v>0</v>
      </c>
      <c r="H191" s="211">
        <f t="shared" ca="1" si="77"/>
        <v>0</v>
      </c>
      <c r="I191" s="238">
        <f t="shared" ca="1" si="77"/>
        <v>0</v>
      </c>
      <c r="J191" s="605">
        <f t="shared" ca="1" si="77"/>
        <v>-474254.47649844963</v>
      </c>
      <c r="K191" s="236">
        <f t="shared" ca="1" si="77"/>
        <v>0</v>
      </c>
      <c r="L191" s="236">
        <f t="shared" ca="1" si="77"/>
        <v>0</v>
      </c>
      <c r="M191" s="211">
        <f t="shared" ca="1" si="77"/>
        <v>0</v>
      </c>
      <c r="N191" s="239">
        <f t="shared" ca="1" si="77"/>
        <v>0</v>
      </c>
    </row>
    <row r="192" spans="1:22" x14ac:dyDescent="0.25">
      <c r="A192" s="209">
        <f t="shared" si="72"/>
        <v>2018</v>
      </c>
      <c r="B192" s="211">
        <f t="shared" ref="B192:N192" ca="1" si="78">IF($C71="","",IF($C71&lt;0,0,IF(AND($C71=1,start_time&lt;1),-(SUM(B145)*output_kgyear*$E71*percnt_var*start_time+SUM(B145)*output_kgyear*$E71*(1-start_time)),IF($C71&lt;=start_time,-SUM(B145)*output_kgyear*$E71*percnt_var,-SUM(B145)*output_kgyear*$E71))))</f>
        <v>-89984990.072716355</v>
      </c>
      <c r="C192" s="211">
        <f t="shared" ca="1" si="78"/>
        <v>0</v>
      </c>
      <c r="D192" s="211">
        <f t="shared" ca="1" si="78"/>
        <v>0</v>
      </c>
      <c r="E192" s="238">
        <f t="shared" ca="1" si="78"/>
        <v>0</v>
      </c>
      <c r="F192" s="210">
        <f t="shared" ca="1" si="78"/>
        <v>-5337434.0695763174</v>
      </c>
      <c r="G192" s="211">
        <f t="shared" ca="1" si="78"/>
        <v>0</v>
      </c>
      <c r="H192" s="211">
        <f t="shared" ca="1" si="78"/>
        <v>0</v>
      </c>
      <c r="I192" s="238">
        <f t="shared" ca="1" si="78"/>
        <v>0</v>
      </c>
      <c r="J192" s="605">
        <f t="shared" ca="1" si="78"/>
        <v>-472312.40909343754</v>
      </c>
      <c r="K192" s="236">
        <f t="shared" ca="1" si="78"/>
        <v>0</v>
      </c>
      <c r="L192" s="236">
        <f t="shared" ca="1" si="78"/>
        <v>0</v>
      </c>
      <c r="M192" s="211">
        <f t="shared" ca="1" si="78"/>
        <v>0</v>
      </c>
      <c r="N192" s="239">
        <f t="shared" ca="1" si="78"/>
        <v>0</v>
      </c>
    </row>
    <row r="193" spans="1:14" x14ac:dyDescent="0.25">
      <c r="A193" s="209">
        <f t="shared" si="72"/>
        <v>2019</v>
      </c>
      <c r="B193" s="211">
        <f t="shared" ref="B193:N193" ca="1" si="79">IF($C72="","",IF($C72&lt;0,0,IF(AND($C72=1,start_time&lt;1),-(SUM(B146)*output_kgyear*$E72*percnt_var*start_time+SUM(B146)*output_kgyear*$E72*(1-start_time)),IF($C72&lt;=start_time,-SUM(B146)*output_kgyear*$E72*percnt_var,-SUM(B146)*output_kgyear*$E72))))</f>
        <v>-100517875.62290823</v>
      </c>
      <c r="C193" s="211">
        <f t="shared" ca="1" si="79"/>
        <v>0</v>
      </c>
      <c r="D193" s="211">
        <f t="shared" ca="1" si="79"/>
        <v>0</v>
      </c>
      <c r="E193" s="238">
        <f t="shared" ca="1" si="79"/>
        <v>0</v>
      </c>
      <c r="F193" s="210">
        <f t="shared" ca="1" si="79"/>
        <v>-5508969.4457528004</v>
      </c>
      <c r="G193" s="211">
        <f t="shared" ca="1" si="79"/>
        <v>0</v>
      </c>
      <c r="H193" s="211">
        <f t="shared" ca="1" si="79"/>
        <v>0</v>
      </c>
      <c r="I193" s="238">
        <f t="shared" ca="1" si="79"/>
        <v>0</v>
      </c>
      <c r="J193" s="605">
        <f t="shared" ca="1" si="79"/>
        <v>-487491.66671246319</v>
      </c>
      <c r="K193" s="236">
        <f t="shared" ca="1" si="79"/>
        <v>0</v>
      </c>
      <c r="L193" s="236">
        <f t="shared" ca="1" si="79"/>
        <v>0</v>
      </c>
      <c r="M193" s="211">
        <f t="shared" ca="1" si="79"/>
        <v>0</v>
      </c>
      <c r="N193" s="239">
        <f t="shared" ca="1" si="79"/>
        <v>0</v>
      </c>
    </row>
    <row r="194" spans="1:14" x14ac:dyDescent="0.25">
      <c r="A194" s="209">
        <f t="shared" si="72"/>
        <v>2020</v>
      </c>
      <c r="B194" s="211">
        <f t="shared" ref="B194:N194" ca="1" si="80">IF($C73="","",IF($C73&lt;0,0,IF(AND($C73=1,start_time&lt;1),-(SUM(B147)*output_kgyear*$E73*percnt_var*start_time+SUM(B147)*output_kgyear*$E73*(1-start_time)),IF($C73&lt;=start_time,-SUM(B147)*output_kgyear*$E73*percnt_var,-SUM(B147)*output_kgyear*$E73))))</f>
        <v>-111315194.41571487</v>
      </c>
      <c r="C194" s="211">
        <f t="shared" ca="1" si="80"/>
        <v>0</v>
      </c>
      <c r="D194" s="211">
        <f t="shared" ca="1" si="80"/>
        <v>0</v>
      </c>
      <c r="E194" s="238">
        <f t="shared" ca="1" si="80"/>
        <v>0</v>
      </c>
      <c r="F194" s="210">
        <f t="shared" ca="1" si="80"/>
        <v>-5718084.3111669682</v>
      </c>
      <c r="G194" s="211">
        <f t="shared" ca="1" si="80"/>
        <v>0</v>
      </c>
      <c r="H194" s="211">
        <f t="shared" ca="1" si="80"/>
        <v>0</v>
      </c>
      <c r="I194" s="238">
        <f t="shared" ca="1" si="80"/>
        <v>0</v>
      </c>
      <c r="J194" s="605">
        <f t="shared" ca="1" si="80"/>
        <v>-505996.3535289237</v>
      </c>
      <c r="K194" s="236">
        <f t="shared" ca="1" si="80"/>
        <v>0</v>
      </c>
      <c r="L194" s="236">
        <f t="shared" ca="1" si="80"/>
        <v>0</v>
      </c>
      <c r="M194" s="211">
        <f t="shared" ca="1" si="80"/>
        <v>0</v>
      </c>
      <c r="N194" s="239">
        <f t="shared" ca="1" si="80"/>
        <v>0</v>
      </c>
    </row>
    <row r="195" spans="1:14" x14ac:dyDescent="0.25">
      <c r="A195" s="209">
        <f t="shared" si="72"/>
        <v>2021</v>
      </c>
      <c r="B195" s="211">
        <f t="shared" ref="B195:N195" ca="1" si="81">IF($C74="","",IF($C74&lt;0,0,IF(AND($C74=1,start_time&lt;1),-(SUM(B148)*output_kgyear*$E74*percnt_var*start_time+SUM(B148)*output_kgyear*$E74*(1-start_time)),IF($C74&lt;=start_time,-SUM(B148)*output_kgyear*$E74*percnt_var,-SUM(B148)*output_kgyear*$E74))))</f>
        <v>-113550474.69126232</v>
      </c>
      <c r="C195" s="211">
        <f t="shared" ca="1" si="81"/>
        <v>0</v>
      </c>
      <c r="D195" s="211">
        <f t="shared" ca="1" si="81"/>
        <v>0</v>
      </c>
      <c r="E195" s="238">
        <f t="shared" ca="1" si="81"/>
        <v>0</v>
      </c>
      <c r="F195" s="210">
        <f t="shared" ca="1" si="81"/>
        <v>-5858819.619157088</v>
      </c>
      <c r="G195" s="211">
        <f t="shared" ca="1" si="81"/>
        <v>0</v>
      </c>
      <c r="H195" s="211">
        <f t="shared" ca="1" si="81"/>
        <v>0</v>
      </c>
      <c r="I195" s="238">
        <f t="shared" ca="1" si="81"/>
        <v>0</v>
      </c>
      <c r="J195" s="605">
        <f t="shared" ca="1" si="81"/>
        <v>-518450.09656253026</v>
      </c>
      <c r="K195" s="236">
        <f t="shared" ca="1" si="81"/>
        <v>0</v>
      </c>
      <c r="L195" s="236">
        <f t="shared" ca="1" si="81"/>
        <v>0</v>
      </c>
      <c r="M195" s="211">
        <f t="shared" ca="1" si="81"/>
        <v>0</v>
      </c>
      <c r="N195" s="239">
        <f t="shared" ca="1" si="81"/>
        <v>0</v>
      </c>
    </row>
    <row r="196" spans="1:14" x14ac:dyDescent="0.25">
      <c r="A196" s="209">
        <f t="shared" si="72"/>
        <v>2022</v>
      </c>
      <c r="B196" s="211">
        <f t="shared" ref="B196:N196" ca="1" si="82">IF($C75="","",IF($C75&lt;0,0,IF(AND($C75=1,start_time&lt;1),-(SUM(B149)*output_kgyear*$E75*percnt_var*start_time+SUM(B149)*output_kgyear*$E75*(1-start_time)),IF($C75&lt;=start_time,-SUM(B149)*output_kgyear*$E75*percnt_var,-SUM(B149)*output_kgyear*$E75))))</f>
        <v>-114428797.20987397</v>
      </c>
      <c r="C196" s="211">
        <f t="shared" ca="1" si="82"/>
        <v>0</v>
      </c>
      <c r="D196" s="211">
        <f t="shared" ca="1" si="82"/>
        <v>0</v>
      </c>
      <c r="E196" s="238">
        <f t="shared" ca="1" si="82"/>
        <v>0</v>
      </c>
      <c r="F196" s="210">
        <f t="shared" ca="1" si="82"/>
        <v>-6162839.4731448647</v>
      </c>
      <c r="G196" s="211">
        <f t="shared" ca="1" si="82"/>
        <v>0</v>
      </c>
      <c r="H196" s="211">
        <f t="shared" ca="1" si="82"/>
        <v>0</v>
      </c>
      <c r="I196" s="238">
        <f t="shared" ca="1" si="82"/>
        <v>0</v>
      </c>
      <c r="J196" s="605">
        <f t="shared" ca="1" si="82"/>
        <v>-545352.97681873536</v>
      </c>
      <c r="K196" s="236">
        <f t="shared" ca="1" si="82"/>
        <v>0</v>
      </c>
      <c r="L196" s="236">
        <f t="shared" ca="1" si="82"/>
        <v>0</v>
      </c>
      <c r="M196" s="211">
        <f t="shared" ca="1" si="82"/>
        <v>0</v>
      </c>
      <c r="N196" s="239">
        <f t="shared" ca="1" si="82"/>
        <v>0</v>
      </c>
    </row>
    <row r="197" spans="1:14" x14ac:dyDescent="0.25">
      <c r="A197" s="209">
        <f t="shared" si="72"/>
        <v>2023</v>
      </c>
      <c r="B197" s="211">
        <f t="shared" ref="B197:N197" ca="1" si="83">IF($C76="","",IF($C76&lt;0,0,IF(AND($C76=1,start_time&lt;1),-(SUM(B150)*output_kgyear*$E76*percnt_var*start_time+SUM(B150)*output_kgyear*$E76*(1-start_time)),IF($C76&lt;=start_time,-SUM(B150)*output_kgyear*$E76*percnt_var,-SUM(B150)*output_kgyear*$E76))))</f>
        <v>-116870011.6899187</v>
      </c>
      <c r="C197" s="211">
        <f t="shared" ca="1" si="83"/>
        <v>0</v>
      </c>
      <c r="D197" s="211">
        <f t="shared" ca="1" si="83"/>
        <v>0</v>
      </c>
      <c r="E197" s="238">
        <f t="shared" ca="1" si="83"/>
        <v>0</v>
      </c>
      <c r="F197" s="210">
        <f t="shared" ca="1" si="83"/>
        <v>-6299837.0279734097</v>
      </c>
      <c r="G197" s="211">
        <f t="shared" ca="1" si="83"/>
        <v>0</v>
      </c>
      <c r="H197" s="211">
        <f t="shared" ca="1" si="83"/>
        <v>0</v>
      </c>
      <c r="I197" s="238">
        <f t="shared" ca="1" si="83"/>
        <v>0</v>
      </c>
      <c r="J197" s="605">
        <f t="shared" ca="1" si="83"/>
        <v>-557475.96406644792</v>
      </c>
      <c r="K197" s="236">
        <f t="shared" ca="1" si="83"/>
        <v>0</v>
      </c>
      <c r="L197" s="236">
        <f t="shared" ca="1" si="83"/>
        <v>0</v>
      </c>
      <c r="M197" s="211">
        <f t="shared" ca="1" si="83"/>
        <v>0</v>
      </c>
      <c r="N197" s="239">
        <f t="shared" ca="1" si="83"/>
        <v>0</v>
      </c>
    </row>
    <row r="198" spans="1:14" x14ac:dyDescent="0.25">
      <c r="A198" s="209">
        <f t="shared" si="72"/>
        <v>2024</v>
      </c>
      <c r="B198" s="211">
        <f t="shared" ref="B198:N198" ca="1" si="84">IF($C77="","",IF($C77&lt;0,0,IF(AND($C77=1,start_time&lt;1),-(SUM(B151)*output_kgyear*$E77*percnt_var*start_time+SUM(B151)*output_kgyear*$E77*(1-start_time)),IF($C77&lt;=start_time,-SUM(B151)*output_kgyear*$E77*percnt_var,-SUM(B151)*output_kgyear*$E77))))</f>
        <v>-121132992.13705206</v>
      </c>
      <c r="C198" s="211">
        <f t="shared" ca="1" si="84"/>
        <v>0</v>
      </c>
      <c r="D198" s="211">
        <f t="shared" ca="1" si="84"/>
        <v>0</v>
      </c>
      <c r="E198" s="238">
        <f t="shared" ca="1" si="84"/>
        <v>0</v>
      </c>
      <c r="F198" s="210">
        <f t="shared" ca="1" si="84"/>
        <v>-6402610.9987544352</v>
      </c>
      <c r="G198" s="211">
        <f t="shared" ca="1" si="84"/>
        <v>0</v>
      </c>
      <c r="H198" s="211">
        <f t="shared" ca="1" si="84"/>
        <v>0</v>
      </c>
      <c r="I198" s="238">
        <f t="shared" ca="1" si="84"/>
        <v>0</v>
      </c>
      <c r="J198" s="605">
        <f t="shared" ca="1" si="84"/>
        <v>-566570.48797042912</v>
      </c>
      <c r="K198" s="236">
        <f t="shared" ca="1" si="84"/>
        <v>0</v>
      </c>
      <c r="L198" s="236">
        <f t="shared" ca="1" si="84"/>
        <v>0</v>
      </c>
      <c r="M198" s="211">
        <f t="shared" ca="1" si="84"/>
        <v>0</v>
      </c>
      <c r="N198" s="239">
        <f t="shared" ca="1" si="84"/>
        <v>0</v>
      </c>
    </row>
    <row r="199" spans="1:14" x14ac:dyDescent="0.25">
      <c r="A199" s="209">
        <f t="shared" si="72"/>
        <v>2025</v>
      </c>
      <c r="B199" s="211">
        <f t="shared" ref="B199:N199" ca="1" si="85">IF($C78="","",IF($C78&lt;0,0,IF(AND($C78=1,start_time&lt;1),-(SUM(B152)*output_kgyear*$E78*percnt_var*start_time+SUM(B152)*output_kgyear*$E78*(1-start_time)),IF($C78&lt;=start_time,-SUM(B152)*output_kgyear*$E78*percnt_var,-SUM(B152)*output_kgyear*$E78))))</f>
        <v>-126150210.74800631</v>
      </c>
      <c r="C199" s="211">
        <f t="shared" ca="1" si="85"/>
        <v>0</v>
      </c>
      <c r="D199" s="211">
        <f t="shared" ca="1" si="85"/>
        <v>0</v>
      </c>
      <c r="E199" s="238">
        <f t="shared" ca="1" si="85"/>
        <v>0</v>
      </c>
      <c r="F199" s="210">
        <f t="shared" ca="1" si="85"/>
        <v>-6680918.264777814</v>
      </c>
      <c r="G199" s="211">
        <f t="shared" ca="1" si="85"/>
        <v>0</v>
      </c>
      <c r="H199" s="211">
        <f t="shared" ca="1" si="85"/>
        <v>0</v>
      </c>
      <c r="I199" s="238">
        <f t="shared" ca="1" si="85"/>
        <v>0</v>
      </c>
      <c r="J199" s="605">
        <f t="shared" ca="1" si="85"/>
        <v>-591198.04750001128</v>
      </c>
      <c r="K199" s="236">
        <f t="shared" ca="1" si="85"/>
        <v>0</v>
      </c>
      <c r="L199" s="236">
        <f t="shared" ca="1" si="85"/>
        <v>0</v>
      </c>
      <c r="M199" s="211">
        <f t="shared" ca="1" si="85"/>
        <v>0</v>
      </c>
      <c r="N199" s="239">
        <f t="shared" ca="1" si="85"/>
        <v>0</v>
      </c>
    </row>
    <row r="200" spans="1:14" x14ac:dyDescent="0.25">
      <c r="A200" s="209">
        <f t="shared" si="72"/>
        <v>2026</v>
      </c>
      <c r="B200" s="211">
        <f t="shared" ref="B200:N200" ca="1" si="86">IF($C79="","",IF($C79&lt;0,0,IF(AND($C79=1,start_time&lt;1),-(SUM(B153)*output_kgyear*$E79*percnt_var*start_time+SUM(B153)*output_kgyear*$E79*(1-start_time)),IF($C79&lt;=start_time,-SUM(B153)*output_kgyear*$E79*percnt_var,-SUM(B153)*output_kgyear*$E79))))</f>
        <v>-131408524.96449789</v>
      </c>
      <c r="C200" s="211">
        <f t="shared" ca="1" si="86"/>
        <v>0</v>
      </c>
      <c r="D200" s="211">
        <f t="shared" ca="1" si="86"/>
        <v>0</v>
      </c>
      <c r="E200" s="238">
        <f t="shared" ca="1" si="86"/>
        <v>0</v>
      </c>
      <c r="F200" s="210">
        <f t="shared" ca="1" si="86"/>
        <v>-6876992.2793003842</v>
      </c>
      <c r="G200" s="211">
        <f t="shared" ca="1" si="86"/>
        <v>0</v>
      </c>
      <c r="H200" s="211">
        <f t="shared" ca="1" si="86"/>
        <v>0</v>
      </c>
      <c r="I200" s="238">
        <f t="shared" ca="1" si="86"/>
        <v>0</v>
      </c>
      <c r="J200" s="605">
        <f t="shared" ca="1" si="86"/>
        <v>-608548.74241306854</v>
      </c>
      <c r="K200" s="236">
        <f t="shared" ca="1" si="86"/>
        <v>0</v>
      </c>
      <c r="L200" s="236">
        <f t="shared" ca="1" si="86"/>
        <v>0</v>
      </c>
      <c r="M200" s="211">
        <f t="shared" ca="1" si="86"/>
        <v>0</v>
      </c>
      <c r="N200" s="239">
        <f t="shared" ca="1" si="86"/>
        <v>0</v>
      </c>
    </row>
    <row r="201" spans="1:14" x14ac:dyDescent="0.25">
      <c r="A201" s="209">
        <f t="shared" si="72"/>
        <v>2027</v>
      </c>
      <c r="B201" s="211">
        <f t="shared" ref="B201:N201" ca="1" si="87">IF($C80="","",IF($C80&lt;0,0,IF(AND($C80=1,start_time&lt;1),-(SUM(B154)*output_kgyear*$E80*percnt_var*start_time+SUM(B154)*output_kgyear*$E80*(1-start_time)),IF($C80&lt;=start_time,-SUM(B154)*output_kgyear*$E80*percnt_var,-SUM(B154)*output_kgyear*$E80))))</f>
        <v>-136241130.4415805</v>
      </c>
      <c r="C201" s="211">
        <f t="shared" ca="1" si="87"/>
        <v>0</v>
      </c>
      <c r="D201" s="211">
        <f t="shared" ca="1" si="87"/>
        <v>0</v>
      </c>
      <c r="E201" s="238">
        <f t="shared" ca="1" si="87"/>
        <v>0</v>
      </c>
      <c r="F201" s="210">
        <f t="shared" ca="1" si="87"/>
        <v>-7048031.3145897062</v>
      </c>
      <c r="G201" s="211">
        <f t="shared" ca="1" si="87"/>
        <v>0</v>
      </c>
      <c r="H201" s="211">
        <f t="shared" ca="1" si="87"/>
        <v>0</v>
      </c>
      <c r="I201" s="238">
        <f t="shared" ca="1" si="87"/>
        <v>0</v>
      </c>
      <c r="J201" s="605">
        <f t="shared" ca="1" si="87"/>
        <v>-623684.07856026141</v>
      </c>
      <c r="K201" s="236">
        <f t="shared" ca="1" si="87"/>
        <v>0</v>
      </c>
      <c r="L201" s="236">
        <f t="shared" ca="1" si="87"/>
        <v>0</v>
      </c>
      <c r="M201" s="211">
        <f t="shared" ca="1" si="87"/>
        <v>0</v>
      </c>
      <c r="N201" s="239">
        <f t="shared" ca="1" si="87"/>
        <v>0</v>
      </c>
    </row>
    <row r="202" spans="1:14" x14ac:dyDescent="0.25">
      <c r="A202" s="209">
        <f t="shared" si="72"/>
        <v>2028</v>
      </c>
      <c r="B202" s="211">
        <f t="shared" ref="B202:N202" ca="1" si="88">IF($C81="","",IF($C81&lt;0,0,IF(AND($C81=1,start_time&lt;1),-(SUM(B155)*output_kgyear*$E81*percnt_var*start_time+SUM(B155)*output_kgyear*$E81*(1-start_time)),IF($C81&lt;=start_time,-SUM(B155)*output_kgyear*$E81*percnt_var,-SUM(B155)*output_kgyear*$E81))))</f>
        <v>-141189518.39333165</v>
      </c>
      <c r="C202" s="211">
        <f t="shared" ca="1" si="88"/>
        <v>0</v>
      </c>
      <c r="D202" s="211">
        <f t="shared" ca="1" si="88"/>
        <v>0</v>
      </c>
      <c r="E202" s="238">
        <f t="shared" ca="1" si="88"/>
        <v>0</v>
      </c>
      <c r="F202" s="210">
        <f t="shared" ca="1" si="88"/>
        <v>-7228608.685267129</v>
      </c>
      <c r="G202" s="211">
        <f t="shared" ca="1" si="88"/>
        <v>0</v>
      </c>
      <c r="H202" s="211">
        <f t="shared" ca="1" si="88"/>
        <v>0</v>
      </c>
      <c r="I202" s="238">
        <f t="shared" ca="1" si="88"/>
        <v>0</v>
      </c>
      <c r="J202" s="605">
        <f t="shared" ca="1" si="88"/>
        <v>-639663.46713174053</v>
      </c>
      <c r="K202" s="236">
        <f t="shared" ca="1" si="88"/>
        <v>0</v>
      </c>
      <c r="L202" s="236">
        <f t="shared" ca="1" si="88"/>
        <v>0</v>
      </c>
      <c r="M202" s="211">
        <f t="shared" ca="1" si="88"/>
        <v>0</v>
      </c>
      <c r="N202" s="239">
        <f t="shared" ca="1" si="88"/>
        <v>0</v>
      </c>
    </row>
    <row r="203" spans="1:14" x14ac:dyDescent="0.25">
      <c r="A203" s="209">
        <f t="shared" si="72"/>
        <v>2029</v>
      </c>
      <c r="B203" s="211">
        <f t="shared" ref="B203:N203" ca="1" si="89">IF($C82="","",IF($C82&lt;0,0,IF(AND($C82=1,start_time&lt;1),-(SUM(B156)*output_kgyear*$E82*percnt_var*start_time+SUM(B156)*output_kgyear*$E82*(1-start_time)),IF($C82&lt;=start_time,-SUM(B156)*output_kgyear*$E82*percnt_var,-SUM(B156)*output_kgyear*$E82))))</f>
        <v>-145892607.41378912</v>
      </c>
      <c r="C203" s="211">
        <f t="shared" ca="1" si="89"/>
        <v>0</v>
      </c>
      <c r="D203" s="211">
        <f t="shared" ca="1" si="89"/>
        <v>0</v>
      </c>
      <c r="E203" s="238">
        <f t="shared" ca="1" si="89"/>
        <v>0</v>
      </c>
      <c r="F203" s="210">
        <f t="shared" ca="1" si="89"/>
        <v>-7403311.6953481892</v>
      </c>
      <c r="G203" s="211">
        <f t="shared" ca="1" si="89"/>
        <v>0</v>
      </c>
      <c r="H203" s="211">
        <f t="shared" ca="1" si="89"/>
        <v>0</v>
      </c>
      <c r="I203" s="238">
        <f t="shared" ca="1" si="89"/>
        <v>0</v>
      </c>
      <c r="J203" s="605">
        <f t="shared" ca="1" si="89"/>
        <v>-655123.03037723305</v>
      </c>
      <c r="K203" s="236">
        <f t="shared" ca="1" si="89"/>
        <v>0</v>
      </c>
      <c r="L203" s="236">
        <f t="shared" ca="1" si="89"/>
        <v>0</v>
      </c>
      <c r="M203" s="211">
        <f t="shared" ca="1" si="89"/>
        <v>0</v>
      </c>
      <c r="N203" s="239">
        <f t="shared" ca="1" si="89"/>
        <v>0</v>
      </c>
    </row>
    <row r="204" spans="1:14" x14ac:dyDescent="0.25">
      <c r="A204" s="209">
        <f t="shared" si="72"/>
        <v>2030</v>
      </c>
      <c r="B204" s="211">
        <f t="shared" ref="B204:N204" ca="1" si="90">IF($C83="","",IF($C83&lt;0,0,IF(AND($C83=1,start_time&lt;1),-(SUM(B157)*output_kgyear*$E83*percnt_var*start_time+SUM(B157)*output_kgyear*$E83*(1-start_time)),IF($C83&lt;=start_time,-SUM(B157)*output_kgyear*$E83*percnt_var,-SUM(B157)*output_kgyear*$E83))))</f>
        <v>-149178856.73060638</v>
      </c>
      <c r="C204" s="211">
        <f t="shared" ca="1" si="90"/>
        <v>0</v>
      </c>
      <c r="D204" s="211">
        <f t="shared" ca="1" si="90"/>
        <v>0</v>
      </c>
      <c r="E204" s="238">
        <f t="shared" ca="1" si="90"/>
        <v>0</v>
      </c>
      <c r="F204" s="210">
        <f t="shared" ca="1" si="90"/>
        <v>-7570422.6367581515</v>
      </c>
      <c r="G204" s="211">
        <f t="shared" ca="1" si="90"/>
        <v>0</v>
      </c>
      <c r="H204" s="211">
        <f t="shared" ca="1" si="90"/>
        <v>0</v>
      </c>
      <c r="I204" s="238">
        <f t="shared" ca="1" si="90"/>
        <v>0</v>
      </c>
      <c r="J204" s="605">
        <f t="shared" ca="1" si="90"/>
        <v>-669910.76738612819</v>
      </c>
      <c r="K204" s="236">
        <f t="shared" ca="1" si="90"/>
        <v>0</v>
      </c>
      <c r="L204" s="236">
        <f t="shared" ca="1" si="90"/>
        <v>0</v>
      </c>
      <c r="M204" s="211">
        <f t="shared" ca="1" si="90"/>
        <v>0</v>
      </c>
      <c r="N204" s="239">
        <f t="shared" ca="1" si="90"/>
        <v>0</v>
      </c>
    </row>
    <row r="205" spans="1:14" x14ac:dyDescent="0.25">
      <c r="A205" s="209">
        <f t="shared" si="72"/>
        <v>2031</v>
      </c>
      <c r="B205" s="211">
        <f t="shared" ref="B205:N205" ca="1" si="91">IF($C84="","",IF($C84&lt;0,0,IF(AND($C84=1,start_time&lt;1),-(SUM(B158)*output_kgyear*$E84*percnt_var*start_time+SUM(B158)*output_kgyear*$E84*(1-start_time)),IF($C84&lt;=start_time,-SUM(B158)*output_kgyear*$E84*percnt_var,-SUM(B158)*output_kgyear*$E84))))</f>
        <v>-152665653.62450162</v>
      </c>
      <c r="C205" s="211">
        <f t="shared" ca="1" si="91"/>
        <v>0</v>
      </c>
      <c r="D205" s="211">
        <f t="shared" ca="1" si="91"/>
        <v>0</v>
      </c>
      <c r="E205" s="238">
        <f t="shared" ca="1" si="91"/>
        <v>0</v>
      </c>
      <c r="F205" s="210">
        <f t="shared" ca="1" si="91"/>
        <v>-7724033.5126356324</v>
      </c>
      <c r="G205" s="211">
        <f t="shared" ca="1" si="91"/>
        <v>0</v>
      </c>
      <c r="H205" s="211">
        <f t="shared" ca="1" si="91"/>
        <v>0</v>
      </c>
      <c r="I205" s="238">
        <f t="shared" ca="1" si="91"/>
        <v>0</v>
      </c>
      <c r="J205" s="605">
        <f t="shared" ca="1" si="91"/>
        <v>-683503.8763412718</v>
      </c>
      <c r="K205" s="236">
        <f t="shared" ca="1" si="91"/>
        <v>0</v>
      </c>
      <c r="L205" s="236">
        <f t="shared" ca="1" si="91"/>
        <v>0</v>
      </c>
      <c r="M205" s="211">
        <f t="shared" ca="1" si="91"/>
        <v>0</v>
      </c>
      <c r="N205" s="239">
        <f t="shared" ca="1" si="91"/>
        <v>0</v>
      </c>
    </row>
    <row r="206" spans="1:14" x14ac:dyDescent="0.25">
      <c r="A206" s="209">
        <f t="shared" si="72"/>
        <v>2032</v>
      </c>
      <c r="B206" s="211">
        <f t="shared" ref="B206:N206" ca="1" si="92">IF($C85="","",IF($C85&lt;0,0,IF(AND($C85=1,start_time&lt;1),-(SUM(B159)*output_kgyear*$E85*percnt_var*start_time+SUM(B159)*output_kgyear*$E85*(1-start_time)),IF($C85&lt;=start_time,-SUM(B159)*output_kgyear*$E85*percnt_var,-SUM(B159)*output_kgyear*$E85))))</f>
        <v>-155176466.52818558</v>
      </c>
      <c r="C206" s="211">
        <f t="shared" ca="1" si="92"/>
        <v>0</v>
      </c>
      <c r="D206" s="211">
        <f t="shared" ca="1" si="92"/>
        <v>0</v>
      </c>
      <c r="E206" s="238">
        <f t="shared" ca="1" si="92"/>
        <v>0</v>
      </c>
      <c r="F206" s="210">
        <f t="shared" ca="1" si="92"/>
        <v>-7852833.0039351135</v>
      </c>
      <c r="G206" s="211">
        <f t="shared" ca="1" si="92"/>
        <v>0</v>
      </c>
      <c r="H206" s="211">
        <f t="shared" ca="1" si="92"/>
        <v>0</v>
      </c>
      <c r="I206" s="238">
        <f t="shared" ca="1" si="92"/>
        <v>0</v>
      </c>
      <c r="J206" s="605">
        <f t="shared" ca="1" si="92"/>
        <v>-694901.41254175105</v>
      </c>
      <c r="K206" s="236">
        <f t="shared" ca="1" si="92"/>
        <v>0</v>
      </c>
      <c r="L206" s="236">
        <f t="shared" ca="1" si="92"/>
        <v>0</v>
      </c>
      <c r="M206" s="211">
        <f t="shared" ca="1" si="92"/>
        <v>0</v>
      </c>
      <c r="N206" s="239">
        <f t="shared" ca="1" si="92"/>
        <v>0</v>
      </c>
    </row>
    <row r="207" spans="1:14" x14ac:dyDescent="0.25">
      <c r="A207" s="209">
        <f t="shared" si="72"/>
        <v>2033</v>
      </c>
      <c r="B207" s="211">
        <f t="shared" ref="B207:N207" ca="1" si="93">IF($C86="","",IF($C86&lt;0,0,IF(AND($C86=1,start_time&lt;1),-(SUM(B160)*output_kgyear*$E86*percnt_var*start_time+SUM(B160)*output_kgyear*$E86*(1-start_time)),IF($C86&lt;=start_time,-SUM(B160)*output_kgyear*$E86*percnt_var,-SUM(B160)*output_kgyear*$E86))))</f>
        <v>-156554463.31765622</v>
      </c>
      <c r="C207" s="211">
        <f t="shared" ca="1" si="93"/>
        <v>0</v>
      </c>
      <c r="D207" s="211">
        <f t="shared" ca="1" si="93"/>
        <v>0</v>
      </c>
      <c r="E207" s="238">
        <f t="shared" ca="1" si="93"/>
        <v>0</v>
      </c>
      <c r="F207" s="210">
        <f t="shared" ca="1" si="93"/>
        <v>-7973434.4009371502</v>
      </c>
      <c r="G207" s="211">
        <f t="shared" ca="1" si="93"/>
        <v>0</v>
      </c>
      <c r="H207" s="211">
        <f t="shared" ca="1" si="93"/>
        <v>0</v>
      </c>
      <c r="I207" s="238">
        <f t="shared" ca="1" si="93"/>
        <v>0</v>
      </c>
      <c r="J207" s="605">
        <f t="shared" ca="1" si="93"/>
        <v>-705573.49497228628</v>
      </c>
      <c r="K207" s="236">
        <f t="shared" ca="1" si="93"/>
        <v>0</v>
      </c>
      <c r="L207" s="236">
        <f t="shared" ca="1" si="93"/>
        <v>0</v>
      </c>
      <c r="M207" s="211">
        <f t="shared" ca="1" si="93"/>
        <v>0</v>
      </c>
      <c r="N207" s="239">
        <f t="shared" ca="1" si="93"/>
        <v>0</v>
      </c>
    </row>
    <row r="208" spans="1:14" x14ac:dyDescent="0.25">
      <c r="A208" s="209">
        <f t="shared" si="72"/>
        <v>2034</v>
      </c>
      <c r="B208" s="211">
        <f t="shared" ref="B208:N208" ca="1" si="94">IF($C87="","",IF($C87&lt;0,0,IF(AND($C87=1,start_time&lt;1),-(SUM(B161)*output_kgyear*$E87*percnt_var*start_time+SUM(B161)*output_kgyear*$E87*(1-start_time)),IF($C87&lt;=start_time,-SUM(B161)*output_kgyear*$E87*percnt_var,-SUM(B161)*output_kgyear*$E87))))</f>
        <v>-159488320.33158025</v>
      </c>
      <c r="C208" s="211">
        <f t="shared" ca="1" si="94"/>
        <v>0</v>
      </c>
      <c r="D208" s="211">
        <f t="shared" ca="1" si="94"/>
        <v>0</v>
      </c>
      <c r="E208" s="238">
        <f t="shared" ca="1" si="94"/>
        <v>0</v>
      </c>
      <c r="F208" s="210">
        <f t="shared" ca="1" si="94"/>
        <v>-8101316.2101289872</v>
      </c>
      <c r="G208" s="211">
        <f t="shared" ca="1" si="94"/>
        <v>0</v>
      </c>
      <c r="H208" s="211">
        <f t="shared" ca="1" si="94"/>
        <v>0</v>
      </c>
      <c r="I208" s="238">
        <f t="shared" ca="1" si="94"/>
        <v>0</v>
      </c>
      <c r="J208" s="605">
        <f t="shared" ca="1" si="94"/>
        <v>-716889.82498990814</v>
      </c>
      <c r="K208" s="236">
        <f t="shared" ca="1" si="94"/>
        <v>0</v>
      </c>
      <c r="L208" s="236">
        <f t="shared" ca="1" si="94"/>
        <v>0</v>
      </c>
      <c r="M208" s="211">
        <f t="shared" ca="1" si="94"/>
        <v>0</v>
      </c>
      <c r="N208" s="239">
        <f t="shared" ca="1" si="94"/>
        <v>0</v>
      </c>
    </row>
    <row r="209" spans="1:14" x14ac:dyDescent="0.25">
      <c r="A209" s="209">
        <f t="shared" si="72"/>
        <v>2035</v>
      </c>
      <c r="B209" s="211">
        <f t="shared" ref="B209:N209" ca="1" si="95">IF($C88="","",IF($C88&lt;0,0,IF(AND($C88=1,start_time&lt;1),-(SUM(B162)*output_kgyear*$E88*percnt_var*start_time+SUM(B162)*output_kgyear*$E88*(1-start_time)),IF($C88&lt;=start_time,-SUM(B162)*output_kgyear*$E88*percnt_var,-SUM(B162)*output_kgyear*$E88))))</f>
        <v>-165043674.22039774</v>
      </c>
      <c r="C209" s="211">
        <f t="shared" ca="1" si="95"/>
        <v>0</v>
      </c>
      <c r="D209" s="211">
        <f t="shared" ca="1" si="95"/>
        <v>0</v>
      </c>
      <c r="E209" s="238">
        <f t="shared" ca="1" si="95"/>
        <v>0</v>
      </c>
      <c r="F209" s="210">
        <f t="shared" ca="1" si="95"/>
        <v>-8284431.9105720669</v>
      </c>
      <c r="G209" s="211">
        <f t="shared" ca="1" si="95"/>
        <v>0</v>
      </c>
      <c r="H209" s="211">
        <f t="shared" ca="1" si="95"/>
        <v>0</v>
      </c>
      <c r="I209" s="238">
        <f t="shared" ca="1" si="95"/>
        <v>0</v>
      </c>
      <c r="J209" s="605">
        <f t="shared" ca="1" si="95"/>
        <v>-733093.83172641997</v>
      </c>
      <c r="K209" s="236">
        <f t="shared" ca="1" si="95"/>
        <v>0</v>
      </c>
      <c r="L209" s="236">
        <f t="shared" ca="1" si="95"/>
        <v>0</v>
      </c>
      <c r="M209" s="211">
        <f t="shared" ca="1" si="95"/>
        <v>0</v>
      </c>
      <c r="N209" s="239">
        <f t="shared" ca="1" si="95"/>
        <v>0</v>
      </c>
    </row>
    <row r="210" spans="1:14" x14ac:dyDescent="0.25">
      <c r="A210" s="209">
        <f t="shared" si="72"/>
        <v>2036</v>
      </c>
      <c r="B210" s="211">
        <f t="shared" ref="B210:N210" ca="1" si="96">IF($C89="","",IF($C89&lt;0,0,IF(AND($C89=1,start_time&lt;1),-(SUM(B163)*output_kgyear*$E89*percnt_var*start_time+SUM(B163)*output_kgyear*$E89*(1-start_time)),IF($C89&lt;=start_time,-SUM(B163)*output_kgyear*$E89*percnt_var,-SUM(B163)*output_kgyear*$E89))))</f>
        <v>-168291224.57271481</v>
      </c>
      <c r="C210" s="211">
        <f t="shared" ca="1" si="96"/>
        <v>0</v>
      </c>
      <c r="D210" s="211">
        <f t="shared" ca="1" si="96"/>
        <v>0</v>
      </c>
      <c r="E210" s="238">
        <f t="shared" ca="1" si="96"/>
        <v>0</v>
      </c>
      <c r="F210" s="210">
        <f t="shared" ca="1" si="96"/>
        <v>-8472529.8295368813</v>
      </c>
      <c r="G210" s="211">
        <f t="shared" ca="1" si="96"/>
        <v>0</v>
      </c>
      <c r="H210" s="211">
        <f t="shared" ca="1" si="96"/>
        <v>0</v>
      </c>
      <c r="I210" s="238">
        <f t="shared" ca="1" si="96"/>
        <v>0</v>
      </c>
      <c r="J210" s="605">
        <f t="shared" ca="1" si="96"/>
        <v>-749738.71765730833</v>
      </c>
      <c r="K210" s="236">
        <f t="shared" ca="1" si="96"/>
        <v>0</v>
      </c>
      <c r="L210" s="236">
        <f t="shared" ca="1" si="96"/>
        <v>0</v>
      </c>
      <c r="M210" s="211">
        <f t="shared" ca="1" si="96"/>
        <v>0</v>
      </c>
      <c r="N210" s="239">
        <f t="shared" ca="1" si="96"/>
        <v>0</v>
      </c>
    </row>
    <row r="211" spans="1:14" x14ac:dyDescent="0.25">
      <c r="A211" s="209">
        <f t="shared" si="72"/>
        <v>2037</v>
      </c>
      <c r="B211" s="211">
        <f t="shared" ref="B211:N211" ca="1" si="97">IF($C90="","",IF($C90&lt;0,0,IF(AND($C90=1,start_time&lt;1),-(SUM(B164)*output_kgyear*$E90*percnt_var*start_time+SUM(B164)*output_kgyear*$E90*(1-start_time)),IF($C90&lt;=start_time,-SUM(B164)*output_kgyear*$E90*percnt_var,-SUM(B164)*output_kgyear*$E90))))</f>
        <v>-171802698.78696603</v>
      </c>
      <c r="C211" s="211">
        <f t="shared" ca="1" si="97"/>
        <v>0</v>
      </c>
      <c r="D211" s="211">
        <f t="shared" ca="1" si="97"/>
        <v>0</v>
      </c>
      <c r="E211" s="238">
        <f t="shared" ca="1" si="97"/>
        <v>0</v>
      </c>
      <c r="F211" s="210">
        <f t="shared" ca="1" si="97"/>
        <v>-8626980.1328919809</v>
      </c>
      <c r="G211" s="211">
        <f t="shared" ca="1" si="97"/>
        <v>0</v>
      </c>
      <c r="H211" s="211">
        <f t="shared" ca="1" si="97"/>
        <v>0</v>
      </c>
      <c r="I211" s="238">
        <f t="shared" ca="1" si="97"/>
        <v>0</v>
      </c>
      <c r="J211" s="605">
        <f t="shared" ca="1" si="97"/>
        <v>-763406.10800104507</v>
      </c>
      <c r="K211" s="236">
        <f t="shared" ca="1" si="97"/>
        <v>0</v>
      </c>
      <c r="L211" s="236">
        <f t="shared" ca="1" si="97"/>
        <v>0</v>
      </c>
      <c r="M211" s="211">
        <f t="shared" ca="1" si="97"/>
        <v>0</v>
      </c>
      <c r="N211" s="239">
        <f t="shared" ca="1" si="97"/>
        <v>0</v>
      </c>
    </row>
    <row r="212" spans="1:14" x14ac:dyDescent="0.25">
      <c r="A212" s="209">
        <f t="shared" si="72"/>
        <v>2038</v>
      </c>
      <c r="B212" s="211">
        <f t="shared" ref="B212:N212" ca="1" si="98">IF($C91="","",IF($C91&lt;0,0,IF(AND($C91=1,start_time&lt;1),-(SUM(B165)*output_kgyear*$E91*percnt_var*start_time+SUM(B165)*output_kgyear*$E91*(1-start_time)),IF($C91&lt;=start_time,-SUM(B165)*output_kgyear*$E91*percnt_var,-SUM(B165)*output_kgyear*$E91))))</f>
        <v>-174896362.99983007</v>
      </c>
      <c r="C212" s="211">
        <f t="shared" ca="1" si="98"/>
        <v>0</v>
      </c>
      <c r="D212" s="211">
        <f t="shared" ca="1" si="98"/>
        <v>0</v>
      </c>
      <c r="E212" s="238">
        <f t="shared" ca="1" si="98"/>
        <v>0</v>
      </c>
      <c r="F212" s="210">
        <f t="shared" ca="1" si="98"/>
        <v>-8792845.3268536944</v>
      </c>
      <c r="G212" s="211">
        <f t="shared" ca="1" si="98"/>
        <v>0</v>
      </c>
      <c r="H212" s="211">
        <f t="shared" ca="1" si="98"/>
        <v>0</v>
      </c>
      <c r="I212" s="238">
        <f t="shared" ca="1" si="98"/>
        <v>0</v>
      </c>
      <c r="J212" s="605">
        <f t="shared" ca="1" si="98"/>
        <v>-778083.60814879392</v>
      </c>
      <c r="K212" s="236">
        <f t="shared" ca="1" si="98"/>
        <v>0</v>
      </c>
      <c r="L212" s="236">
        <f t="shared" ca="1" si="98"/>
        <v>0</v>
      </c>
      <c r="M212" s="211">
        <f t="shared" ca="1" si="98"/>
        <v>0</v>
      </c>
      <c r="N212" s="239">
        <f t="shared" ca="1" si="98"/>
        <v>0</v>
      </c>
    </row>
    <row r="213" spans="1:14" x14ac:dyDescent="0.25">
      <c r="A213" s="209">
        <f t="shared" si="72"/>
        <v>2039</v>
      </c>
      <c r="B213" s="211">
        <f t="shared" ref="B213:N213" ca="1" si="99">IF($C92="","",IF($C92&lt;0,0,IF(AND($C92=1,start_time&lt;1),-(SUM(B166)*output_kgyear*$E92*percnt_var*start_time+SUM(B166)*output_kgyear*$E92*(1-start_time)),IF($C92&lt;=start_time,-SUM(B166)*output_kgyear*$E92*percnt_var,-SUM(B166)*output_kgyear*$E92))))</f>
        <v>-178896087.66349202</v>
      </c>
      <c r="C213" s="211">
        <f t="shared" ca="1" si="99"/>
        <v>0</v>
      </c>
      <c r="D213" s="211">
        <f t="shared" ca="1" si="99"/>
        <v>0</v>
      </c>
      <c r="E213" s="238">
        <f t="shared" ca="1" si="99"/>
        <v>0</v>
      </c>
      <c r="F213" s="210">
        <f t="shared" ca="1" si="99"/>
        <v>-8966843.7312714607</v>
      </c>
      <c r="G213" s="211">
        <f t="shared" ca="1" si="99"/>
        <v>0</v>
      </c>
      <c r="H213" s="211">
        <f t="shared" ca="1" si="99"/>
        <v>0</v>
      </c>
      <c r="I213" s="238">
        <f t="shared" ca="1" si="99"/>
        <v>0</v>
      </c>
      <c r="J213" s="605">
        <f t="shared" ca="1" si="99"/>
        <v>-793480.82046049437</v>
      </c>
      <c r="K213" s="236">
        <f t="shared" ca="1" si="99"/>
        <v>0</v>
      </c>
      <c r="L213" s="236">
        <f t="shared" ca="1" si="99"/>
        <v>0</v>
      </c>
      <c r="M213" s="211">
        <f t="shared" ca="1" si="99"/>
        <v>0</v>
      </c>
      <c r="N213" s="239">
        <f t="shared" ca="1" si="99"/>
        <v>0</v>
      </c>
    </row>
    <row r="214" spans="1:14" x14ac:dyDescent="0.25">
      <c r="A214" s="209">
        <f t="shared" si="72"/>
        <v>2040</v>
      </c>
      <c r="B214" s="211">
        <f t="shared" ref="B214:N214" ca="1" si="100">IF($C93="","",IF($C93&lt;0,0,IF(AND($C93=1,start_time&lt;1),-(SUM(B167)*output_kgyear*$E93*percnt_var*start_time+SUM(B167)*output_kgyear*$E93*(1-start_time)),IF($C93&lt;=start_time,-SUM(B167)*output_kgyear*$E93*percnt_var,-SUM(B167)*output_kgyear*$E93))))</f>
        <v>-180914211.75529483</v>
      </c>
      <c r="C214" s="211">
        <f t="shared" ca="1" si="100"/>
        <v>0</v>
      </c>
      <c r="D214" s="211">
        <f t="shared" ca="1" si="100"/>
        <v>0</v>
      </c>
      <c r="E214" s="238">
        <f t="shared" ca="1" si="100"/>
        <v>0</v>
      </c>
      <c r="F214" s="210">
        <f t="shared" ca="1" si="100"/>
        <v>-9115789.3983979523</v>
      </c>
      <c r="G214" s="211">
        <f t="shared" ca="1" si="100"/>
        <v>0</v>
      </c>
      <c r="H214" s="211">
        <f t="shared" ca="1" si="100"/>
        <v>0</v>
      </c>
      <c r="I214" s="238">
        <f t="shared" ca="1" si="100"/>
        <v>0</v>
      </c>
      <c r="J214" s="605">
        <f t="shared" ca="1" si="100"/>
        <v>-806661.10258623259</v>
      </c>
      <c r="K214" s="236">
        <f t="shared" ca="1" si="100"/>
        <v>0</v>
      </c>
      <c r="L214" s="236">
        <f t="shared" ca="1" si="100"/>
        <v>0</v>
      </c>
      <c r="M214" s="211">
        <f t="shared" ca="1" si="100"/>
        <v>0</v>
      </c>
      <c r="N214" s="239">
        <f t="shared" ca="1" si="100"/>
        <v>0</v>
      </c>
    </row>
    <row r="215" spans="1:14" x14ac:dyDescent="0.25">
      <c r="A215" s="209">
        <f t="shared" si="72"/>
        <v>2041</v>
      </c>
      <c r="B215" s="211">
        <f t="shared" ref="B215:N215" ca="1" si="101">IF($C94="","",IF($C94&lt;0,0,IF(AND($C94=1,start_time&lt;1),-(SUM(B168)*output_kgyear*$E94*percnt_var*start_time+SUM(B168)*output_kgyear*$E94*(1-start_time)),IF($C94&lt;=start_time,-SUM(B168)*output_kgyear*$E94*percnt_var,-SUM(B168)*output_kgyear*$E94))))</f>
        <v>-184500684.83273473</v>
      </c>
      <c r="C215" s="211">
        <f t="shared" ca="1" si="101"/>
        <v>0</v>
      </c>
      <c r="D215" s="211">
        <f t="shared" ca="1" si="101"/>
        <v>0</v>
      </c>
      <c r="E215" s="238">
        <f t="shared" ca="1" si="101"/>
        <v>0</v>
      </c>
      <c r="F215" s="210">
        <f t="shared" ca="1" si="101"/>
        <v>-9261671.1128832698</v>
      </c>
      <c r="G215" s="211">
        <f t="shared" ca="1" si="101"/>
        <v>0</v>
      </c>
      <c r="H215" s="211">
        <f t="shared" ca="1" si="101"/>
        <v>0</v>
      </c>
      <c r="I215" s="238">
        <f t="shared" ca="1" si="101"/>
        <v>0</v>
      </c>
      <c r="J215" s="605">
        <f t="shared" ca="1" si="101"/>
        <v>-819570.25389621966</v>
      </c>
      <c r="K215" s="236">
        <f t="shared" ca="1" si="101"/>
        <v>0</v>
      </c>
      <c r="L215" s="236">
        <f t="shared" ca="1" si="101"/>
        <v>0</v>
      </c>
      <c r="M215" s="211">
        <f t="shared" ca="1" si="101"/>
        <v>0</v>
      </c>
      <c r="N215" s="239">
        <f t="shared" ca="1" si="101"/>
        <v>0</v>
      </c>
    </row>
    <row r="216" spans="1:14" x14ac:dyDescent="0.25">
      <c r="A216" s="209">
        <f t="shared" si="72"/>
        <v>2042</v>
      </c>
      <c r="B216" s="211">
        <f t="shared" ref="B216:N216" ca="1" si="102">IF($C95="","",IF($C95&lt;0,0,IF(AND($C95=1,start_time&lt;1),-(SUM(B169)*output_kgyear*$E95*percnt_var*start_time+SUM(B169)*output_kgyear*$E95*(1-start_time)),IF($C95&lt;=start_time,-SUM(B169)*output_kgyear*$E95*percnt_var,-SUM(B169)*output_kgyear*$E95))))</f>
        <v>-189816412.33288738</v>
      </c>
      <c r="C216" s="211">
        <f t="shared" ca="1" si="102"/>
        <v>0</v>
      </c>
      <c r="D216" s="211">
        <f t="shared" ca="1" si="102"/>
        <v>0</v>
      </c>
      <c r="E216" s="238">
        <f t="shared" ca="1" si="102"/>
        <v>0</v>
      </c>
      <c r="F216" s="210">
        <f t="shared" ca="1" si="102"/>
        <v>-9448589.0816480201</v>
      </c>
      <c r="G216" s="211">
        <f t="shared" ca="1" si="102"/>
        <v>0</v>
      </c>
      <c r="H216" s="211">
        <f t="shared" ca="1" si="102"/>
        <v>0</v>
      </c>
      <c r="I216" s="238">
        <f t="shared" ca="1" si="102"/>
        <v>0</v>
      </c>
      <c r="J216" s="605">
        <f t="shared" ca="1" si="102"/>
        <v>-836110.72539981222</v>
      </c>
      <c r="K216" s="236">
        <f t="shared" ca="1" si="102"/>
        <v>0</v>
      </c>
      <c r="L216" s="236">
        <f t="shared" ca="1" si="102"/>
        <v>0</v>
      </c>
      <c r="M216" s="211">
        <f t="shared" ca="1" si="102"/>
        <v>0</v>
      </c>
      <c r="N216" s="239">
        <f t="shared" ca="1" si="102"/>
        <v>0</v>
      </c>
    </row>
    <row r="217" spans="1:14" x14ac:dyDescent="0.25">
      <c r="A217" s="209">
        <f t="shared" si="72"/>
        <v>2043</v>
      </c>
      <c r="B217" s="211">
        <f t="shared" ref="B217:N217" ca="1" si="103">IF($C96="","",IF($C96&lt;0,0,IF(AND($C96=1,start_time&lt;1),-(SUM(B170)*output_kgyear*$E96*percnt_var*start_time+SUM(B170)*output_kgyear*$E96*(1-start_time)),IF($C96&lt;=start_time,-SUM(B170)*output_kgyear*$E96*percnt_var,-SUM(B170)*output_kgyear*$E96))))</f>
        <v>-196246334.26194936</v>
      </c>
      <c r="C217" s="211">
        <f t="shared" ca="1" si="103"/>
        <v>0</v>
      </c>
      <c r="D217" s="211">
        <f t="shared" ca="1" si="103"/>
        <v>0</v>
      </c>
      <c r="E217" s="238">
        <f t="shared" ca="1" si="103"/>
        <v>0</v>
      </c>
      <c r="F217" s="210">
        <f t="shared" ca="1" si="103"/>
        <v>-9657495.1546699721</v>
      </c>
      <c r="G217" s="211">
        <f t="shared" ca="1" si="103"/>
        <v>0</v>
      </c>
      <c r="H217" s="211">
        <f t="shared" ca="1" si="103"/>
        <v>0</v>
      </c>
      <c r="I217" s="238">
        <f t="shared" ca="1" si="103"/>
        <v>0</v>
      </c>
      <c r="J217" s="605">
        <f t="shared" ca="1" si="103"/>
        <v>-854596.93606528291</v>
      </c>
      <c r="K217" s="236">
        <f t="shared" ca="1" si="103"/>
        <v>0</v>
      </c>
      <c r="L217" s="236">
        <f t="shared" ca="1" si="103"/>
        <v>0</v>
      </c>
      <c r="M217" s="211">
        <f t="shared" ca="1" si="103"/>
        <v>0</v>
      </c>
      <c r="N217" s="239">
        <f t="shared" ca="1" si="103"/>
        <v>0</v>
      </c>
    </row>
    <row r="218" spans="1:14" x14ac:dyDescent="0.25">
      <c r="A218" s="209">
        <f t="shared" si="72"/>
        <v>2044</v>
      </c>
      <c r="B218" s="211">
        <f t="shared" ref="B218:N218" ca="1" si="104">IF($C97="","",IF($C97&lt;0,0,IF(AND($C97=1,start_time&lt;1),-(SUM(B171)*output_kgyear*$E97*percnt_var*start_time+SUM(B171)*output_kgyear*$E97*(1-start_time)),IF($C97&lt;=start_time,-SUM(B171)*output_kgyear*$E97*percnt_var,-SUM(B171)*output_kgyear*$E97))))</f>
        <v>-201946921.98474845</v>
      </c>
      <c r="C218" s="211">
        <f t="shared" ca="1" si="104"/>
        <v>0</v>
      </c>
      <c r="D218" s="211">
        <f t="shared" ca="1" si="104"/>
        <v>0</v>
      </c>
      <c r="E218" s="238">
        <f t="shared" ca="1" si="104"/>
        <v>0</v>
      </c>
      <c r="F218" s="210">
        <f t="shared" ca="1" si="104"/>
        <v>-9878067.1753334943</v>
      </c>
      <c r="G218" s="211">
        <f t="shared" ca="1" si="104"/>
        <v>0</v>
      </c>
      <c r="H218" s="211">
        <f t="shared" ca="1" si="104"/>
        <v>0</v>
      </c>
      <c r="I218" s="238">
        <f t="shared" ca="1" si="104"/>
        <v>0</v>
      </c>
      <c r="J218" s="605">
        <f t="shared" ca="1" si="104"/>
        <v>-874115.47270670428</v>
      </c>
      <c r="K218" s="236">
        <f t="shared" ca="1" si="104"/>
        <v>0</v>
      </c>
      <c r="L218" s="236">
        <f t="shared" ca="1" si="104"/>
        <v>0</v>
      </c>
      <c r="M218" s="211">
        <f t="shared" ca="1" si="104"/>
        <v>0</v>
      </c>
      <c r="N218" s="239">
        <f t="shared" ca="1" si="104"/>
        <v>0</v>
      </c>
    </row>
    <row r="219" spans="1:14" x14ac:dyDescent="0.25">
      <c r="A219" s="209">
        <f t="shared" si="72"/>
        <v>2045</v>
      </c>
      <c r="B219" s="211">
        <f t="shared" ref="B219:N219" ca="1" si="105">IF($C98="","",IF($C98&lt;0,0,IF(AND($C98=1,start_time&lt;1),-(SUM(B172)*output_kgyear*$E98*percnt_var*start_time+SUM(B172)*output_kgyear*$E98*(1-start_time)),IF($C98&lt;=start_time,-SUM(B172)*output_kgyear*$E98*percnt_var,-SUM(B172)*output_kgyear*$E98))))</f>
        <v>-208426314.53612277</v>
      </c>
      <c r="C219" s="211">
        <f t="shared" ca="1" si="105"/>
        <v>0</v>
      </c>
      <c r="D219" s="211">
        <f t="shared" ca="1" si="105"/>
        <v>0</v>
      </c>
      <c r="E219" s="238">
        <f t="shared" ca="1" si="105"/>
        <v>0</v>
      </c>
      <c r="F219" s="210">
        <f t="shared" ca="1" si="105"/>
        <v>-10102520.33563366</v>
      </c>
      <c r="G219" s="211">
        <f t="shared" ca="1" si="105"/>
        <v>0</v>
      </c>
      <c r="H219" s="211">
        <f t="shared" ca="1" si="105"/>
        <v>0</v>
      </c>
      <c r="I219" s="238">
        <f t="shared" ca="1" si="105"/>
        <v>0</v>
      </c>
      <c r="J219" s="605">
        <f t="shared" ca="1" si="105"/>
        <v>-893977.45348025241</v>
      </c>
      <c r="K219" s="236">
        <f t="shared" ca="1" si="105"/>
        <v>0</v>
      </c>
      <c r="L219" s="236">
        <f t="shared" ca="1" si="105"/>
        <v>0</v>
      </c>
      <c r="M219" s="211">
        <f t="shared" ca="1" si="105"/>
        <v>0</v>
      </c>
      <c r="N219" s="239">
        <f t="shared" ca="1" si="105"/>
        <v>0</v>
      </c>
    </row>
    <row r="220" spans="1:14" x14ac:dyDescent="0.25">
      <c r="A220" s="209">
        <f t="shared" si="72"/>
        <v>2046</v>
      </c>
      <c r="B220" s="211">
        <f t="shared" ref="B220:N220" ca="1" si="106">IF($C99="","",IF($C99&lt;0,0,IF(AND($C99=1,start_time&lt;1),-(SUM(B173)*output_kgyear*$E99*percnt_var*start_time+SUM(B173)*output_kgyear*$E99*(1-start_time)),IF($C99&lt;=start_time,-SUM(B173)*output_kgyear*$E99*percnt_var,-SUM(B173)*output_kgyear*$E99))))</f>
        <v>-214444825.84862539</v>
      </c>
      <c r="C220" s="211">
        <f t="shared" ca="1" si="106"/>
        <v>0</v>
      </c>
      <c r="D220" s="211">
        <f t="shared" ca="1" si="106"/>
        <v>0</v>
      </c>
      <c r="E220" s="238">
        <f t="shared" ca="1" si="106"/>
        <v>0</v>
      </c>
      <c r="F220" s="210">
        <f t="shared" ca="1" si="106"/>
        <v>-10332562.764698984</v>
      </c>
      <c r="G220" s="211">
        <f t="shared" ca="1" si="106"/>
        <v>0</v>
      </c>
      <c r="H220" s="211">
        <f t="shared" ca="1" si="106"/>
        <v>0</v>
      </c>
      <c r="I220" s="238">
        <f t="shared" ca="1" si="106"/>
        <v>0</v>
      </c>
      <c r="J220" s="605">
        <f t="shared" ca="1" si="106"/>
        <v>-914334.03165043937</v>
      </c>
      <c r="K220" s="236">
        <f t="shared" ca="1" si="106"/>
        <v>0</v>
      </c>
      <c r="L220" s="236">
        <f t="shared" ca="1" si="106"/>
        <v>0</v>
      </c>
      <c r="M220" s="211">
        <f t="shared" ca="1" si="106"/>
        <v>0</v>
      </c>
      <c r="N220" s="239">
        <f t="shared" ca="1" si="106"/>
        <v>0</v>
      </c>
    </row>
    <row r="221" spans="1:14" x14ac:dyDescent="0.25">
      <c r="A221" s="209">
        <f t="shared" si="72"/>
        <v>2047</v>
      </c>
      <c r="B221" s="211">
        <f t="shared" ref="B221:N221" ca="1" si="107">IF($C100="","",IF($C100&lt;0,0,IF(AND($C100=1,start_time&lt;1),-(SUM(B174)*output_kgyear*$E100*percnt_var*start_time+SUM(B174)*output_kgyear*$E100*(1-start_time)),IF($C100&lt;=start_time,-SUM(B174)*output_kgyear*$E100*percnt_var,-SUM(B174)*output_kgyear*$E100))))</f>
        <v>-220819952.98974445</v>
      </c>
      <c r="C221" s="211">
        <f t="shared" ca="1" si="107"/>
        <v>0</v>
      </c>
      <c r="D221" s="211">
        <f t="shared" ca="1" si="107"/>
        <v>0</v>
      </c>
      <c r="E221" s="238">
        <f t="shared" ca="1" si="107"/>
        <v>0</v>
      </c>
      <c r="F221" s="210">
        <f t="shared" ca="1" si="107"/>
        <v>-10563715.848516408</v>
      </c>
      <c r="G221" s="211">
        <f t="shared" ca="1" si="107"/>
        <v>0</v>
      </c>
      <c r="H221" s="211">
        <f t="shared" ca="1" si="107"/>
        <v>0</v>
      </c>
      <c r="I221" s="238">
        <f t="shared" ca="1" si="107"/>
        <v>0</v>
      </c>
      <c r="J221" s="605">
        <f t="shared" ca="1" si="107"/>
        <v>-934788.89225649298</v>
      </c>
      <c r="K221" s="236">
        <f t="shared" ca="1" si="107"/>
        <v>0</v>
      </c>
      <c r="L221" s="236">
        <f t="shared" ca="1" si="107"/>
        <v>0</v>
      </c>
      <c r="M221" s="211">
        <f t="shared" ca="1" si="107"/>
        <v>0</v>
      </c>
      <c r="N221" s="239">
        <f t="shared" ca="1" si="107"/>
        <v>0</v>
      </c>
    </row>
    <row r="222" spans="1:14" x14ac:dyDescent="0.25">
      <c r="A222" s="209">
        <f t="shared" si="72"/>
        <v>2048</v>
      </c>
      <c r="B222" s="211">
        <f t="shared" ref="B222:N222" ca="1" si="108">IF($C101="","",IF($C101&lt;0,0,IF(AND($C101=1,start_time&lt;1),-(SUM(B175)*output_kgyear*$E101*percnt_var*start_time+SUM(B175)*output_kgyear*$E101*(1-start_time)),IF($C101&lt;=start_time,-SUM(B175)*output_kgyear*$E101*percnt_var,-SUM(B175)*output_kgyear*$E101))))</f>
        <v>-229139966.17138979</v>
      </c>
      <c r="C222" s="211">
        <f t="shared" ca="1" si="108"/>
        <v>0</v>
      </c>
      <c r="D222" s="211">
        <f t="shared" ca="1" si="108"/>
        <v>0</v>
      </c>
      <c r="E222" s="238">
        <f t="shared" ca="1" si="108"/>
        <v>0</v>
      </c>
      <c r="F222" s="210">
        <f t="shared" ca="1" si="108"/>
        <v>-10804354.657387506</v>
      </c>
      <c r="G222" s="211">
        <f t="shared" ca="1" si="108"/>
        <v>0</v>
      </c>
      <c r="H222" s="211">
        <f t="shared" ca="1" si="108"/>
        <v>0</v>
      </c>
      <c r="I222" s="238">
        <f t="shared" ca="1" si="108"/>
        <v>0</v>
      </c>
      <c r="J222" s="605">
        <f t="shared" ca="1" si="108"/>
        <v>-956083.14977006742</v>
      </c>
      <c r="K222" s="236">
        <f t="shared" ca="1" si="108"/>
        <v>0</v>
      </c>
      <c r="L222" s="236">
        <f t="shared" ca="1" si="108"/>
        <v>0</v>
      </c>
      <c r="M222" s="211">
        <f t="shared" ca="1" si="108"/>
        <v>0</v>
      </c>
      <c r="N222" s="239">
        <f t="shared" ca="1" si="108"/>
        <v>0</v>
      </c>
    </row>
    <row r="223" spans="1:14" x14ac:dyDescent="0.25">
      <c r="A223" s="209">
        <f t="shared" si="72"/>
        <v>2049</v>
      </c>
      <c r="B223" s="211">
        <f t="shared" ref="B223:N223" ca="1" si="109">IF($C102="","",IF($C102&lt;0,0,IF(AND($C102=1,start_time&lt;1),-(SUM(B176)*output_kgyear*$E102*percnt_var*start_time+SUM(B176)*output_kgyear*$E102*(1-start_time)),IF($C102&lt;=start_time,-SUM(B176)*output_kgyear*$E102*percnt_var,-SUM(B176)*output_kgyear*$E102))))</f>
        <v>-234861098.66153771</v>
      </c>
      <c r="C223" s="211">
        <f t="shared" ca="1" si="109"/>
        <v>0</v>
      </c>
      <c r="D223" s="211">
        <f t="shared" ca="1" si="109"/>
        <v>0</v>
      </c>
      <c r="E223" s="238">
        <f t="shared" ca="1" si="109"/>
        <v>0</v>
      </c>
      <c r="F223" s="210">
        <f t="shared" ca="1" si="109"/>
        <v>-11044888.31087382</v>
      </c>
      <c r="G223" s="211">
        <f t="shared" ca="1" si="109"/>
        <v>0</v>
      </c>
      <c r="H223" s="211">
        <f t="shared" ca="1" si="109"/>
        <v>0</v>
      </c>
      <c r="I223" s="238">
        <f t="shared" ca="1" si="109"/>
        <v>0</v>
      </c>
      <c r="J223" s="605">
        <f t="shared" ca="1" si="109"/>
        <v>-977368.10202713287</v>
      </c>
      <c r="K223" s="236">
        <f t="shared" ca="1" si="109"/>
        <v>0</v>
      </c>
      <c r="L223" s="236">
        <f t="shared" ca="1" si="109"/>
        <v>0</v>
      </c>
      <c r="M223" s="211">
        <f t="shared" ca="1" si="109"/>
        <v>0</v>
      </c>
      <c r="N223" s="239">
        <f t="shared" ca="1" si="109"/>
        <v>0</v>
      </c>
    </row>
    <row r="224" spans="1:14" x14ac:dyDescent="0.25">
      <c r="A224" s="209">
        <f t="shared" si="72"/>
        <v>2050</v>
      </c>
      <c r="B224" s="211">
        <f t="shared" ref="B224:N224" ca="1" si="110">IF($C103="","",IF($C103&lt;0,0,IF(AND($C103=1,start_time&lt;1),-(SUM(B177)*output_kgyear*$E103*percnt_var*start_time+SUM(B177)*output_kgyear*$E103*(1-start_time)),IF($C103&lt;=start_time,-SUM(B177)*output_kgyear*$E103*percnt_var,-SUM(B177)*output_kgyear*$E103))))</f>
        <v>-242353603.08887178</v>
      </c>
      <c r="C224" s="211">
        <f t="shared" ca="1" si="110"/>
        <v>0</v>
      </c>
      <c r="D224" s="211">
        <f t="shared" ca="1" si="110"/>
        <v>0</v>
      </c>
      <c r="E224" s="238">
        <f t="shared" ca="1" si="110"/>
        <v>0</v>
      </c>
      <c r="F224" s="210">
        <f t="shared" ca="1" si="110"/>
        <v>-11289565.447951142</v>
      </c>
      <c r="G224" s="211">
        <f t="shared" ca="1" si="110"/>
        <v>0</v>
      </c>
      <c r="H224" s="211">
        <f t="shared" ca="1" si="110"/>
        <v>0</v>
      </c>
      <c r="I224" s="238">
        <f t="shared" ca="1" si="110"/>
        <v>0</v>
      </c>
      <c r="J224" s="605">
        <f t="shared" ca="1" si="110"/>
        <v>-999019.71337382798</v>
      </c>
      <c r="K224" s="236">
        <f t="shared" ca="1" si="110"/>
        <v>0</v>
      </c>
      <c r="L224" s="236">
        <f t="shared" ca="1" si="110"/>
        <v>0</v>
      </c>
      <c r="M224" s="211">
        <f t="shared" ca="1" si="110"/>
        <v>0</v>
      </c>
      <c r="N224" s="239">
        <f t="shared" ca="1" si="110"/>
        <v>0</v>
      </c>
    </row>
    <row r="225" spans="1:14" x14ac:dyDescent="0.25">
      <c r="A225" s="209">
        <f t="shared" si="72"/>
        <v>2051</v>
      </c>
      <c r="B225" s="211">
        <f t="shared" ref="B225:N225" ca="1" si="111">IF($C104="","",IF($C104&lt;0,0,IF(AND($C104=1,start_time&lt;1),-(SUM(B178)*output_kgyear*$E104*percnt_var*start_time+SUM(B178)*output_kgyear*$E104*(1-start_time)),IF($C104&lt;=start_time,-SUM(B178)*output_kgyear*$E104*percnt_var,-SUM(B178)*output_kgyear*$E104))))</f>
        <v>-248331247.1536375</v>
      </c>
      <c r="C225" s="211">
        <f t="shared" ca="1" si="111"/>
        <v>0</v>
      </c>
      <c r="D225" s="211">
        <f t="shared" ca="1" si="111"/>
        <v>0</v>
      </c>
      <c r="E225" s="238">
        <f t="shared" ca="1" si="111"/>
        <v>0</v>
      </c>
      <c r="F225" s="210">
        <f t="shared" ca="1" si="111"/>
        <v>-11514500.867380446</v>
      </c>
      <c r="G225" s="211">
        <f t="shared" ca="1" si="111"/>
        <v>0</v>
      </c>
      <c r="H225" s="211">
        <f t="shared" ca="1" si="111"/>
        <v>0</v>
      </c>
      <c r="I225" s="238">
        <f t="shared" ca="1" si="111"/>
        <v>0</v>
      </c>
      <c r="J225" s="605">
        <f t="shared" ca="1" si="111"/>
        <v>-1018924.3695168744</v>
      </c>
      <c r="K225" s="236">
        <f t="shared" ca="1" si="111"/>
        <v>0</v>
      </c>
      <c r="L225" s="236">
        <f t="shared" ca="1" si="111"/>
        <v>0</v>
      </c>
      <c r="M225" s="211">
        <f t="shared" ca="1" si="111"/>
        <v>0</v>
      </c>
      <c r="N225" s="239">
        <f t="shared" ca="1" si="111"/>
        <v>0</v>
      </c>
    </row>
    <row r="226" spans="1:14" x14ac:dyDescent="0.25">
      <c r="A226" s="209">
        <f t="shared" si="72"/>
        <v>2052</v>
      </c>
      <c r="B226" s="211">
        <f t="shared" ref="B226:N226" ca="1" si="112">IF($C105="","",IF($C105&lt;0,0,IF(AND($C105=1,start_time&lt;1),-(SUM(B179)*output_kgyear*$E105*percnt_var*start_time+SUM(B179)*output_kgyear*$E105*(1-start_time)),IF($C105&lt;=start_time,-SUM(B179)*output_kgyear*$E105*percnt_var,-SUM(B179)*output_kgyear*$E105))))</f>
        <v>-254456329.62290645</v>
      </c>
      <c r="C226" s="211">
        <f t="shared" ca="1" si="112"/>
        <v>0</v>
      </c>
      <c r="D226" s="211">
        <f t="shared" ca="1" si="112"/>
        <v>0</v>
      </c>
      <c r="E226" s="238">
        <f t="shared" ca="1" si="112"/>
        <v>0</v>
      </c>
      <c r="F226" s="210">
        <f t="shared" ca="1" si="112"/>
        <v>-11743917.942294817</v>
      </c>
      <c r="G226" s="211">
        <f t="shared" ca="1" si="112"/>
        <v>0</v>
      </c>
      <c r="H226" s="211">
        <f t="shared" ca="1" si="112"/>
        <v>0</v>
      </c>
      <c r="I226" s="238">
        <f t="shared" ca="1" si="112"/>
        <v>0</v>
      </c>
      <c r="J226" s="605">
        <f t="shared" ca="1" si="112"/>
        <v>-1039225.6097621851</v>
      </c>
      <c r="K226" s="236">
        <f t="shared" ca="1" si="112"/>
        <v>0</v>
      </c>
      <c r="L226" s="236">
        <f t="shared" ca="1" si="112"/>
        <v>0</v>
      </c>
      <c r="M226" s="211">
        <f t="shared" ca="1" si="112"/>
        <v>0</v>
      </c>
      <c r="N226" s="239">
        <f t="shared" ca="1" si="112"/>
        <v>0</v>
      </c>
    </row>
    <row r="227" spans="1:14" x14ac:dyDescent="0.25">
      <c r="A227" s="209">
        <f t="shared" si="72"/>
        <v>2053</v>
      </c>
      <c r="B227" s="211">
        <f t="shared" ref="B227:N227" ca="1" si="113">IF($C106="","",IF($C106&lt;0,0,IF(AND($C106=1,start_time&lt;1),-(SUM(B180)*output_kgyear*$E106*percnt_var*start_time+SUM(B180)*output_kgyear*$E106*(1-start_time)),IF($C106&lt;=start_time,-SUM(B180)*output_kgyear*$E106*percnt_var,-SUM(B180)*output_kgyear*$E106))))</f>
        <v>-260732487.06032935</v>
      </c>
      <c r="C227" s="211">
        <f t="shared" ca="1" si="113"/>
        <v>0</v>
      </c>
      <c r="D227" s="211">
        <f t="shared" ca="1" si="113"/>
        <v>0</v>
      </c>
      <c r="E227" s="238">
        <f t="shared" ca="1" si="113"/>
        <v>0</v>
      </c>
      <c r="F227" s="210">
        <f t="shared" ca="1" si="113"/>
        <v>-11977905.966038713</v>
      </c>
      <c r="G227" s="211">
        <f t="shared" ca="1" si="113"/>
        <v>0</v>
      </c>
      <c r="H227" s="211">
        <f t="shared" ca="1" si="113"/>
        <v>0</v>
      </c>
      <c r="I227" s="238">
        <f t="shared" ca="1" si="113"/>
        <v>0</v>
      </c>
      <c r="J227" s="605">
        <f t="shared" ca="1" si="113"/>
        <v>-1059931.3357257971</v>
      </c>
      <c r="K227" s="236">
        <f t="shared" ca="1" si="113"/>
        <v>0</v>
      </c>
      <c r="L227" s="236">
        <f t="shared" ca="1" si="113"/>
        <v>0</v>
      </c>
      <c r="M227" s="211">
        <f t="shared" ca="1" si="113"/>
        <v>0</v>
      </c>
      <c r="N227" s="239">
        <f t="shared" ca="1" si="113"/>
        <v>0</v>
      </c>
    </row>
    <row r="228" spans="1:14" x14ac:dyDescent="0.25">
      <c r="A228" s="209">
        <f t="shared" si="72"/>
        <v>2054</v>
      </c>
      <c r="B228" s="211">
        <f t="shared" ref="B228:N228" ca="1" si="114">IF($C107="","",IF($C107&lt;0,0,IF(AND($C107=1,start_time&lt;1),-(SUM(B181)*output_kgyear*$E107*percnt_var*start_time+SUM(B181)*output_kgyear*$E107*(1-start_time)),IF($C107&lt;=start_time,-SUM(B181)*output_kgyear*$E107*percnt_var,-SUM(B181)*output_kgyear*$E107))))</f>
        <v>-267163445.72528583</v>
      </c>
      <c r="C228" s="211">
        <f t="shared" ca="1" si="114"/>
        <v>0</v>
      </c>
      <c r="D228" s="211">
        <f t="shared" ca="1" si="114"/>
        <v>0</v>
      </c>
      <c r="E228" s="238">
        <f t="shared" ca="1" si="114"/>
        <v>0</v>
      </c>
      <c r="F228" s="210">
        <f t="shared" ca="1" si="114"/>
        <v>-12216556.011053924</v>
      </c>
      <c r="G228" s="211">
        <f t="shared" ca="1" si="114"/>
        <v>0</v>
      </c>
      <c r="H228" s="211">
        <f t="shared" ca="1" si="114"/>
        <v>0</v>
      </c>
      <c r="I228" s="238">
        <f t="shared" ca="1" si="114"/>
        <v>0</v>
      </c>
      <c r="J228" s="605">
        <f t="shared" ca="1" si="114"/>
        <v>-1081049.6064570248</v>
      </c>
      <c r="K228" s="236">
        <f t="shared" ca="1" si="114"/>
        <v>0</v>
      </c>
      <c r="L228" s="236">
        <f t="shared" ca="1" si="114"/>
        <v>0</v>
      </c>
      <c r="M228" s="211">
        <f t="shared" ca="1" si="114"/>
        <v>0</v>
      </c>
      <c r="N228" s="239">
        <f t="shared" ca="1" si="114"/>
        <v>0</v>
      </c>
    </row>
    <row r="229" spans="1:14" x14ac:dyDescent="0.25">
      <c r="A229" s="209" t="str">
        <f t="shared" si="72"/>
        <v/>
      </c>
      <c r="B229" s="211" t="str">
        <f t="shared" ref="B229:N229" si="115">IF($C108="","",IF($C108&lt;0,0,IF(AND($C108=1,start_time&lt;1),-(SUM(B182)*output_kgyear*$E108*percnt_var*start_time+SUM(B182)*output_kgyear*$E108*(1-start_time)),IF($C108&lt;=start_time,-SUM(B182)*output_kgyear*$E108*percnt_var,-SUM(B182)*output_kgyear*$E108))))</f>
        <v/>
      </c>
      <c r="C229" s="211" t="str">
        <f t="shared" si="115"/>
        <v/>
      </c>
      <c r="D229" s="211" t="str">
        <f t="shared" si="115"/>
        <v/>
      </c>
      <c r="E229" s="238" t="str">
        <f t="shared" si="115"/>
        <v/>
      </c>
      <c r="F229" s="210" t="str">
        <f t="shared" si="115"/>
        <v/>
      </c>
      <c r="G229" s="211" t="str">
        <f t="shared" si="115"/>
        <v/>
      </c>
      <c r="H229" s="211" t="str">
        <f t="shared" si="115"/>
        <v/>
      </c>
      <c r="I229" s="238" t="str">
        <f t="shared" si="115"/>
        <v/>
      </c>
      <c r="J229" s="605" t="str">
        <f t="shared" si="115"/>
        <v/>
      </c>
      <c r="K229" s="236" t="str">
        <f t="shared" si="115"/>
        <v/>
      </c>
      <c r="L229" s="236" t="str">
        <f t="shared" si="115"/>
        <v/>
      </c>
      <c r="M229" s="211" t="str">
        <f t="shared" si="115"/>
        <v/>
      </c>
      <c r="N229" s="239" t="str">
        <f t="shared" si="115"/>
        <v/>
      </c>
    </row>
    <row r="231" spans="1:14" x14ac:dyDescent="0.25">
      <c r="A231" s="211" t="s">
        <v>1190</v>
      </c>
      <c r="B231" s="211">
        <f ca="1">+B186+NPV($X$59,B187:B228)</f>
        <v>-937359162.86393857</v>
      </c>
      <c r="C231" s="211">
        <f t="shared" ref="C231:N231" ca="1" si="116">+C186+NPV($X$59,C187:C228)</f>
        <v>0</v>
      </c>
      <c r="D231" s="211">
        <f t="shared" ca="1" si="116"/>
        <v>0</v>
      </c>
      <c r="E231" s="211">
        <f t="shared" ca="1" si="116"/>
        <v>0</v>
      </c>
      <c r="F231" s="211">
        <f t="shared" ca="1" si="116"/>
        <v>-51206939.675746314</v>
      </c>
      <c r="G231" s="211">
        <f t="shared" ca="1" si="116"/>
        <v>0</v>
      </c>
      <c r="H231" s="211">
        <f t="shared" ca="1" si="116"/>
        <v>0</v>
      </c>
      <c r="I231" s="211">
        <f t="shared" ca="1" si="116"/>
        <v>0</v>
      </c>
      <c r="J231" s="211">
        <f t="shared" ca="1" si="116"/>
        <v>-4531329.6099363184</v>
      </c>
      <c r="K231" s="211">
        <f t="shared" ca="1" si="116"/>
        <v>0</v>
      </c>
      <c r="L231" s="211">
        <f t="shared" ca="1" si="116"/>
        <v>0</v>
      </c>
      <c r="M231" s="211">
        <f t="shared" ca="1" si="116"/>
        <v>0</v>
      </c>
      <c r="N231" s="211">
        <f t="shared" ca="1" si="116"/>
        <v>0</v>
      </c>
    </row>
    <row r="232" spans="1:14" x14ac:dyDescent="0.25">
      <c r="A232" s="211" t="s">
        <v>1189</v>
      </c>
      <c r="B232" s="211">
        <f ca="1">-B231/$AE$116*(1+inflation_rate)^construct/INFLATION_FACTOR</f>
        <v>0.82524955783637077</v>
      </c>
      <c r="C232" s="211">
        <f t="shared" ref="C232:N232" ca="1" si="117">-C231/$AE$116*(1+inflation_rate)^construct/INFLATION_FACTOR</f>
        <v>0</v>
      </c>
      <c r="D232" s="211">
        <f t="shared" ca="1" si="117"/>
        <v>0</v>
      </c>
      <c r="E232" s="211">
        <f t="shared" ca="1" si="117"/>
        <v>0</v>
      </c>
      <c r="F232" s="211">
        <f ca="1">-F231/$AE$116*(1+inflation_rate)^construct/INFLATION_FACTOR</f>
        <v>4.5082510525047644E-2</v>
      </c>
      <c r="G232" s="211">
        <f t="shared" ca="1" si="117"/>
        <v>0</v>
      </c>
      <c r="H232" s="211">
        <f t="shared" ca="1" si="117"/>
        <v>0</v>
      </c>
      <c r="I232" s="211">
        <f t="shared" ca="1" si="117"/>
        <v>0</v>
      </c>
      <c r="J232" s="211">
        <f t="shared" ca="1" si="117"/>
        <v>3.9893755831921195E-3</v>
      </c>
      <c r="K232" s="211">
        <f t="shared" ca="1" si="117"/>
        <v>0</v>
      </c>
      <c r="L232" s="211">
        <f t="shared" ca="1" si="117"/>
        <v>0</v>
      </c>
      <c r="M232" s="211">
        <f t="shared" ca="1" si="117"/>
        <v>0</v>
      </c>
      <c r="N232" s="211">
        <f t="shared" ca="1" si="117"/>
        <v>0</v>
      </c>
    </row>
    <row r="233" spans="1:14" x14ac:dyDescent="0.25">
      <c r="A233" s="211" t="s">
        <v>1191</v>
      </c>
      <c r="B233" s="211">
        <f ca="1">IF(B132&gt;0,B232/B133*(1+inflation_rate)^construct,"")</f>
        <v>5.6045454960904868</v>
      </c>
      <c r="C233" s="211" t="str">
        <f t="shared" ref="C233:N233" si="118">IF(C132&gt;0,C232/C133*(1+inflation_rate)^construct,"")</f>
        <v/>
      </c>
      <c r="D233" s="211" t="str">
        <f t="shared" si="118"/>
        <v/>
      </c>
      <c r="E233" s="211" t="str">
        <f t="shared" si="118"/>
        <v/>
      </c>
      <c r="F233" s="211">
        <f t="shared" ca="1" si="118"/>
        <v>7.9502245341356123E-2</v>
      </c>
      <c r="G233" s="211" t="str">
        <f t="shared" si="118"/>
        <v/>
      </c>
      <c r="H233" s="211" t="str">
        <f t="shared" si="118"/>
        <v/>
      </c>
      <c r="I233" s="211" t="str">
        <f t="shared" si="118"/>
        <v/>
      </c>
      <c r="J233" s="211">
        <f t="shared" ca="1" si="118"/>
        <v>7.9502245341356137E-2</v>
      </c>
      <c r="K233" s="211" t="str">
        <f t="shared" si="118"/>
        <v/>
      </c>
      <c r="L233" s="211" t="str">
        <f t="shared" si="118"/>
        <v/>
      </c>
      <c r="M233" s="211" t="str">
        <f t="shared" si="118"/>
        <v/>
      </c>
      <c r="N233" s="211" t="str">
        <f t="shared" si="118"/>
        <v/>
      </c>
    </row>
    <row r="279" spans="1:5" x14ac:dyDescent="0.25">
      <c r="A279" s="53" t="s">
        <v>193</v>
      </c>
    </row>
    <row r="280" spans="1:5" x14ac:dyDescent="0.25">
      <c r="A280" s="53" t="s">
        <v>1052</v>
      </c>
      <c r="B280" s="53" t="s">
        <v>637</v>
      </c>
      <c r="C280" s="53" t="s">
        <v>194</v>
      </c>
      <c r="D280" s="53" t="s">
        <v>195</v>
      </c>
      <c r="E280" s="53" t="s">
        <v>196</v>
      </c>
    </row>
    <row r="281" spans="1:5" x14ac:dyDescent="0.25">
      <c r="A281" s="53" t="str">
        <f>'HyARC Physical Property Data'!A76</f>
        <v>Commercial Electricity</v>
      </c>
      <c r="B281" s="53">
        <f ca="1">VLOOKUP(A281,MASTER_PROPERTY_TABLE,9,FALSE)</f>
        <v>3.5999999999999995E-3</v>
      </c>
      <c r="C281" s="53">
        <f ca="1">MATCH(startup_year,Feedstock_Year,0)</f>
        <v>19</v>
      </c>
      <c r="D281" s="53">
        <f ca="1">VLOOKUP(A281,FEEDPRICETABLE,C281,FALSE)</f>
        <v>29.932211922183079</v>
      </c>
      <c r="E281" s="53">
        <f ca="1">B281*D281</f>
        <v>0.10775596291985907</v>
      </c>
    </row>
    <row r="282" spans="1:5" x14ac:dyDescent="0.25">
      <c r="A282" s="53" t="str">
        <f>'HyARC Physical Property Data'!A77</f>
        <v>Industrial Electricity</v>
      </c>
      <c r="B282" s="53">
        <f ca="1">VLOOKUP(A282,MASTER_PROPERTY_TABLE,9,FALSE)</f>
        <v>3.5999999999999995E-3</v>
      </c>
      <c r="C282" s="53">
        <f ca="1">MATCH(startup_year,Feedstock_Year,0)+2</f>
        <v>21</v>
      </c>
      <c r="D282" s="53">
        <f ca="1">VLOOKUP(A282,FEEDPRICETABLE,C282,FALSE)</f>
        <v>19.537493744407882</v>
      </c>
      <c r="E282" s="53">
        <f ca="1">B282*D282</f>
        <v>7.033497747986836E-2</v>
      </c>
    </row>
  </sheetData>
  <mergeCells count="2">
    <mergeCell ref="D15:E15"/>
    <mergeCell ref="W53:X53"/>
  </mergeCells>
  <phoneticPr fontId="0" type="noConversion"/>
  <hyperlinks>
    <hyperlink ref="A3" location="'Cash Flow Analysis'!A16" display="DCF Calculations" xr:uid="{00000000-0004-0000-0A00-000000000000}"/>
    <hyperlink ref="A4" location="'Cash Flow Analysis'!A64" display="Yearly Cash Flow Calculations" xr:uid="{00000000-0004-0000-0A00-000001000000}"/>
    <hyperlink ref="A5" location="'Cash Flow Analysis'!A118" display="Specific Item Cost Calculation" xr:uid="{00000000-0004-0000-0A00-000002000000}"/>
    <hyperlink ref="A6" location="'Cash Flow Analysis'!A130" display="Feedstock, Utility, and Byproduct Cost Information" xr:uid="{00000000-0004-0000-0A00-000003000000}"/>
  </hyperlinks>
  <pageMargins left="0.75" right="0.75" top="1" bottom="1" header="0.5" footer="0.5"/>
  <pageSetup scale="84" fitToHeight="0" orientation="landscape" horizontalDpi="4294967292" verticalDpi="4294967292" r:id="rId1"/>
  <headerFooter alignWithMargins="0">
    <oddHeader>&amp;LU:\Files To Back Up\IPHE Collaboration\H2A Cases for IPHE\Case 3 current central biomass gasification pipeline\h2a_central_biomass_gasification_current_final.xls&amp;R&amp;D</oddHeader>
    <oddFooter>&amp;CPage 5 of 6</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indexed="51"/>
  </sheetPr>
  <dimension ref="A3:DB309"/>
  <sheetViews>
    <sheetView workbookViewId="0"/>
  </sheetViews>
  <sheetFormatPr defaultRowHeight="12.5" x14ac:dyDescent="0.25"/>
  <cols>
    <col min="1" max="1" width="30.26953125" customWidth="1"/>
    <col min="2" max="2" width="18.81640625" customWidth="1"/>
    <col min="3" max="3" width="11.26953125" customWidth="1"/>
    <col min="5" max="5" width="12.7265625" customWidth="1"/>
    <col min="6" max="6" width="12.453125" customWidth="1"/>
    <col min="7" max="7" width="11.7265625" customWidth="1"/>
  </cols>
  <sheetData>
    <row r="3" spans="1:104" ht="13.5" thickBot="1" x14ac:dyDescent="0.35">
      <c r="BW3" s="1401" t="s">
        <v>1293</v>
      </c>
      <c r="BX3" s="1401"/>
      <c r="BY3" s="1401"/>
      <c r="BZ3" s="1401"/>
      <c r="CA3" s="1401"/>
      <c r="CB3" s="1401"/>
      <c r="CC3" s="1401"/>
      <c r="CD3" s="1401"/>
    </row>
    <row r="4" spans="1:104" ht="13.5" thickTop="1" x14ac:dyDescent="0.3">
      <c r="A4" s="870" t="s">
        <v>1117</v>
      </c>
      <c r="B4" s="871" t="str">
        <f>"Prices are in $(" &amp; ref_year&amp;")/GJ LHV"</f>
        <v>Prices are in $(2016)/GJ LHV</v>
      </c>
      <c r="C4" s="872"/>
      <c r="D4" s="872"/>
      <c r="E4" s="872"/>
      <c r="F4" s="872"/>
      <c r="G4" s="872"/>
      <c r="H4" s="872"/>
      <c r="I4" s="872"/>
      <c r="J4" s="872"/>
      <c r="K4" s="872"/>
      <c r="L4" s="872"/>
      <c r="M4" s="872"/>
      <c r="N4" s="872"/>
      <c r="O4" s="872"/>
      <c r="P4" s="872"/>
      <c r="Q4" s="872"/>
      <c r="R4" s="872"/>
      <c r="S4" s="872"/>
      <c r="T4" s="872"/>
      <c r="U4" s="872"/>
      <c r="V4" s="872"/>
      <c r="W4" s="872"/>
      <c r="X4" s="872"/>
      <c r="Y4" s="872"/>
      <c r="Z4" s="872"/>
      <c r="AA4" s="872"/>
      <c r="AB4" s="872"/>
      <c r="AC4" s="872"/>
      <c r="AD4" s="872"/>
      <c r="AE4" s="872"/>
      <c r="AF4" s="872"/>
      <c r="AG4" s="872"/>
      <c r="AH4" s="885" t="s">
        <v>772</v>
      </c>
      <c r="AI4" s="886"/>
      <c r="AJ4" s="886"/>
      <c r="AK4" s="886"/>
      <c r="AL4" s="886"/>
      <c r="AM4" s="886"/>
      <c r="AN4" s="886"/>
      <c r="AO4" s="886"/>
      <c r="AP4" s="886"/>
      <c r="AQ4" s="886"/>
      <c r="AR4" s="886"/>
      <c r="AS4" s="886"/>
      <c r="AT4" s="886"/>
      <c r="AU4" s="886"/>
      <c r="AV4" s="886"/>
      <c r="AW4" s="886"/>
      <c r="AX4" s="886"/>
      <c r="AY4" s="886"/>
      <c r="AZ4" s="886"/>
      <c r="BA4" s="886"/>
      <c r="BB4" s="886"/>
      <c r="BC4" s="886"/>
      <c r="BD4" s="886"/>
      <c r="BE4" s="886"/>
      <c r="BF4" s="886"/>
      <c r="BG4" s="886"/>
      <c r="BH4" s="886"/>
      <c r="BI4" s="886"/>
      <c r="BJ4" s="886"/>
      <c r="BK4" s="886"/>
      <c r="BL4" s="886"/>
      <c r="BM4" s="886"/>
      <c r="BN4" s="886"/>
      <c r="BO4" s="886"/>
      <c r="BP4" s="886"/>
      <c r="BQ4" s="886"/>
      <c r="BR4" s="886"/>
      <c r="BS4" s="886"/>
      <c r="BT4" s="886"/>
      <c r="BU4" s="886"/>
      <c r="BV4" s="887"/>
    </row>
    <row r="5" spans="1:104" ht="39.5" thickBot="1" x14ac:dyDescent="0.35">
      <c r="A5" s="890" t="s">
        <v>1084</v>
      </c>
      <c r="B5" s="891" t="s">
        <v>678</v>
      </c>
      <c r="C5" s="891" t="s">
        <v>679</v>
      </c>
      <c r="D5" s="891" t="s">
        <v>690</v>
      </c>
      <c r="E5" s="891" t="s">
        <v>691</v>
      </c>
      <c r="F5" s="892" t="s">
        <v>680</v>
      </c>
      <c r="G5" s="892" t="s">
        <v>692</v>
      </c>
      <c r="H5" s="892">
        <v>2004</v>
      </c>
      <c r="I5" s="892">
        <v>2005</v>
      </c>
      <c r="J5" s="892">
        <v>2006</v>
      </c>
      <c r="K5" s="892">
        <v>2007</v>
      </c>
      <c r="L5" s="892">
        <v>2008</v>
      </c>
      <c r="M5" s="892">
        <v>2009</v>
      </c>
      <c r="N5" s="892">
        <v>2010</v>
      </c>
      <c r="O5" s="892">
        <v>2011</v>
      </c>
      <c r="P5" s="892">
        <v>2012</v>
      </c>
      <c r="Q5" s="892">
        <v>2013</v>
      </c>
      <c r="R5" s="892">
        <v>2014</v>
      </c>
      <c r="S5" s="892">
        <v>2015</v>
      </c>
      <c r="T5" s="892">
        <v>2016</v>
      </c>
      <c r="U5" s="892">
        <v>2017</v>
      </c>
      <c r="V5" s="892">
        <v>2018</v>
      </c>
      <c r="W5" s="892">
        <v>2019</v>
      </c>
      <c r="X5" s="892">
        <v>2020</v>
      </c>
      <c r="Y5" s="892">
        <v>2021</v>
      </c>
      <c r="Z5" s="892">
        <v>2022</v>
      </c>
      <c r="AA5" s="892">
        <v>2023</v>
      </c>
      <c r="AB5" s="892">
        <v>2024</v>
      </c>
      <c r="AC5" s="892">
        <v>2025</v>
      </c>
      <c r="AD5" s="892">
        <v>2026</v>
      </c>
      <c r="AE5" s="892">
        <v>2027</v>
      </c>
      <c r="AF5" s="892">
        <v>2028</v>
      </c>
      <c r="AG5" s="892">
        <v>2029</v>
      </c>
      <c r="AH5" s="892">
        <v>2030</v>
      </c>
      <c r="AI5" s="892">
        <v>2031</v>
      </c>
      <c r="AJ5" s="892">
        <v>2032</v>
      </c>
      <c r="AK5" s="892">
        <v>2033</v>
      </c>
      <c r="AL5" s="892">
        <v>2034</v>
      </c>
      <c r="AM5" s="892">
        <v>2035</v>
      </c>
      <c r="AN5" s="892">
        <v>2036</v>
      </c>
      <c r="AO5" s="892">
        <v>2037</v>
      </c>
      <c r="AP5" s="892">
        <v>2038</v>
      </c>
      <c r="AQ5" s="892">
        <v>2039</v>
      </c>
      <c r="AR5" s="892">
        <v>2040</v>
      </c>
      <c r="AS5" s="892">
        <v>2041</v>
      </c>
      <c r="AT5" s="892">
        <v>2042</v>
      </c>
      <c r="AU5" s="892">
        <v>2043</v>
      </c>
      <c r="AV5" s="892">
        <v>2044</v>
      </c>
      <c r="AW5" s="892">
        <v>2045</v>
      </c>
      <c r="AX5" s="892">
        <v>2046</v>
      </c>
      <c r="AY5" s="892">
        <v>2047</v>
      </c>
      <c r="AZ5" s="892">
        <v>2048</v>
      </c>
      <c r="BA5" s="892">
        <v>2049</v>
      </c>
      <c r="BB5" s="892">
        <v>2050</v>
      </c>
      <c r="BC5" s="892">
        <v>2051</v>
      </c>
      <c r="BD5" s="892">
        <v>2052</v>
      </c>
      <c r="BE5" s="892">
        <v>2053</v>
      </c>
      <c r="BF5" s="892">
        <v>2054</v>
      </c>
      <c r="BG5" s="892">
        <v>2055</v>
      </c>
      <c r="BH5" s="892">
        <v>2056</v>
      </c>
      <c r="BI5" s="892">
        <v>2057</v>
      </c>
      <c r="BJ5" s="892">
        <v>2058</v>
      </c>
      <c r="BK5" s="892">
        <v>2059</v>
      </c>
      <c r="BL5" s="892">
        <v>2060</v>
      </c>
      <c r="BM5" s="892">
        <v>2061</v>
      </c>
      <c r="BN5" s="892">
        <v>2062</v>
      </c>
      <c r="BO5" s="892">
        <v>2063</v>
      </c>
      <c r="BP5" s="892">
        <v>2064</v>
      </c>
      <c r="BQ5" s="892">
        <v>2065</v>
      </c>
      <c r="BR5" s="892">
        <v>2066</v>
      </c>
      <c r="BS5" s="892">
        <v>2067</v>
      </c>
      <c r="BT5" s="892">
        <v>2068</v>
      </c>
      <c r="BU5" s="892">
        <v>2069</v>
      </c>
      <c r="BV5" s="893">
        <v>2070</v>
      </c>
      <c r="BW5" s="1401">
        <f t="shared" ref="BW5" si="0">+BV5+1</f>
        <v>2071</v>
      </c>
      <c r="BX5" s="1401">
        <f t="shared" ref="BX5" si="1">+BW5+1</f>
        <v>2072</v>
      </c>
      <c r="BY5" s="1401">
        <f t="shared" ref="BY5" si="2">+BX5+1</f>
        <v>2073</v>
      </c>
      <c r="BZ5" s="1401">
        <f t="shared" ref="BZ5" si="3">+BY5+1</f>
        <v>2074</v>
      </c>
      <c r="CA5" s="1401">
        <f t="shared" ref="CA5" si="4">+BZ5+1</f>
        <v>2075</v>
      </c>
      <c r="CB5" s="1401">
        <f t="shared" ref="CB5" si="5">+CA5+1</f>
        <v>2076</v>
      </c>
      <c r="CC5" s="1401">
        <f t="shared" ref="CC5" si="6">+CB5+1</f>
        <v>2077</v>
      </c>
      <c r="CD5" s="1401">
        <f t="shared" ref="CD5" si="7">+CC5+1</f>
        <v>2078</v>
      </c>
      <c r="CE5" s="1401">
        <f t="shared" ref="CE5" si="8">+CD5+1</f>
        <v>2079</v>
      </c>
      <c r="CF5" s="1401">
        <f t="shared" ref="CF5" si="9">+CE5+1</f>
        <v>2080</v>
      </c>
      <c r="CG5" s="1401">
        <f t="shared" ref="CG5" si="10">+CF5+1</f>
        <v>2081</v>
      </c>
      <c r="CH5" s="1401">
        <f t="shared" ref="CH5" si="11">+CG5+1</f>
        <v>2082</v>
      </c>
      <c r="CI5" s="1401">
        <f t="shared" ref="CI5" si="12">+CH5+1</f>
        <v>2083</v>
      </c>
      <c r="CJ5" s="1401">
        <f t="shared" ref="CJ5" si="13">+CI5+1</f>
        <v>2084</v>
      </c>
      <c r="CK5" s="1401">
        <f t="shared" ref="CK5" si="14">+CJ5+1</f>
        <v>2085</v>
      </c>
      <c r="CL5" s="1401">
        <f t="shared" ref="CL5" si="15">+CK5+1</f>
        <v>2086</v>
      </c>
      <c r="CM5" s="1401">
        <f t="shared" ref="CM5" si="16">+CL5+1</f>
        <v>2087</v>
      </c>
      <c r="CN5" s="1401">
        <f t="shared" ref="CN5" si="17">+CM5+1</f>
        <v>2088</v>
      </c>
      <c r="CO5" s="1401">
        <f t="shared" ref="CO5" si="18">+CN5+1</f>
        <v>2089</v>
      </c>
      <c r="CP5" s="1401">
        <f t="shared" ref="CP5" si="19">+CO5+1</f>
        <v>2090</v>
      </c>
      <c r="CQ5" s="1401">
        <f t="shared" ref="CQ5" si="20">+CP5+1</f>
        <v>2091</v>
      </c>
      <c r="CR5" s="1401">
        <f t="shared" ref="CR5" si="21">+CQ5+1</f>
        <v>2092</v>
      </c>
      <c r="CS5" s="1401">
        <f t="shared" ref="CS5" si="22">+CR5+1</f>
        <v>2093</v>
      </c>
      <c r="CT5" s="1401">
        <f t="shared" ref="CT5" si="23">+CS5+1</f>
        <v>2094</v>
      </c>
      <c r="CU5" s="1401">
        <f t="shared" ref="CU5" si="24">+CT5+1</f>
        <v>2095</v>
      </c>
      <c r="CV5" s="1401">
        <f t="shared" ref="CV5" si="25">+CU5+1</f>
        <v>2096</v>
      </c>
      <c r="CW5" s="1401">
        <f t="shared" ref="CW5" si="26">+CV5+1</f>
        <v>2097</v>
      </c>
      <c r="CX5" s="1401">
        <f t="shared" ref="CX5" si="27">+CW5+1</f>
        <v>2098</v>
      </c>
      <c r="CY5" s="1401">
        <f t="shared" ref="CY5" si="28">+CX5+1</f>
        <v>2099</v>
      </c>
      <c r="CZ5" s="1401">
        <f t="shared" ref="CZ5" si="29">+CY5+1</f>
        <v>2100</v>
      </c>
    </row>
    <row r="6" spans="1:104" ht="13" thickBot="1" x14ac:dyDescent="0.3">
      <c r="A6" s="961" t="s">
        <v>1090</v>
      </c>
      <c r="B6" s="962"/>
      <c r="C6" s="962"/>
      <c r="D6" s="962"/>
      <c r="E6" s="962"/>
      <c r="F6" s="874"/>
      <c r="G6" s="962"/>
      <c r="H6" s="962"/>
      <c r="I6" s="962"/>
      <c r="J6" s="962"/>
      <c r="K6" s="962"/>
      <c r="L6" s="962"/>
      <c r="M6" s="962"/>
      <c r="N6" s="962"/>
      <c r="O6" s="962"/>
      <c r="P6" s="962"/>
      <c r="Q6" s="962"/>
      <c r="R6" s="962"/>
      <c r="S6" s="962"/>
      <c r="T6" s="962"/>
      <c r="U6" s="962"/>
      <c r="V6" s="962"/>
      <c r="W6" s="962"/>
      <c r="X6" s="962"/>
      <c r="Y6" s="962"/>
      <c r="Z6" s="962"/>
      <c r="AA6" s="962"/>
      <c r="AB6" s="962"/>
      <c r="AC6" s="962"/>
      <c r="AD6" s="962"/>
      <c r="AE6" s="962"/>
      <c r="AF6" s="962"/>
      <c r="AG6" s="962"/>
      <c r="AH6" s="962"/>
      <c r="AI6" s="962"/>
      <c r="AJ6" s="962"/>
      <c r="AK6" s="962"/>
      <c r="AL6" s="962"/>
      <c r="AM6" s="962"/>
      <c r="AN6" s="962"/>
      <c r="AO6" s="962"/>
      <c r="AP6" s="962"/>
      <c r="AQ6" s="962"/>
      <c r="AR6" s="962"/>
      <c r="AS6" s="962"/>
      <c r="AT6" s="962"/>
      <c r="AU6" s="962"/>
      <c r="AV6" s="962"/>
      <c r="AW6" s="962"/>
      <c r="AX6" s="962"/>
      <c r="AY6" s="962"/>
      <c r="AZ6" s="962"/>
      <c r="BA6" s="962"/>
      <c r="BC6" s="962"/>
      <c r="BD6" s="962"/>
      <c r="BE6" s="962"/>
      <c r="BF6" s="962"/>
      <c r="BG6" s="962"/>
      <c r="BH6" s="962"/>
      <c r="BI6" s="962"/>
      <c r="BJ6" s="962"/>
      <c r="BK6" s="962"/>
      <c r="BL6" s="962"/>
      <c r="BM6" s="962"/>
      <c r="BN6" s="962"/>
      <c r="BO6" s="962"/>
      <c r="BP6" s="962"/>
      <c r="BR6" s="962"/>
      <c r="BS6" s="962"/>
      <c r="BT6" s="962"/>
      <c r="BU6" s="962"/>
    </row>
    <row r="7" spans="1:104" x14ac:dyDescent="0.25">
      <c r="A7" s="981" t="str">
        <f>'HyARC Physical Property Data'!A73</f>
        <v>Residential Natural Gas</v>
      </c>
      <c r="B7" s="962">
        <v>2007</v>
      </c>
      <c r="C7" s="963">
        <f>VLOOKUP(ref_year,DeflatorTable,2,FALSE)/VLOOKUP(B7,DeflatorTable,2,FALSE)</f>
        <v>1.1446359956438654</v>
      </c>
      <c r="D7" s="981" t="str">
        <f>'HyARC Physical Property Data'!H73</f>
        <v>mmBtu</v>
      </c>
      <c r="E7" s="963" t="s">
        <v>1058</v>
      </c>
      <c r="F7" s="962">
        <f>'HyARC Physical Property Data'!$E$6</f>
        <v>47.141269049911173</v>
      </c>
      <c r="G7" s="962">
        <f>'HyARC Physical Property Data'!$I$6</f>
        <v>52.224661236371581</v>
      </c>
      <c r="H7" s="962">
        <f>((13.7000589370728/(mmBTU_to_GJ))*($C$7))*($G$7/$F$7)</f>
        <v>16.46689578317423</v>
      </c>
      <c r="I7" s="962">
        <f>((13.7000589370728/(mmBTU_to_GJ))*($C$7))*($G$7/$F$7)</f>
        <v>16.46689578317423</v>
      </c>
      <c r="J7" s="962">
        <f>((13.7000589370728/(mmBTU_to_GJ))*($C$7))*($G$7/$F$7)</f>
        <v>16.46689578317423</v>
      </c>
      <c r="K7" s="962">
        <f>((12.6911582946777/(mmBTU_to_GJ))*($C$7))*($G$7/$F$7)</f>
        <v>15.254239559561855</v>
      </c>
      <c r="L7" s="962">
        <f>((12.9778490066528/(mmBTU_to_GJ))*($C$7))*($G$7/$F$7)</f>
        <v>15.59882976152975</v>
      </c>
      <c r="M7" s="962">
        <f>((10.7176141738892/(mmBTU_to_GJ))*($C$7))*($G$7/$F$7)</f>
        <v>12.882122365775233</v>
      </c>
      <c r="N7" s="962">
        <f>((11.192774772644/(mmBTU_to_GJ))*($C$7))*($G$7/$F$7)</f>
        <v>13.453245460639653</v>
      </c>
      <c r="O7" s="962">
        <f>((11.4872808456421/(mmBTU_to_GJ))*($C$7))*($G$7/$F$7)</f>
        <v>13.807229398507864</v>
      </c>
      <c r="P7" s="962">
        <f>((11.3991556167603/(mmBTU_to_GJ))*($C$7))*($G$7/$F$7)</f>
        <v>13.701306572443364</v>
      </c>
      <c r="Q7" s="962">
        <f>((11.3077983856201/(mmBTU_to_GJ))*($C$7))*($G$7/$F$7)</f>
        <v>13.591499015327374</v>
      </c>
      <c r="R7" s="962">
        <f>((11.2896461486816/(mmBTU_to_GJ))*($C$7))*($G$7/$F$7)</f>
        <v>13.569680788466401</v>
      </c>
      <c r="S7" s="962">
        <f>((11.3454151153564/(mmBTU_to_GJ))*($C$7))*($G$7/$F$7)</f>
        <v>13.636712745510335</v>
      </c>
      <c r="T7" s="962">
        <f>((11.5382986068726/(mmBTU_to_GJ))*($C$7))*($G$7/$F$7)</f>
        <v>13.868550606039326</v>
      </c>
      <c r="U7" s="962">
        <f>((11.7583208084106/(mmBTU_to_GJ))*($C$7))*($G$7/$F$7)</f>
        <v>14.133008056868725</v>
      </c>
      <c r="V7" s="962">
        <f>((11.9751005172729/(mmBTU_to_GJ))*($C$7))*($G$7/$F$7)</f>
        <v>14.393568167605377</v>
      </c>
      <c r="W7" s="962">
        <f>((12.23952293396/(mmBTU_to_GJ))*($C$7))*($G$7/$F$7)</f>
        <v>14.711392813347514</v>
      </c>
      <c r="X7" s="962">
        <f>((12.557071685791/(mmBTU_to_GJ))*($C$7))*($G$7/$F$7)</f>
        <v>15.093073083957748</v>
      </c>
      <c r="Y7" s="962">
        <f>((12.7957820892334/(mmBTU_to_GJ))*($C$7))*($G$7/$F$7)</f>
        <v>15.379992969040035</v>
      </c>
      <c r="Z7" s="962">
        <f>((12.8716516494751/(mmBTU_to_GJ))*($C$7))*($G$7/$F$7)</f>
        <v>15.471184995830123</v>
      </c>
      <c r="AA7" s="962">
        <f>((12.6602811813354/(mmBTU_to_GJ))*($C$7))*($G$7/$F$7)</f>
        <v>15.217126565389467</v>
      </c>
      <c r="AB7" s="962">
        <f>((12.6240320205688/(mmBTU_to_GJ))*($C$7))*($G$7/$F$7)</f>
        <v>15.173556595704456</v>
      </c>
      <c r="AC7" s="962">
        <f>((12.5992183685303/(mmBTU_to_GJ))*($C$7))*($G$7/$F$7)</f>
        <v>15.143731627505801</v>
      </c>
      <c r="AD7" s="962">
        <f>((12.7868556976318/(mmBTU_to_GJ))*($C$7))*($G$7/$F$7)</f>
        <v>15.369263821019688</v>
      </c>
      <c r="AE7" s="962">
        <f>((13.07555103302/(mmBTU_to_GJ))*($C$7))*($G$7/$F$7)</f>
        <v>15.716263496186178</v>
      </c>
      <c r="AF7" s="962">
        <f>((13.407883644104/(mmBTU_to_GJ))*($C$7))*($G$7/$F$7)</f>
        <v>16.115713345066876</v>
      </c>
      <c r="AG7" s="962">
        <f>((13.6725673675537/(mmBTU_to_GJ))*($C$7))*($G$7/$F$7)</f>
        <v>16.433852070569323</v>
      </c>
      <c r="AH7" s="962">
        <f>((13.9620389938354/(mmBTU_to_GJ))*($C$7))*($G$7/$F$7)</f>
        <v>16.781784814805029</v>
      </c>
      <c r="AI7" s="962">
        <f>($BB7-$AH7)/20+AH7</f>
        <v>16.924252919684925</v>
      </c>
      <c r="AJ7" s="962">
        <f t="shared" ref="AJ7:AY10" si="30">($BB7-$AH7)/20+AI7</f>
        <v>17.066721024564821</v>
      </c>
      <c r="AK7" s="962">
        <f t="shared" si="30"/>
        <v>17.209189129444717</v>
      </c>
      <c r="AL7" s="962">
        <f t="shared" si="30"/>
        <v>17.351657234324612</v>
      </c>
      <c r="AM7" s="962">
        <f t="shared" si="30"/>
        <v>17.494125339204508</v>
      </c>
      <c r="AN7" s="962">
        <f t="shared" si="30"/>
        <v>17.636593444084404</v>
      </c>
      <c r="AO7" s="962">
        <f t="shared" si="30"/>
        <v>17.7790615489643</v>
      </c>
      <c r="AP7" s="962">
        <f t="shared" si="30"/>
        <v>17.921529653844196</v>
      </c>
      <c r="AQ7" s="962">
        <f t="shared" si="30"/>
        <v>18.063997758724092</v>
      </c>
      <c r="AR7" s="962">
        <f t="shared" si="30"/>
        <v>18.206465863603988</v>
      </c>
      <c r="AS7" s="962">
        <f t="shared" si="30"/>
        <v>18.348933968483884</v>
      </c>
      <c r="AT7" s="962">
        <f t="shared" si="30"/>
        <v>18.49140207336378</v>
      </c>
      <c r="AU7" s="962">
        <f t="shared" si="30"/>
        <v>18.633870178243676</v>
      </c>
      <c r="AV7" s="962">
        <f t="shared" si="30"/>
        <v>18.776338283123572</v>
      </c>
      <c r="AW7" s="962">
        <f t="shared" si="30"/>
        <v>18.918806388003468</v>
      </c>
      <c r="AX7" s="962">
        <f t="shared" si="30"/>
        <v>19.061274492883364</v>
      </c>
      <c r="AY7" s="962">
        <f t="shared" si="30"/>
        <v>19.203742597763259</v>
      </c>
      <c r="AZ7" s="962">
        <f t="shared" ref="AY7:BA10" si="31">($BB7-$AH7)/20+AY7</f>
        <v>19.346210702643155</v>
      </c>
      <c r="BA7" s="962">
        <f t="shared" si="31"/>
        <v>19.488678807523051</v>
      </c>
      <c r="BB7" s="1079">
        <f>1.16978897829057*AH7</f>
        <v>19.631146912402976</v>
      </c>
      <c r="BC7" s="962">
        <f>($BQ7-$BB7)/15+BB7</f>
        <v>19.82552968566489</v>
      </c>
      <c r="BD7" s="962">
        <f t="shared" ref="BD7:BP7" si="32">($BQ7-$BB7)/15+BC7</f>
        <v>20.019912458926804</v>
      </c>
      <c r="BE7" s="962">
        <f t="shared" si="32"/>
        <v>20.214295232188718</v>
      </c>
      <c r="BF7" s="962">
        <f t="shared" si="32"/>
        <v>20.408678005450632</v>
      </c>
      <c r="BG7" s="962">
        <f t="shared" si="32"/>
        <v>20.603060778712546</v>
      </c>
      <c r="BH7" s="962">
        <f t="shared" si="32"/>
        <v>20.79744355197446</v>
      </c>
      <c r="BI7" s="962">
        <f t="shared" si="32"/>
        <v>20.991826325236374</v>
      </c>
      <c r="BJ7" s="962">
        <f t="shared" si="32"/>
        <v>21.186209098498288</v>
      </c>
      <c r="BK7" s="962">
        <f t="shared" si="32"/>
        <v>21.380591871760203</v>
      </c>
      <c r="BL7" s="962">
        <f t="shared" si="32"/>
        <v>21.574974645022117</v>
      </c>
      <c r="BM7" s="962">
        <f t="shared" si="32"/>
        <v>21.769357418284031</v>
      </c>
      <c r="BN7" s="962">
        <f t="shared" si="32"/>
        <v>21.963740191545945</v>
      </c>
      <c r="BO7" s="962">
        <f t="shared" si="32"/>
        <v>22.158122964807859</v>
      </c>
      <c r="BP7" s="962">
        <f t="shared" si="32"/>
        <v>22.352505738069773</v>
      </c>
      <c r="BQ7" s="1079">
        <f>1.14852629914794*BB7</f>
        <v>22.546888511331698</v>
      </c>
      <c r="BR7" s="962">
        <f>($BV7-$BQ7)/5+BQ7</f>
        <v>22.770142238524333</v>
      </c>
      <c r="BS7" s="962">
        <f>($BV7-$BQ7)/5+BR7</f>
        <v>22.993395965716967</v>
      </c>
      <c r="BT7" s="962">
        <f>($BV7-$BQ7)/5+BS7</f>
        <v>23.216649692909602</v>
      </c>
      <c r="BU7" s="962">
        <f>($BV7-$BQ7)/5+BT7</f>
        <v>23.439903420102237</v>
      </c>
      <c r="BV7" s="1080">
        <f>1.04950876638265*BQ7</f>
        <v>23.663157147294871</v>
      </c>
      <c r="BW7" s="1400">
        <f>+BV7*BW$133/BV$133</f>
        <v>23.741725786947789</v>
      </c>
      <c r="BX7" s="1400">
        <f t="shared" ref="BX7:CZ7" si="33">+BW7*BX$133/BW$133</f>
        <v>23.820555297586708</v>
      </c>
      <c r="BY7" s="1400">
        <f t="shared" si="33"/>
        <v>23.899646545380008</v>
      </c>
      <c r="BZ7" s="1400">
        <f t="shared" si="33"/>
        <v>23.979000399372005</v>
      </c>
      <c r="CA7" s="1400">
        <f t="shared" si="33"/>
        <v>24.058617731492493</v>
      </c>
      <c r="CB7" s="1400">
        <f t="shared" si="33"/>
        <v>24.109957095304743</v>
      </c>
      <c r="CC7" s="1400">
        <f t="shared" si="33"/>
        <v>24.1614060136353</v>
      </c>
      <c r="CD7" s="1400">
        <f t="shared" si="33"/>
        <v>24.212964720265646</v>
      </c>
      <c r="CE7" s="1400">
        <f t="shared" si="33"/>
        <v>24.264633449476126</v>
      </c>
      <c r="CF7" s="1400">
        <f t="shared" si="33"/>
        <v>24.316412436047038</v>
      </c>
      <c r="CG7" s="1400">
        <f t="shared" si="33"/>
        <v>24.333224744531737</v>
      </c>
      <c r="CH7" s="1400">
        <f t="shared" si="33"/>
        <v>24.350048677005677</v>
      </c>
      <c r="CI7" s="1400">
        <f t="shared" si="33"/>
        <v>24.366884241505659</v>
      </c>
      <c r="CJ7" s="1400">
        <f t="shared" si="33"/>
        <v>24.383731446074034</v>
      </c>
      <c r="CK7" s="1400">
        <f t="shared" si="33"/>
        <v>24.400590298758722</v>
      </c>
      <c r="CL7" s="1400">
        <f t="shared" si="33"/>
        <v>24.406304701449077</v>
      </c>
      <c r="CM7" s="1400">
        <f t="shared" si="33"/>
        <v>24.41202044240206</v>
      </c>
      <c r="CN7" s="1400">
        <f t="shared" si="33"/>
        <v>24.41773752193108</v>
      </c>
      <c r="CO7" s="1400">
        <f t="shared" si="33"/>
        <v>24.423455940349619</v>
      </c>
      <c r="CP7" s="1400">
        <f t="shared" si="33"/>
        <v>24.429175697971235</v>
      </c>
      <c r="CQ7" s="1400">
        <f t="shared" si="33"/>
        <v>24.437844539812179</v>
      </c>
      <c r="CR7" s="1400">
        <f t="shared" si="33"/>
        <v>24.446516457844467</v>
      </c>
      <c r="CS7" s="1400">
        <f t="shared" si="33"/>
        <v>24.455191453159703</v>
      </c>
      <c r="CT7" s="1400">
        <f t="shared" si="33"/>
        <v>24.463869526849884</v>
      </c>
      <c r="CU7" s="1400">
        <f t="shared" si="33"/>
        <v>24.472550680007387</v>
      </c>
      <c r="CV7" s="1400">
        <f t="shared" si="33"/>
        <v>24.485911011470357</v>
      </c>
      <c r="CW7" s="1400">
        <f t="shared" si="33"/>
        <v>24.499278636756479</v>
      </c>
      <c r="CX7" s="1400">
        <f t="shared" si="33"/>
        <v>24.512653559847685</v>
      </c>
      <c r="CY7" s="1400">
        <f t="shared" si="33"/>
        <v>24.526035784728073</v>
      </c>
      <c r="CZ7" s="1400">
        <f t="shared" si="33"/>
        <v>24.539425315383912</v>
      </c>
    </row>
    <row r="8" spans="1:104" x14ac:dyDescent="0.25">
      <c r="A8" s="878" t="str">
        <f>'HyARC Physical Property Data'!A71</f>
        <v>Commercial Natural Gas</v>
      </c>
      <c r="B8" s="264">
        <v>2007</v>
      </c>
      <c r="C8" s="877">
        <f>VLOOKUP(ref_year,DeflatorTable,2,FALSE)/VLOOKUP(B8,DeflatorTable,2,FALSE)</f>
        <v>1.1446359956438654</v>
      </c>
      <c r="D8" s="878" t="str">
        <f>'HyARC Physical Property Data'!H71</f>
        <v>mmBtu</v>
      </c>
      <c r="E8" s="877" t="s">
        <v>1058</v>
      </c>
      <c r="F8" s="264">
        <f>'HyARC Physical Property Data'!$E$6</f>
        <v>47.141269049911173</v>
      </c>
      <c r="G8" s="264">
        <f>'HyARC Physical Property Data'!$I$6</f>
        <v>52.224661236371581</v>
      </c>
      <c r="H8" s="264">
        <f>((11.8960943222046/(mmBTU_to_GJ))*($C$8))*($G$8/$F$8)</f>
        <v>14.298606037413785</v>
      </c>
      <c r="I8" s="264">
        <f>((11.8960943222046/(mmBTU_to_GJ))*($C$8))*($G$8/$F$8)</f>
        <v>14.298606037413785</v>
      </c>
      <c r="J8" s="264">
        <f>((11.8960943222046/(mmBTU_to_GJ))*($C$8))*($G$8/$F$8)</f>
        <v>14.298606037413785</v>
      </c>
      <c r="K8" s="264">
        <f>((10.9898433685303/(mmBTU_to_GJ))*($C$8))*($G$8/$F$8)</f>
        <v>13.209330430929022</v>
      </c>
      <c r="L8" s="264">
        <f>((11.3387994766235/(mmBTU_to_GJ))*($C$8))*($G$8/$F$8)</f>
        <v>13.628761025444446</v>
      </c>
      <c r="M8" s="264">
        <f>((8.90759468078613/(mmBTU_to_GJ))*($C$8))*($G$8/$F$8)</f>
        <v>10.706554910529642</v>
      </c>
      <c r="N8" s="264">
        <f>((9.46560573577881/(mmBTU_to_GJ))*($C$8))*($G$8/$F$8)</f>
        <v>11.377260776148852</v>
      </c>
      <c r="O8" s="264">
        <f>((9.74632167816162/(mmBTU_to_GJ))*($C$8))*($G$8/$F$8)</f>
        <v>11.714669555857421</v>
      </c>
      <c r="P8" s="264">
        <f>((9.72109222412109/(mmBTU_to_GJ))*($C$8))*($G$8/$F$8)</f>
        <v>11.684344811105591</v>
      </c>
      <c r="Q8" s="264">
        <f>((9.67193412780762/(mmBTU_to_GJ))*($C$8))*($G$8/$F$8)</f>
        <v>11.625258842745071</v>
      </c>
      <c r="R8" s="264">
        <f>((9.71388721466064/(mmBTU_to_GJ))*($C$8))*($G$8/$F$8)</f>
        <v>11.675684692163989</v>
      </c>
      <c r="S8" s="264">
        <f>((9.83065605163574/(mmBTU_to_GJ))*($C$8))*($G$8/$F$8)</f>
        <v>11.816035932842832</v>
      </c>
      <c r="T8" s="264">
        <f>((10.0382099151611/(mmBTU_to_GJ))*($C$8))*($G$8/$F$8)</f>
        <v>12.065506964738809</v>
      </c>
      <c r="U8" s="264">
        <f>((10.2545003890991/(mmBTU_to_GJ))*($C$8))*($G$8/$F$8)</f>
        <v>12.32547903563206</v>
      </c>
      <c r="V8" s="264">
        <f>((10.476261138916/(mmBTU_to_GJ))*($C$8))*($G$8/$F$8)</f>
        <v>12.592026148517233</v>
      </c>
      <c r="W8" s="264">
        <f>((10.746561050415/(mmBTU_to_GJ))*($C$8))*($G$8/$F$8)</f>
        <v>12.916915296315764</v>
      </c>
      <c r="X8" s="264">
        <f>((11.0803880691528/(mmBTU_to_GJ))*($C$8))*($G$8/$F$8)</f>
        <v>13.318161360468658</v>
      </c>
      <c r="Y8" s="264">
        <f>((11.3143692016602/(mmBTU_to_GJ))*($C$8))*($G$8/$F$8)</f>
        <v>13.599396860397949</v>
      </c>
      <c r="Z8" s="264">
        <f>((11.4017143249512/(mmBTU_to_GJ))*($C$8))*($G$8/$F$8)</f>
        <v>13.704382032287196</v>
      </c>
      <c r="AA8" s="264">
        <f>((11.2125005722046/(mmBTU_to_GJ))*($C$8))*($G$8/$F$8)</f>
        <v>13.476955043722189</v>
      </c>
      <c r="AB8" s="264">
        <f>((11.1975994110107/(mmBTU_to_GJ))*($C$8))*($G$8/$F$8)</f>
        <v>13.459044473442507</v>
      </c>
      <c r="AC8" s="264">
        <f>((11.159740447998/(mmBTU_to_GJ))*($C$8))*($G$8/$F$8)</f>
        <v>13.413539589029041</v>
      </c>
      <c r="AD8" s="264">
        <f>((11.3503875732422/(mmBTU_to_GJ))*($C$8))*($G$8/$F$8)</f>
        <v>13.642689431170433</v>
      </c>
      <c r="AE8" s="264">
        <f>((11.6409521102905/(mmBTU_to_GJ))*($C$8))*($G$8/$F$8)</f>
        <v>13.99193580827273</v>
      </c>
      <c r="AF8" s="264">
        <f>((11.9785671234131/(mmBTU_to_GJ))*($C$8))*($G$8/$F$8)</f>
        <v>14.397734882675305</v>
      </c>
      <c r="AG8" s="264">
        <f>((12.2332496643066/(mmBTU_to_GJ))*($C$8))*($G$8/$F$8)</f>
        <v>14.703852606544261</v>
      </c>
      <c r="AH8" s="264">
        <f>((12.5188312530518/(mmBTU_to_GJ))*($C$8))*($G$8/$F$8)</f>
        <v>15.0471096889452</v>
      </c>
      <c r="AI8" s="264">
        <f>($BB8-$AH8)/20+AH8</f>
        <v>15.174851357960808</v>
      </c>
      <c r="AJ8" s="264">
        <f t="shared" si="30"/>
        <v>15.302593026976416</v>
      </c>
      <c r="AK8" s="264">
        <f t="shared" si="30"/>
        <v>15.430334695992023</v>
      </c>
      <c r="AL8" s="264">
        <f t="shared" si="30"/>
        <v>15.558076365007631</v>
      </c>
      <c r="AM8" s="264">
        <f t="shared" si="30"/>
        <v>15.685818034023239</v>
      </c>
      <c r="AN8" s="264">
        <f t="shared" si="30"/>
        <v>15.813559703038846</v>
      </c>
      <c r="AO8" s="264">
        <f t="shared" si="30"/>
        <v>15.941301372054454</v>
      </c>
      <c r="AP8" s="264">
        <f t="shared" si="30"/>
        <v>16.06904304107006</v>
      </c>
      <c r="AQ8" s="264">
        <f t="shared" si="30"/>
        <v>16.196784710085666</v>
      </c>
      <c r="AR8" s="264">
        <f t="shared" si="30"/>
        <v>16.324526379101272</v>
      </c>
      <c r="AS8" s="264">
        <f t="shared" si="30"/>
        <v>16.452268048116878</v>
      </c>
      <c r="AT8" s="264">
        <f t="shared" si="30"/>
        <v>16.580009717132484</v>
      </c>
      <c r="AU8" s="264">
        <f t="shared" si="30"/>
        <v>16.70775138614809</v>
      </c>
      <c r="AV8" s="264">
        <f t="shared" si="30"/>
        <v>16.835493055163695</v>
      </c>
      <c r="AW8" s="264">
        <f t="shared" si="30"/>
        <v>16.963234724179301</v>
      </c>
      <c r="AX8" s="264">
        <f t="shared" si="30"/>
        <v>17.090976393194907</v>
      </c>
      <c r="AY8" s="264">
        <f t="shared" si="31"/>
        <v>17.218718062210513</v>
      </c>
      <c r="AZ8" s="264">
        <f t="shared" si="31"/>
        <v>17.346459731226119</v>
      </c>
      <c r="BA8" s="264">
        <f t="shared" si="31"/>
        <v>17.474201400241725</v>
      </c>
      <c r="BB8" s="1078">
        <f>1.16978897829057*AH8</f>
        <v>17.601943069257342</v>
      </c>
      <c r="BC8" s="264">
        <f t="shared" ref="BC8:BP10" si="34">($BQ8-$BB8)/15+BB8</f>
        <v>17.776233166716644</v>
      </c>
      <c r="BD8" s="264">
        <f t="shared" si="34"/>
        <v>17.950523264175946</v>
      </c>
      <c r="BE8" s="264">
        <f t="shared" si="34"/>
        <v>18.124813361635248</v>
      </c>
      <c r="BF8" s="264">
        <f t="shared" si="34"/>
        <v>18.29910345909455</v>
      </c>
      <c r="BG8" s="264">
        <f t="shared" si="34"/>
        <v>18.473393556553852</v>
      </c>
      <c r="BH8" s="264">
        <f t="shared" si="34"/>
        <v>18.647683654013154</v>
      </c>
      <c r="BI8" s="264">
        <f t="shared" si="34"/>
        <v>18.821973751472456</v>
      </c>
      <c r="BJ8" s="264">
        <f t="shared" si="34"/>
        <v>18.996263848931758</v>
      </c>
      <c r="BK8" s="264">
        <f t="shared" si="34"/>
        <v>19.17055394639106</v>
      </c>
      <c r="BL8" s="264">
        <f t="shared" si="34"/>
        <v>19.344844043850362</v>
      </c>
      <c r="BM8" s="264">
        <f t="shared" si="34"/>
        <v>19.519134141309664</v>
      </c>
      <c r="BN8" s="264">
        <f t="shared" si="34"/>
        <v>19.693424238768966</v>
      </c>
      <c r="BO8" s="264">
        <f t="shared" si="34"/>
        <v>19.867714336228268</v>
      </c>
      <c r="BP8" s="264">
        <f t="shared" si="34"/>
        <v>20.04200443368757</v>
      </c>
      <c r="BQ8" s="1078">
        <f>1.14852629914794*BB8</f>
        <v>20.216294531146865</v>
      </c>
      <c r="BR8" s="264">
        <f t="shared" ref="BR8:BU10" si="35">($BV8-$BQ8)/5+BQ8</f>
        <v>20.416471291759944</v>
      </c>
      <c r="BS8" s="264">
        <f t="shared" si="35"/>
        <v>20.616648052373023</v>
      </c>
      <c r="BT8" s="264">
        <f t="shared" si="35"/>
        <v>20.816824812986102</v>
      </c>
      <c r="BU8" s="264">
        <f t="shared" si="35"/>
        <v>21.017001573599181</v>
      </c>
      <c r="BV8" s="1081">
        <f>1.04950876638265*BQ8</f>
        <v>21.217178334212257</v>
      </c>
      <c r="BW8" s="1400">
        <f>+BV8*BW$134/BV$134</f>
        <v>21.287625604989181</v>
      </c>
      <c r="BX8" s="1400">
        <f t="shared" ref="BX8:CZ8" si="36">+BW8*BX$134/BW$134</f>
        <v>21.358306781419426</v>
      </c>
      <c r="BY8" s="1400">
        <f t="shared" si="36"/>
        <v>21.429222640138541</v>
      </c>
      <c r="BZ8" s="1400">
        <f t="shared" si="36"/>
        <v>21.500373960360729</v>
      </c>
      <c r="CA8" s="1400">
        <f t="shared" si="36"/>
        <v>21.571761523887421</v>
      </c>
      <c r="CB8" s="1400">
        <f t="shared" si="36"/>
        <v>21.617794115007417</v>
      </c>
      <c r="CC8" s="1400">
        <f t="shared" si="36"/>
        <v>21.663924936373601</v>
      </c>
      <c r="CD8" s="1400">
        <f t="shared" si="36"/>
        <v>21.710154197602268</v>
      </c>
      <c r="CE8" s="1400">
        <f t="shared" si="36"/>
        <v>21.756482108757027</v>
      </c>
      <c r="CF8" s="1400">
        <f t="shared" si="36"/>
        <v>21.802908880349733</v>
      </c>
      <c r="CG8" s="1400">
        <f t="shared" si="36"/>
        <v>21.817983358582254</v>
      </c>
      <c r="CH8" s="1400">
        <f t="shared" si="36"/>
        <v>21.833068259272402</v>
      </c>
      <c r="CI8" s="1400">
        <f t="shared" si="36"/>
        <v>21.848163589626239</v>
      </c>
      <c r="CJ8" s="1400">
        <f t="shared" si="36"/>
        <v>21.863269356854815</v>
      </c>
      <c r="CK8" s="1400">
        <f t="shared" si="36"/>
        <v>21.878385568174153</v>
      </c>
      <c r="CL8" s="1400">
        <f t="shared" si="36"/>
        <v>21.883509292798049</v>
      </c>
      <c r="CM8" s="1400">
        <f t="shared" si="36"/>
        <v>21.888634217352987</v>
      </c>
      <c r="CN8" s="1400">
        <f t="shared" si="36"/>
        <v>21.893760342119982</v>
      </c>
      <c r="CO8" s="1400">
        <f t="shared" si="36"/>
        <v>21.898887667380112</v>
      </c>
      <c r="CP8" s="1400">
        <f t="shared" si="36"/>
        <v>21.904016193414524</v>
      </c>
      <c r="CQ8" s="1400">
        <f t="shared" si="36"/>
        <v>21.911788967019731</v>
      </c>
      <c r="CR8" s="1400">
        <f t="shared" si="36"/>
        <v>21.919564498841009</v>
      </c>
      <c r="CS8" s="1400">
        <f t="shared" si="36"/>
        <v>21.927342789857128</v>
      </c>
      <c r="CT8" s="1400">
        <f t="shared" si="36"/>
        <v>21.935123841047208</v>
      </c>
      <c r="CU8" s="1400">
        <f t="shared" si="36"/>
        <v>21.942907653390712</v>
      </c>
      <c r="CV8" s="1400">
        <f t="shared" si="36"/>
        <v>21.954886973541843</v>
      </c>
      <c r="CW8" s="1400">
        <f t="shared" si="36"/>
        <v>21.966872833578826</v>
      </c>
      <c r="CX8" s="1400">
        <f t="shared" si="36"/>
        <v>21.978865237071986</v>
      </c>
      <c r="CY8" s="1400">
        <f t="shared" si="36"/>
        <v>21.990864187593605</v>
      </c>
      <c r="CZ8" s="1400">
        <f t="shared" si="36"/>
        <v>22.002869688717904</v>
      </c>
    </row>
    <row r="9" spans="1:104" x14ac:dyDescent="0.25">
      <c r="A9" s="878" t="str">
        <f>'HyARC Physical Property Data'!A72</f>
        <v>Industrial Natural Gas</v>
      </c>
      <c r="B9" s="264">
        <v>2007</v>
      </c>
      <c r="C9" s="877">
        <f t="shared" ref="C9:C18" si="37">VLOOKUP(ref_year,DeflatorTable,2,FALSE)/VLOOKUP(B9,DeflatorTable,2,FALSE)</f>
        <v>1.1446359956438654</v>
      </c>
      <c r="D9" s="1262" t="str">
        <f>'HyARC Physical Property Data'!H72</f>
        <v>mmBtu</v>
      </c>
      <c r="E9" s="877" t="s">
        <v>1058</v>
      </c>
      <c r="F9" s="264">
        <f>'HyARC Physical Property Data'!$E$6</f>
        <v>47.141269049911173</v>
      </c>
      <c r="G9" s="264">
        <f>'HyARC Physical Property Data'!$I$6</f>
        <v>52.224661236371581</v>
      </c>
      <c r="H9" s="264">
        <f>((7.95407009124756/(mmBTU_to_GJ))*($C$9))*($G$9/$F$9)</f>
        <v>9.5604583780441796</v>
      </c>
      <c r="I9" s="264">
        <f>((7.95407009124756/(mmBTU_to_GJ))*($C$9))*($G$9/$F$9)</f>
        <v>9.5604583780441796</v>
      </c>
      <c r="J9" s="264">
        <f>((7.95407009124756/(mmBTU_to_GJ))*($C$9))*($G$9/$F$9)</f>
        <v>9.5604583780441796</v>
      </c>
      <c r="K9" s="264">
        <f>((7.51525163650513/(mmBTU_to_GJ))*($C$9))*($G$9/$F$9)</f>
        <v>9.0330170148232209</v>
      </c>
      <c r="L9" s="264">
        <f>((8.80127239227294/(mmBTU_to_GJ))*($C$9))*($G$9/$F$9)</f>
        <v>10.578759982608744</v>
      </c>
      <c r="M9" s="264">
        <f>((4.84856796264648/(mmBTU_to_GJ))*($C$9))*($G$9/$F$9)</f>
        <v>5.8277751727392237</v>
      </c>
      <c r="N9" s="264">
        <f>((5.49891996383666/(mmBTU_to_GJ))*($C$9))*($G$9/$F$9)</f>
        <v>6.6094709796819098</v>
      </c>
      <c r="O9" s="264">
        <f>((5.82616424560547/(mmBTU_to_GJ))*($C$9))*($G$9/$F$9)</f>
        <v>7.002804870308081</v>
      </c>
      <c r="P9" s="264">
        <f>((5.87778615951538/(mmBTU_to_GJ))*($C$9))*($G$9/$F$9)</f>
        <v>7.0648522440009209</v>
      </c>
      <c r="Q9" s="264">
        <f>((5.95383930206299/(mmBTU_to_GJ))*($C$9))*($G$9/$F$9)</f>
        <v>7.1562649290168574</v>
      </c>
      <c r="R9" s="264">
        <f>((6.10985708236694/(mmBTU_to_GJ))*($C$9))*($G$9/$F$9)</f>
        <v>7.3437917521048339</v>
      </c>
      <c r="S9" s="264">
        <f>((6.32948446273804/(mmBTU_to_GJ))*($C$9))*($G$9/$F$9)</f>
        <v>7.6077746444642154</v>
      </c>
      <c r="T9" s="264">
        <f>((6.51258134841919/(mmBTU_to_GJ))*($C$9))*($G$9/$F$9)</f>
        <v>7.8278494155716949</v>
      </c>
      <c r="U9" s="264">
        <f>((6.70273017883301/(mmBTU_to_GJ))*($C$9))*($G$9/$F$9)</f>
        <v>8.0564003282428658</v>
      </c>
      <c r="V9" s="264">
        <f>((6.89887094497681/(mmBTU_to_GJ))*($C$9))*($G$9/$F$9)</f>
        <v>8.2921532961503175</v>
      </c>
      <c r="W9" s="264">
        <f>((7.15282821655273/(mmBTU_to_GJ))*($C$9))*($G$9/$F$9)</f>
        <v>8.5973992767426797</v>
      </c>
      <c r="X9" s="264">
        <f>((7.46860218048096/(mmBTU_to_GJ))*($C$9))*($G$9/$F$9)</f>
        <v>8.9769463267904062</v>
      </c>
      <c r="Y9" s="264">
        <f>((7.67867755889893/(mmBTU_to_GJ))*($C$9))*($G$9/$F$9)</f>
        <v>9.2294481137468605</v>
      </c>
      <c r="Z9" s="264">
        <f>((7.75380706787109/(mmBTU_to_GJ))*($C$9))*($G$9/$F$9)</f>
        <v>9.3197506299745712</v>
      </c>
      <c r="AA9" s="264">
        <f>((7.55847835540771/(mmBTU_to_GJ))*($C$9))*($G$9/$F$9)</f>
        <v>9.084973716505079</v>
      </c>
      <c r="AB9" s="264">
        <f>((7.54617786407471/(mmBTU_to_GJ))*($C$9))*($G$9/$F$9)</f>
        <v>9.0701890422352296</v>
      </c>
      <c r="AC9" s="264">
        <f>((7.45927095413208/(mmBTU_to_GJ))*($C$9))*($G$9/$F$9)</f>
        <v>8.9657305843967432</v>
      </c>
      <c r="AD9" s="264">
        <f>((7.60022306442261/(mmBTU_to_GJ))*($C$9))*($G$9/$F$9)</f>
        <v>9.1351491045092246</v>
      </c>
      <c r="AE9" s="264">
        <f>((7.85960483551025/(mmBTU_to_GJ))*($C$9))*($G$9/$F$9)</f>
        <v>9.4469151058216188</v>
      </c>
      <c r="AF9" s="264">
        <f>((8.19417572021484/(mmBTU_to_GJ))*($C$9))*($G$9/$F$9)</f>
        <v>9.8490552656428605</v>
      </c>
      <c r="AG9" s="264">
        <f>((8.42161273956299/(mmBTU_to_GJ))*($C$9))*($G$9/$F$9)</f>
        <v>10.122425016243508</v>
      </c>
      <c r="AH9" s="264">
        <f>((8.69355010986328/(mmBTU_to_GJ))*($C$9))*($G$9/$F$9)</f>
        <v>10.449282320788951</v>
      </c>
      <c r="AI9" s="264">
        <f>($BB9-$AH9)/20+AH9</f>
        <v>10.537990969244774</v>
      </c>
      <c r="AJ9" s="264">
        <f t="shared" si="30"/>
        <v>10.626699617700597</v>
      </c>
      <c r="AK9" s="264">
        <f t="shared" si="30"/>
        <v>10.71540826615642</v>
      </c>
      <c r="AL9" s="264">
        <f t="shared" si="30"/>
        <v>10.804116914612242</v>
      </c>
      <c r="AM9" s="264">
        <f t="shared" si="30"/>
        <v>10.892825563068065</v>
      </c>
      <c r="AN9" s="264">
        <f t="shared" si="30"/>
        <v>10.981534211523888</v>
      </c>
      <c r="AO9" s="264">
        <f t="shared" si="30"/>
        <v>11.070242859979711</v>
      </c>
      <c r="AP9" s="264">
        <f t="shared" si="30"/>
        <v>11.158951508435534</v>
      </c>
      <c r="AQ9" s="264">
        <f t="shared" si="30"/>
        <v>11.247660156891357</v>
      </c>
      <c r="AR9" s="264">
        <f t="shared" si="30"/>
        <v>11.336368805347179</v>
      </c>
      <c r="AS9" s="264">
        <f t="shared" si="30"/>
        <v>11.425077453803002</v>
      </c>
      <c r="AT9" s="264">
        <f t="shared" si="30"/>
        <v>11.513786102258825</v>
      </c>
      <c r="AU9" s="264">
        <f t="shared" si="30"/>
        <v>11.602494750714648</v>
      </c>
      <c r="AV9" s="264">
        <f t="shared" si="30"/>
        <v>11.691203399170471</v>
      </c>
      <c r="AW9" s="264">
        <f t="shared" si="30"/>
        <v>11.779912047626294</v>
      </c>
      <c r="AX9" s="264">
        <f t="shared" si="30"/>
        <v>11.868620696082116</v>
      </c>
      <c r="AY9" s="264">
        <f t="shared" si="30"/>
        <v>11.957329344537939</v>
      </c>
      <c r="AZ9" s="264">
        <f t="shared" si="31"/>
        <v>12.046037992993762</v>
      </c>
      <c r="BA9" s="264">
        <f t="shared" si="31"/>
        <v>12.134746641449585</v>
      </c>
      <c r="BB9" s="1078">
        <f>1.16978897829057*AH9</f>
        <v>12.223455289905422</v>
      </c>
      <c r="BC9" s="264">
        <f t="shared" si="34"/>
        <v>12.344488928372753</v>
      </c>
      <c r="BD9" s="264">
        <f t="shared" si="34"/>
        <v>12.465522566840084</v>
      </c>
      <c r="BE9" s="264">
        <f t="shared" si="34"/>
        <v>12.586556205307415</v>
      </c>
      <c r="BF9" s="264">
        <f t="shared" si="34"/>
        <v>12.707589843774747</v>
      </c>
      <c r="BG9" s="264">
        <f t="shared" si="34"/>
        <v>12.828623482242078</v>
      </c>
      <c r="BH9" s="264">
        <f t="shared" si="34"/>
        <v>12.949657120709409</v>
      </c>
      <c r="BI9" s="264">
        <f t="shared" si="34"/>
        <v>13.07069075917674</v>
      </c>
      <c r="BJ9" s="264">
        <f t="shared" si="34"/>
        <v>13.191724397644071</v>
      </c>
      <c r="BK9" s="264">
        <f t="shared" si="34"/>
        <v>13.312758036111402</v>
      </c>
      <c r="BL9" s="264">
        <f t="shared" si="34"/>
        <v>13.433791674578734</v>
      </c>
      <c r="BM9" s="264">
        <f t="shared" si="34"/>
        <v>13.554825313046065</v>
      </c>
      <c r="BN9" s="264">
        <f t="shared" si="34"/>
        <v>13.675858951513396</v>
      </c>
      <c r="BO9" s="264">
        <f t="shared" si="34"/>
        <v>13.796892589980727</v>
      </c>
      <c r="BP9" s="264">
        <f t="shared" si="34"/>
        <v>13.917926228448058</v>
      </c>
      <c r="BQ9" s="1078">
        <f>1.14852629914794*BB9</f>
        <v>14.038959866915382</v>
      </c>
      <c r="BR9" s="264">
        <f t="shared" si="35"/>
        <v>14.177970183776685</v>
      </c>
      <c r="BS9" s="264">
        <f t="shared" si="35"/>
        <v>14.316980500637987</v>
      </c>
      <c r="BT9" s="264">
        <f t="shared" si="35"/>
        <v>14.455990817499289</v>
      </c>
      <c r="BU9" s="264">
        <f t="shared" si="35"/>
        <v>14.595001134360592</v>
      </c>
      <c r="BV9" s="1081">
        <f>1.04950876638265*BQ9</f>
        <v>14.734011451221894</v>
      </c>
      <c r="BW9" s="1400">
        <f>+BV9*BW$135/BV$135</f>
        <v>14.78293270163439</v>
      </c>
      <c r="BX9" s="1400">
        <f t="shared" ref="BX9:CZ9" si="38">+BW9*BX$135/BW$135</f>
        <v>14.832016384983078</v>
      </c>
      <c r="BY9" s="1400">
        <f t="shared" si="38"/>
        <v>14.881263040593069</v>
      </c>
      <c r="BZ9" s="1400">
        <f t="shared" si="38"/>
        <v>14.93067320958019</v>
      </c>
      <c r="CA9" s="1400">
        <f t="shared" si="38"/>
        <v>14.980247434856935</v>
      </c>
      <c r="CB9" s="1400">
        <f t="shared" si="38"/>
        <v>15.012214207912603</v>
      </c>
      <c r="CC9" s="1400">
        <f t="shared" si="38"/>
        <v>15.044249195768062</v>
      </c>
      <c r="CD9" s="1400">
        <f t="shared" si="38"/>
        <v>15.076352543988799</v>
      </c>
      <c r="CE9" s="1400">
        <f t="shared" si="38"/>
        <v>15.10852439845093</v>
      </c>
      <c r="CF9" s="1400">
        <f t="shared" si="38"/>
        <v>15.140764905341857</v>
      </c>
      <c r="CG9" s="1400">
        <f t="shared" si="38"/>
        <v>15.151233193414877</v>
      </c>
      <c r="CH9" s="1400">
        <f t="shared" si="38"/>
        <v>15.16170871923684</v>
      </c>
      <c r="CI9" s="1400">
        <f t="shared" si="38"/>
        <v>15.172191487811906</v>
      </c>
      <c r="CJ9" s="1400">
        <f t="shared" si="38"/>
        <v>15.182681504147698</v>
      </c>
      <c r="CK9" s="1400">
        <f t="shared" si="38"/>
        <v>15.193178773255301</v>
      </c>
      <c r="CL9" s="1400">
        <f t="shared" si="38"/>
        <v>15.196736881505712</v>
      </c>
      <c r="CM9" s="1400">
        <f t="shared" si="38"/>
        <v>15.200295823033644</v>
      </c>
      <c r="CN9" s="1400">
        <f t="shared" si="38"/>
        <v>15.20385559803424</v>
      </c>
      <c r="CO9" s="1400">
        <f t="shared" si="38"/>
        <v>15.207416206702694</v>
      </c>
      <c r="CP9" s="1400">
        <f t="shared" si="38"/>
        <v>15.210977649234243</v>
      </c>
      <c r="CQ9" s="1400">
        <f t="shared" si="38"/>
        <v>15.216375357332034</v>
      </c>
      <c r="CR9" s="1400">
        <f t="shared" si="38"/>
        <v>15.221774980839431</v>
      </c>
      <c r="CS9" s="1400">
        <f t="shared" si="38"/>
        <v>15.22717652043613</v>
      </c>
      <c r="CT9" s="1400">
        <f t="shared" si="38"/>
        <v>15.232579976802066</v>
      </c>
      <c r="CU9" s="1400">
        <f t="shared" si="38"/>
        <v>15.237985350617416</v>
      </c>
      <c r="CV9" s="1400">
        <f t="shared" si="38"/>
        <v>15.246304243804076</v>
      </c>
      <c r="CW9" s="1400">
        <f t="shared" si="38"/>
        <v>15.254627678534927</v>
      </c>
      <c r="CX9" s="1400">
        <f t="shared" si="38"/>
        <v>15.262955657289339</v>
      </c>
      <c r="CY9" s="1400">
        <f t="shared" si="38"/>
        <v>15.271288182548037</v>
      </c>
      <c r="CZ9" s="1400">
        <f t="shared" si="38"/>
        <v>15.279625256793102</v>
      </c>
    </row>
    <row r="10" spans="1:104" x14ac:dyDescent="0.25">
      <c r="A10" s="878" t="str">
        <f>'HyARC Physical Property Data'!A74</f>
        <v>Electric Utility Natural Gas</v>
      </c>
      <c r="B10" s="264">
        <v>2007</v>
      </c>
      <c r="C10" s="877">
        <f t="shared" si="37"/>
        <v>1.1446359956438654</v>
      </c>
      <c r="D10" s="1262" t="str">
        <f>'HyARC Physical Property Data'!H74</f>
        <v>mmBtu</v>
      </c>
      <c r="E10" s="877" t="s">
        <v>1058</v>
      </c>
      <c r="F10" s="264">
        <f>'HyARC Physical Property Data'!$E$6</f>
        <v>47.141269049911173</v>
      </c>
      <c r="G10" s="264">
        <f>'HyARC Physical Property Data'!$I$6</f>
        <v>52.224661236371581</v>
      </c>
      <c r="H10" s="264">
        <f>((7.05463790893555/(mmBTU_to_GJ))*($C$10))*($G$10/$F$10)</f>
        <v>8.4793786485193543</v>
      </c>
      <c r="I10" s="264">
        <f>((7.05463790893555/(mmBTU_to_GJ))*($C$10))*($G$10/$F$10)</f>
        <v>8.4793786485193543</v>
      </c>
      <c r="J10" s="264">
        <f>((7.05463790893555/(mmBTU_to_GJ))*($C$10))*($G$10/$F$10)</f>
        <v>8.4793786485193543</v>
      </c>
      <c r="K10" s="264">
        <f>((7.01915979385375/(mmBTU_to_GJ))*($C$10))*($G$10/$F$10)</f>
        <v>8.4367354433828741</v>
      </c>
      <c r="L10" s="264">
        <f>((8.87161254882813/(mmBTU_to_GJ))*($C$10))*($G$10/$F$10)</f>
        <v>10.663305898264051</v>
      </c>
      <c r="M10" s="264">
        <f>((4.55562210083008/(mmBTU_to_GJ))*($C$10))*($G$10/$F$10)</f>
        <v>5.4756665432216405</v>
      </c>
      <c r="N10" s="264">
        <f>((5.12931346893311/(mmBTU_to_GJ))*($C$10))*($G$10/$F$10)</f>
        <v>6.1652194870192449</v>
      </c>
      <c r="O10" s="264">
        <f>((5.45354604721069/(mmBTU_to_GJ))*($C$10))*($G$10/$F$10)</f>
        <v>6.5549334364650393</v>
      </c>
      <c r="P10" s="264">
        <f>((5.51876354217529/(mmBTU_to_GJ))*($C$10))*($G$10/$F$10)</f>
        <v>6.6333221279118835</v>
      </c>
      <c r="Q10" s="264">
        <f>((5.53977298736572/(mmBTU_to_GJ))*($C$10))*($G$10/$F$10)</f>
        <v>6.6585745991605227</v>
      </c>
      <c r="R10" s="264">
        <f>((5.68350362777709/(mmBTU_to_GJ))*($C$10))*($G$10/$F$10)</f>
        <v>6.8313327958496117</v>
      </c>
      <c r="S10" s="264">
        <f>((5.8920464515686/(mmBTU_to_GJ))*($C$10))*($G$10/$F$10)</f>
        <v>7.0819925164739512</v>
      </c>
      <c r="T10" s="264">
        <f>((6.08193254470825/(mmBTU_to_GJ))*($C$10))*($G$10/$F$10)</f>
        <v>7.3102276299699529</v>
      </c>
      <c r="U10" s="264">
        <f>((6.26939964294434/(mmBTU_to_GJ))*($C$10))*($G$10/$F$10)</f>
        <v>7.5355552131290491</v>
      </c>
      <c r="V10" s="264">
        <f>((6.47751331329346/(mmBTU_to_GJ))*($C$10))*($G$10/$F$10)</f>
        <v>7.785699109329328</v>
      </c>
      <c r="W10" s="264">
        <f>((6.73541975021362/(mmBTU_to_GJ))*($C$10))*($G$10/$F$10)</f>
        <v>8.0956918208994786</v>
      </c>
      <c r="X10" s="264">
        <f>((7.02784395217896/(mmBTU_to_GJ))*($C$10))*($G$10/$F$10)</f>
        <v>8.4471734371727294</v>
      </c>
      <c r="Y10" s="264">
        <f>((7.25390911102295/(mmBTU_to_GJ))*($C$10))*($G$10/$F$10)</f>
        <v>8.7188942690311428</v>
      </c>
      <c r="Z10" s="264">
        <f>((7.3283839225769/(mmBTU_to_GJ))*($C$10))*($G$10/$F$10)</f>
        <v>8.8084098664430517</v>
      </c>
      <c r="AA10" s="264">
        <f>((7.15062761306763/(mmBTU_to_GJ))*($C$10))*($G$10/$F$10)</f>
        <v>8.5947542437237932</v>
      </c>
      <c r="AB10" s="264">
        <f>((7.19241189956665/(mmBTU_to_GJ))*($C$10))*($G$10/$F$10)</f>
        <v>8.6449772022025897</v>
      </c>
      <c r="AC10" s="264">
        <f>((7.13988399505615/(mmBTU_to_GJ))*($C$10))*($G$10/$F$10)</f>
        <v>8.5818408658367442</v>
      </c>
      <c r="AD10" s="264">
        <f>((7.28062534332275/(mmBTU_to_GJ))*($C$10))*($G$10/$F$10)</f>
        <v>8.7510060588431848</v>
      </c>
      <c r="AE10" s="264">
        <f>((7.5354790687561/(mmBTU_to_GJ))*($C$10))*($G$10/$F$10)</f>
        <v>9.0573295393435789</v>
      </c>
      <c r="AF10" s="264">
        <f>((7.86007928848267/(mmBTU_to_GJ))*($C$10))*($G$10/$F$10)</f>
        <v>9.44748537837933</v>
      </c>
      <c r="AG10" s="264">
        <f>((8.07421207427979/(mmBTU_to_GJ))*($C$10))*($G$10/$F$10)</f>
        <v>9.7048639986960801</v>
      </c>
      <c r="AH10" s="264">
        <f>((8.33951759338379/(mmBTU_to_GJ))*($C$10))*($G$10/$F$10)</f>
        <v>10.023750096475156</v>
      </c>
      <c r="AI10" s="264">
        <f>($BB10-$AH10)/20+AH10</f>
        <v>10.108846210851182</v>
      </c>
      <c r="AJ10" s="264">
        <f t="shared" si="30"/>
        <v>10.193942325227207</v>
      </c>
      <c r="AK10" s="264">
        <f t="shared" si="30"/>
        <v>10.279038439603232</v>
      </c>
      <c r="AL10" s="264">
        <f t="shared" si="30"/>
        <v>10.364134553979257</v>
      </c>
      <c r="AM10" s="264">
        <f t="shared" si="30"/>
        <v>10.449230668355282</v>
      </c>
      <c r="AN10" s="264">
        <f t="shared" si="30"/>
        <v>10.534326782731307</v>
      </c>
      <c r="AO10" s="264">
        <f t="shared" si="30"/>
        <v>10.619422897107333</v>
      </c>
      <c r="AP10" s="264">
        <f t="shared" si="30"/>
        <v>10.704519011483358</v>
      </c>
      <c r="AQ10" s="264">
        <f t="shared" si="30"/>
        <v>10.789615125859383</v>
      </c>
      <c r="AR10" s="264">
        <f t="shared" si="30"/>
        <v>10.874711240235408</v>
      </c>
      <c r="AS10" s="264">
        <f t="shared" si="30"/>
        <v>10.959807354611433</v>
      </c>
      <c r="AT10" s="264">
        <f t="shared" si="30"/>
        <v>11.044903468987458</v>
      </c>
      <c r="AU10" s="264">
        <f t="shared" si="30"/>
        <v>11.129999583363483</v>
      </c>
      <c r="AV10" s="264">
        <f t="shared" si="30"/>
        <v>11.215095697739509</v>
      </c>
      <c r="AW10" s="264">
        <f t="shared" si="30"/>
        <v>11.300191812115534</v>
      </c>
      <c r="AX10" s="264">
        <f t="shared" si="30"/>
        <v>11.385287926491559</v>
      </c>
      <c r="AY10" s="264">
        <f t="shared" si="30"/>
        <v>11.470384040867584</v>
      </c>
      <c r="AZ10" s="264">
        <f t="shared" si="31"/>
        <v>11.555480155243609</v>
      </c>
      <c r="BA10" s="264">
        <f t="shared" si="31"/>
        <v>11.640576269619634</v>
      </c>
      <c r="BB10" s="1078">
        <f>1.16978897829057*AH10</f>
        <v>11.725672383995676</v>
      </c>
      <c r="BC10" s="264">
        <f t="shared" si="34"/>
        <v>11.841777098943414</v>
      </c>
      <c r="BD10" s="264">
        <f t="shared" si="34"/>
        <v>11.957881813891152</v>
      </c>
      <c r="BE10" s="264">
        <f t="shared" si="34"/>
        <v>12.073986528838891</v>
      </c>
      <c r="BF10" s="264">
        <f t="shared" si="34"/>
        <v>12.190091243786629</v>
      </c>
      <c r="BG10" s="264">
        <f t="shared" si="34"/>
        <v>12.306195958734367</v>
      </c>
      <c r="BH10" s="264">
        <f t="shared" si="34"/>
        <v>12.422300673682106</v>
      </c>
      <c r="BI10" s="264">
        <f t="shared" si="34"/>
        <v>12.538405388629844</v>
      </c>
      <c r="BJ10" s="264">
        <f t="shared" si="34"/>
        <v>12.654510103577582</v>
      </c>
      <c r="BK10" s="264">
        <f t="shared" si="34"/>
        <v>12.770614818525321</v>
      </c>
      <c r="BL10" s="264">
        <f t="shared" si="34"/>
        <v>12.886719533473059</v>
      </c>
      <c r="BM10" s="264">
        <f t="shared" si="34"/>
        <v>13.002824248420797</v>
      </c>
      <c r="BN10" s="264">
        <f t="shared" si="34"/>
        <v>13.118928963368536</v>
      </c>
      <c r="BO10" s="264">
        <f t="shared" si="34"/>
        <v>13.235033678316274</v>
      </c>
      <c r="BP10" s="264">
        <f t="shared" si="34"/>
        <v>13.351138393264012</v>
      </c>
      <c r="BQ10" s="1078">
        <f>1.14852629914794*BB10</f>
        <v>13.467243108211756</v>
      </c>
      <c r="BR10" s="264">
        <f t="shared" si="35"/>
        <v>13.600592426784317</v>
      </c>
      <c r="BS10" s="264">
        <f t="shared" si="35"/>
        <v>13.733941745356878</v>
      </c>
      <c r="BT10" s="264">
        <f t="shared" si="35"/>
        <v>13.867291063929439</v>
      </c>
      <c r="BU10" s="264">
        <f t="shared" si="35"/>
        <v>14.000640382502</v>
      </c>
      <c r="BV10" s="1081">
        <f>1.04950876638265*BQ10</f>
        <v>14.133989701074563</v>
      </c>
      <c r="BW10" s="1400">
        <f>+BV10*BW$136/BV$136</f>
        <v>14.180918702845942</v>
      </c>
      <c r="BX10" s="1400">
        <f t="shared" ref="BX10:CZ10" si="39">+BW10*BX$136/BW$136</f>
        <v>14.22800352270222</v>
      </c>
      <c r="BY10" s="1400">
        <f t="shared" si="39"/>
        <v>14.275244678005262</v>
      </c>
      <c r="BZ10" s="1400">
        <f t="shared" si="39"/>
        <v>14.322642687834716</v>
      </c>
      <c r="CA10" s="1400">
        <f t="shared" si="39"/>
        <v>14.370198072993734</v>
      </c>
      <c r="CB10" s="1400">
        <f t="shared" si="39"/>
        <v>14.400863044487831</v>
      </c>
      <c r="CC10" s="1400">
        <f t="shared" si="39"/>
        <v>14.431593452830604</v>
      </c>
      <c r="CD10" s="1400">
        <f t="shared" si="39"/>
        <v>14.46238943765959</v>
      </c>
      <c r="CE10" s="1400">
        <f t="shared" si="39"/>
        <v>14.493251138910308</v>
      </c>
      <c r="CF10" s="1400">
        <f t="shared" si="39"/>
        <v>14.524178696816882</v>
      </c>
      <c r="CG10" s="1400">
        <f t="shared" si="39"/>
        <v>14.534220678683244</v>
      </c>
      <c r="CH10" s="1400">
        <f t="shared" si="39"/>
        <v>14.54426960355147</v>
      </c>
      <c r="CI10" s="1400">
        <f t="shared" si="39"/>
        <v>14.554325476221939</v>
      </c>
      <c r="CJ10" s="1400">
        <f t="shared" si="39"/>
        <v>14.564388301498344</v>
      </c>
      <c r="CK10" s="1400">
        <f t="shared" si="39"/>
        <v>14.574458084187699</v>
      </c>
      <c r="CL10" s="1400">
        <f t="shared" si="39"/>
        <v>14.577871293518578</v>
      </c>
      <c r="CM10" s="1400">
        <f t="shared" si="39"/>
        <v>14.581285302192933</v>
      </c>
      <c r="CN10" s="1400">
        <f t="shared" si="39"/>
        <v>14.584700110397959</v>
      </c>
      <c r="CO10" s="1400">
        <f t="shared" si="39"/>
        <v>14.5881157183209</v>
      </c>
      <c r="CP10" s="1400">
        <f t="shared" si="39"/>
        <v>14.591532126149042</v>
      </c>
      <c r="CQ10" s="1400">
        <f t="shared" si="39"/>
        <v>14.596710020228747</v>
      </c>
      <c r="CR10" s="1400">
        <f t="shared" si="39"/>
        <v>14.601889751715715</v>
      </c>
      <c r="CS10" s="1400">
        <f t="shared" si="39"/>
        <v>14.607071321261961</v>
      </c>
      <c r="CT10" s="1400">
        <f t="shared" si="39"/>
        <v>14.61225472951973</v>
      </c>
      <c r="CU10" s="1400">
        <f t="shared" si="39"/>
        <v>14.617439977141501</v>
      </c>
      <c r="CV10" s="1400">
        <f t="shared" si="39"/>
        <v>14.625420095184293</v>
      </c>
      <c r="CW10" s="1400">
        <f t="shared" si="39"/>
        <v>14.633404569823321</v>
      </c>
      <c r="CX10" s="1400">
        <f t="shared" si="39"/>
        <v>14.641393403436986</v>
      </c>
      <c r="CY10" s="1400">
        <f t="shared" si="39"/>
        <v>14.649386598404989</v>
      </c>
      <c r="CZ10" s="1400">
        <f t="shared" si="39"/>
        <v>14.65738415710833</v>
      </c>
    </row>
    <row r="11" spans="1:104" x14ac:dyDescent="0.25">
      <c r="A11" s="878" t="str">
        <f>'HyARC Physical Property Data'!A75</f>
        <v>Bio Methane</v>
      </c>
      <c r="B11" s="264">
        <v>2007</v>
      </c>
      <c r="C11" s="877">
        <f t="shared" si="37"/>
        <v>1.1446359956438654</v>
      </c>
      <c r="D11" s="1262" t="str">
        <f>'HyARC Physical Property Data'!H75</f>
        <v>mmBtu</v>
      </c>
      <c r="E11" s="877" t="s">
        <v>1058</v>
      </c>
      <c r="F11" s="264">
        <f>'HyARC Physical Property Data'!$E$6</f>
        <v>47.141269049911173</v>
      </c>
      <c r="G11" s="264">
        <f>'HyARC Physical Property Data'!$I$6</f>
        <v>52.224661236371581</v>
      </c>
      <c r="H11" s="264">
        <f t="shared" ref="H11:AM11" si="40">13.11*($C$11/mmBTU_to_GJ)</f>
        <v>14.223865310797228</v>
      </c>
      <c r="I11" s="264">
        <f t="shared" si="40"/>
        <v>14.223865310797228</v>
      </c>
      <c r="J11" s="264">
        <f t="shared" si="40"/>
        <v>14.223865310797228</v>
      </c>
      <c r="K11" s="264">
        <f t="shared" si="40"/>
        <v>14.223865310797228</v>
      </c>
      <c r="L11" s="264">
        <f t="shared" si="40"/>
        <v>14.223865310797228</v>
      </c>
      <c r="M11" s="264">
        <f t="shared" si="40"/>
        <v>14.223865310797228</v>
      </c>
      <c r="N11" s="264">
        <f t="shared" si="40"/>
        <v>14.223865310797228</v>
      </c>
      <c r="O11" s="264">
        <f t="shared" si="40"/>
        <v>14.223865310797228</v>
      </c>
      <c r="P11" s="264">
        <f t="shared" si="40"/>
        <v>14.223865310797228</v>
      </c>
      <c r="Q11" s="264">
        <f t="shared" si="40"/>
        <v>14.223865310797228</v>
      </c>
      <c r="R11" s="264">
        <f t="shared" si="40"/>
        <v>14.223865310797228</v>
      </c>
      <c r="S11" s="264">
        <f t="shared" si="40"/>
        <v>14.223865310797228</v>
      </c>
      <c r="T11" s="264">
        <f t="shared" si="40"/>
        <v>14.223865310797228</v>
      </c>
      <c r="U11" s="264">
        <f t="shared" si="40"/>
        <v>14.223865310797228</v>
      </c>
      <c r="V11" s="264">
        <f t="shared" si="40"/>
        <v>14.223865310797228</v>
      </c>
      <c r="W11" s="264">
        <f t="shared" si="40"/>
        <v>14.223865310797228</v>
      </c>
      <c r="X11" s="264">
        <f t="shared" si="40"/>
        <v>14.223865310797228</v>
      </c>
      <c r="Y11" s="264">
        <f t="shared" si="40"/>
        <v>14.223865310797228</v>
      </c>
      <c r="Z11" s="264">
        <f t="shared" si="40"/>
        <v>14.223865310797228</v>
      </c>
      <c r="AA11" s="264">
        <f t="shared" si="40"/>
        <v>14.223865310797228</v>
      </c>
      <c r="AB11" s="264">
        <f t="shared" si="40"/>
        <v>14.223865310797228</v>
      </c>
      <c r="AC11" s="264">
        <f t="shared" si="40"/>
        <v>14.223865310797228</v>
      </c>
      <c r="AD11" s="264">
        <f t="shared" si="40"/>
        <v>14.223865310797228</v>
      </c>
      <c r="AE11" s="264">
        <f t="shared" si="40"/>
        <v>14.223865310797228</v>
      </c>
      <c r="AF11" s="264">
        <f t="shared" si="40"/>
        <v>14.223865310797228</v>
      </c>
      <c r="AG11" s="264">
        <f t="shared" si="40"/>
        <v>14.223865310797228</v>
      </c>
      <c r="AH11" s="264">
        <f t="shared" si="40"/>
        <v>14.223865310797228</v>
      </c>
      <c r="AI11" s="264">
        <f t="shared" si="40"/>
        <v>14.223865310797228</v>
      </c>
      <c r="AJ11" s="264">
        <f t="shared" si="40"/>
        <v>14.223865310797228</v>
      </c>
      <c r="AK11" s="264">
        <f t="shared" si="40"/>
        <v>14.223865310797228</v>
      </c>
      <c r="AL11" s="264">
        <f t="shared" si="40"/>
        <v>14.223865310797228</v>
      </c>
      <c r="AM11" s="264">
        <f t="shared" si="40"/>
        <v>14.223865310797228</v>
      </c>
      <c r="AN11" s="264">
        <f t="shared" ref="AN11:BV11" si="41">13.11*($C$11/mmBTU_to_GJ)</f>
        <v>14.223865310797228</v>
      </c>
      <c r="AO11" s="264">
        <f t="shared" si="41"/>
        <v>14.223865310797228</v>
      </c>
      <c r="AP11" s="264">
        <f t="shared" si="41"/>
        <v>14.223865310797228</v>
      </c>
      <c r="AQ11" s="264">
        <f t="shared" si="41"/>
        <v>14.223865310797228</v>
      </c>
      <c r="AR11" s="264">
        <f t="shared" si="41"/>
        <v>14.223865310797228</v>
      </c>
      <c r="AS11" s="264">
        <f t="shared" si="41"/>
        <v>14.223865310797228</v>
      </c>
      <c r="AT11" s="264">
        <f t="shared" si="41"/>
        <v>14.223865310797228</v>
      </c>
      <c r="AU11" s="264">
        <f t="shared" si="41"/>
        <v>14.223865310797228</v>
      </c>
      <c r="AV11" s="264">
        <f t="shared" si="41"/>
        <v>14.223865310797228</v>
      </c>
      <c r="AW11" s="264">
        <f t="shared" si="41"/>
        <v>14.223865310797228</v>
      </c>
      <c r="AX11" s="264">
        <f t="shared" si="41"/>
        <v>14.223865310797228</v>
      </c>
      <c r="AY11" s="264">
        <f t="shared" si="41"/>
        <v>14.223865310797228</v>
      </c>
      <c r="AZ11" s="264">
        <f t="shared" si="41"/>
        <v>14.223865310797228</v>
      </c>
      <c r="BA11" s="264">
        <f t="shared" si="41"/>
        <v>14.223865310797228</v>
      </c>
      <c r="BB11" s="264">
        <f t="shared" si="41"/>
        <v>14.223865310797228</v>
      </c>
      <c r="BC11" s="264">
        <f t="shared" si="41"/>
        <v>14.223865310797228</v>
      </c>
      <c r="BD11" s="264">
        <f t="shared" si="41"/>
        <v>14.223865310797228</v>
      </c>
      <c r="BE11" s="264">
        <f t="shared" si="41"/>
        <v>14.223865310797228</v>
      </c>
      <c r="BF11" s="264">
        <f t="shared" si="41"/>
        <v>14.223865310797228</v>
      </c>
      <c r="BG11" s="264">
        <f t="shared" si="41"/>
        <v>14.223865310797228</v>
      </c>
      <c r="BH11" s="264">
        <f t="shared" si="41"/>
        <v>14.223865310797228</v>
      </c>
      <c r="BI11" s="264">
        <f t="shared" si="41"/>
        <v>14.223865310797228</v>
      </c>
      <c r="BJ11" s="264">
        <f t="shared" si="41"/>
        <v>14.223865310797228</v>
      </c>
      <c r="BK11" s="264">
        <f t="shared" si="41"/>
        <v>14.223865310797228</v>
      </c>
      <c r="BL11" s="264">
        <f t="shared" si="41"/>
        <v>14.223865310797228</v>
      </c>
      <c r="BM11" s="264">
        <f t="shared" si="41"/>
        <v>14.223865310797228</v>
      </c>
      <c r="BN11" s="264">
        <f t="shared" si="41"/>
        <v>14.223865310797228</v>
      </c>
      <c r="BO11" s="264">
        <f t="shared" si="41"/>
        <v>14.223865310797228</v>
      </c>
      <c r="BP11" s="264">
        <f t="shared" si="41"/>
        <v>14.223865310797228</v>
      </c>
      <c r="BQ11" s="264">
        <f t="shared" si="41"/>
        <v>14.223865310797228</v>
      </c>
      <c r="BR11" s="264">
        <f t="shared" si="41"/>
        <v>14.223865310797228</v>
      </c>
      <c r="BS11" s="264">
        <f t="shared" si="41"/>
        <v>14.223865310797228</v>
      </c>
      <c r="BT11" s="264">
        <f t="shared" si="41"/>
        <v>14.223865310797228</v>
      </c>
      <c r="BU11" s="264">
        <f t="shared" si="41"/>
        <v>14.223865310797228</v>
      </c>
      <c r="BV11" s="264">
        <f t="shared" si="41"/>
        <v>14.223865310797228</v>
      </c>
      <c r="BW11" s="1400">
        <f>+BV11*BW$136/BV$136</f>
        <v>14.271092726019944</v>
      </c>
      <c r="BX11" s="1400">
        <f t="shared" ref="BX11:CZ11" si="42">+BW11*BX$136/BW$136</f>
        <v>14.318476950147966</v>
      </c>
      <c r="BY11" s="1400">
        <f t="shared" si="42"/>
        <v>14.366018503832969</v>
      </c>
      <c r="BZ11" s="1400">
        <f t="shared" si="42"/>
        <v>14.413717909455341</v>
      </c>
      <c r="CA11" s="1400">
        <f t="shared" si="42"/>
        <v>14.461575691129934</v>
      </c>
      <c r="CB11" s="1400">
        <f t="shared" si="42"/>
        <v>14.49243565590395</v>
      </c>
      <c r="CC11" s="1400">
        <f t="shared" si="42"/>
        <v>14.523361473628309</v>
      </c>
      <c r="CD11" s="1400">
        <f t="shared" si="42"/>
        <v>14.554353284828478</v>
      </c>
      <c r="CE11" s="1400">
        <f t="shared" si="42"/>
        <v>14.585411230329802</v>
      </c>
      <c r="CF11" s="1400">
        <f t="shared" si="42"/>
        <v>14.616535451258134</v>
      </c>
      <c r="CG11" s="1400">
        <f t="shared" si="42"/>
        <v>14.626641288360148</v>
      </c>
      <c r="CH11" s="1400">
        <f t="shared" si="42"/>
        <v>14.636754112613382</v>
      </c>
      <c r="CI11" s="1400">
        <f t="shared" si="42"/>
        <v>14.646873928848736</v>
      </c>
      <c r="CJ11" s="1400">
        <f t="shared" si="42"/>
        <v>14.657000741900452</v>
      </c>
      <c r="CK11" s="1400">
        <f t="shared" si="42"/>
        <v>14.667134556606111</v>
      </c>
      <c r="CL11" s="1400">
        <f t="shared" si="42"/>
        <v>14.670569469948116</v>
      </c>
      <c r="CM11" s="1400">
        <f t="shared" si="42"/>
        <v>14.674005187716483</v>
      </c>
      <c r="CN11" s="1400">
        <f t="shared" si="42"/>
        <v>14.6774417100996</v>
      </c>
      <c r="CO11" s="1400">
        <f t="shared" si="42"/>
        <v>14.6808790372859</v>
      </c>
      <c r="CP11" s="1400">
        <f t="shared" si="42"/>
        <v>14.684317169463862</v>
      </c>
      <c r="CQ11" s="1400">
        <f t="shared" si="42"/>
        <v>14.689527988881515</v>
      </c>
      <c r="CR11" s="1400">
        <f t="shared" si="42"/>
        <v>14.69474065739019</v>
      </c>
      <c r="CS11" s="1400">
        <f t="shared" si="42"/>
        <v>14.699955175646044</v>
      </c>
      <c r="CT11" s="1400">
        <f t="shared" si="42"/>
        <v>14.705171544305472</v>
      </c>
      <c r="CU11" s="1400">
        <f t="shared" si="42"/>
        <v>14.710389764025104</v>
      </c>
      <c r="CV11" s="1400">
        <f t="shared" si="42"/>
        <v>14.718420626266095</v>
      </c>
      <c r="CW11" s="1400">
        <f t="shared" si="42"/>
        <v>14.726455872806168</v>
      </c>
      <c r="CX11" s="1400">
        <f t="shared" si="42"/>
        <v>14.734495506038849</v>
      </c>
      <c r="CY11" s="1400">
        <f t="shared" si="42"/>
        <v>14.74253952835897</v>
      </c>
      <c r="CZ11" s="1400">
        <f t="shared" si="42"/>
        <v>14.750587942162673</v>
      </c>
    </row>
    <row r="12" spans="1:104" x14ac:dyDescent="0.25">
      <c r="A12" s="967" t="str">
        <f>'HyARC Physical Property Data'!A85</f>
        <v>Woody Biomass</v>
      </c>
      <c r="B12" s="264">
        <v>2005</v>
      </c>
      <c r="C12" s="877">
        <f>VLOOKUP(ref_year,DeflatorTable,2,FALSE)/VLOOKUP(B12,DeflatorTable,2,FALSE)</f>
        <v>1.2112501494873942</v>
      </c>
      <c r="D12" s="1262" t="str">
        <f>+'HyARC Physical Property Data'!$H$85</f>
        <v>kg</v>
      </c>
      <c r="E12" s="904" t="s">
        <v>1052</v>
      </c>
      <c r="F12" s="264">
        <f>'HyARC Physical Property Data'!$E$45</f>
        <v>19.551069237418005</v>
      </c>
      <c r="G12" s="264">
        <f>'HyARC Physical Property Data'!$I$45</f>
        <v>20.588656379262464</v>
      </c>
      <c r="H12" s="968">
        <f t="shared" ref="H12:O12" si="43">1.27*($C$12)</f>
        <v>1.5382876898489906</v>
      </c>
      <c r="I12" s="968">
        <f t="shared" si="43"/>
        <v>1.5382876898489906</v>
      </c>
      <c r="J12" s="968">
        <f t="shared" si="43"/>
        <v>1.5382876898489906</v>
      </c>
      <c r="K12" s="968">
        <f t="shared" si="43"/>
        <v>1.5382876898489906</v>
      </c>
      <c r="L12" s="968">
        <f t="shared" si="43"/>
        <v>1.5382876898489906</v>
      </c>
      <c r="M12" s="968">
        <f t="shared" si="43"/>
        <v>1.5382876898489906</v>
      </c>
      <c r="N12" s="968">
        <f t="shared" si="43"/>
        <v>1.5382876898489906</v>
      </c>
      <c r="O12" s="968">
        <f t="shared" si="43"/>
        <v>1.5382876898489906</v>
      </c>
      <c r="P12" s="968">
        <f>1.28*($C$12)</f>
        <v>1.5504001913438645</v>
      </c>
      <c r="Q12" s="968">
        <f>1.32*($C$12)</f>
        <v>1.5988501973233604</v>
      </c>
      <c r="R12" s="968">
        <f>1.32*($C$12)</f>
        <v>1.5988501973233604</v>
      </c>
      <c r="S12" s="968">
        <f>1.34*($C$12)</f>
        <v>1.6230752003131084</v>
      </c>
      <c r="T12" s="968">
        <f>1.34*($C$12)</f>
        <v>1.6230752003131084</v>
      </c>
      <c r="U12" s="968">
        <f>1.36*($C$12)</f>
        <v>1.6473002033028561</v>
      </c>
      <c r="V12" s="968">
        <f>1.36*($C$12)</f>
        <v>1.6473002033028561</v>
      </c>
      <c r="W12" s="968">
        <f>1.38*($C$12)</f>
        <v>1.6715252062926038</v>
      </c>
      <c r="X12" s="968">
        <f>1.4*($C$12)</f>
        <v>1.6957502092823518</v>
      </c>
      <c r="Y12" s="968">
        <f>1.46*($C$12)</f>
        <v>1.7684252182515954</v>
      </c>
      <c r="Z12" s="968">
        <f>1.48*($C$12)</f>
        <v>1.7926502212413433</v>
      </c>
      <c r="AA12" s="968">
        <f>1.48*($C$12)</f>
        <v>1.7926502212413433</v>
      </c>
      <c r="AB12" s="968">
        <f>1.51*($C$12)</f>
        <v>1.8289877257259652</v>
      </c>
      <c r="AC12" s="968">
        <f>1.52*($C$12)</f>
        <v>1.8411002272208392</v>
      </c>
      <c r="AD12" s="968">
        <f>1.62*($C$12)</f>
        <v>1.9622252421695787</v>
      </c>
      <c r="AE12" s="968">
        <f>1.72*($C$12)</f>
        <v>2.083350257118318</v>
      </c>
      <c r="AF12" s="968">
        <f>1.82*($C$12)</f>
        <v>2.2044752720670573</v>
      </c>
      <c r="AG12" s="968">
        <f>1.91*($C$12)</f>
        <v>2.3134877855209228</v>
      </c>
      <c r="AH12" s="968">
        <f>2.01*($C$12)</f>
        <v>2.4346128004696621</v>
      </c>
      <c r="AI12" s="968">
        <f>2.11*($C$12)</f>
        <v>2.5557378154184014</v>
      </c>
      <c r="AJ12" s="968">
        <f>2.2*($C$12)</f>
        <v>2.6647503288722674</v>
      </c>
      <c r="AK12" s="968">
        <f>2.3*($C$12)</f>
        <v>2.7858753438210062</v>
      </c>
      <c r="AL12" s="968">
        <f>2.4*($C$12)</f>
        <v>2.9070003587697459</v>
      </c>
      <c r="AM12" s="968">
        <f>2.5*($C$12)</f>
        <v>3.0281253737184857</v>
      </c>
      <c r="AN12" s="968">
        <f>2.57*($C$12)</f>
        <v>3.1129128841826028</v>
      </c>
      <c r="AO12" s="968">
        <f>2.64*($C$12)</f>
        <v>3.1977003946467208</v>
      </c>
      <c r="AP12" s="968">
        <f>2.71*($C$12)</f>
        <v>3.282487905110838</v>
      </c>
      <c r="AQ12" s="968">
        <f>2.78*($C$12)</f>
        <v>3.3672754155749556</v>
      </c>
      <c r="AR12" s="968">
        <f>2.85*($C$12)</f>
        <v>3.4520629260390736</v>
      </c>
      <c r="AS12" s="968">
        <f>2.92*($C$12)</f>
        <v>3.5368504365031908</v>
      </c>
      <c r="AT12" s="968">
        <f>2.99*($C$12)</f>
        <v>3.6216379469673088</v>
      </c>
      <c r="AU12" s="968">
        <f>3.07*($C$12)</f>
        <v>3.7185379589263001</v>
      </c>
      <c r="AV12" s="968">
        <f>3.14*($C$12)</f>
        <v>3.8033254693904177</v>
      </c>
      <c r="AW12" s="968">
        <f>3.21*($C$12)</f>
        <v>3.8881129798545353</v>
      </c>
      <c r="AX12" s="968">
        <f>3.28*($C$12)</f>
        <v>3.9729004903186529</v>
      </c>
      <c r="AY12" s="968">
        <f>3.35*($C$12)</f>
        <v>4.0576880007827709</v>
      </c>
      <c r="AZ12" s="968">
        <f>3.42*($C$12)</f>
        <v>4.1424755112468876</v>
      </c>
      <c r="BA12" s="968">
        <f>3.49*($C$12)</f>
        <v>4.2272630217110061</v>
      </c>
      <c r="BB12" s="968">
        <f>3.56*($C$12)</f>
        <v>4.3120505321751237</v>
      </c>
      <c r="BC12" s="968">
        <f>3.64*($C$12)</f>
        <v>4.4089505441341146</v>
      </c>
      <c r="BD12" s="968">
        <f>3.71*($C$12)</f>
        <v>4.4937380545982322</v>
      </c>
      <c r="BE12" s="968">
        <f>3.78*($C$12)</f>
        <v>4.5785255650623498</v>
      </c>
      <c r="BF12" s="968">
        <f>3.85*($C$12)</f>
        <v>4.6633130755264673</v>
      </c>
      <c r="BG12" s="968">
        <f>3.92*($C$12)</f>
        <v>4.7481005859905849</v>
      </c>
      <c r="BH12" s="968">
        <f>3.99*($C$12)</f>
        <v>4.8328880964547034</v>
      </c>
      <c r="BI12" s="968">
        <f>4.06*($C$12)</f>
        <v>4.9176756069188201</v>
      </c>
      <c r="BJ12" s="968">
        <f>4.14*($C$12)</f>
        <v>5.0145756188778119</v>
      </c>
      <c r="BK12" s="968">
        <f>4.21*($C$12)</f>
        <v>5.0993631293419295</v>
      </c>
      <c r="BL12" s="968">
        <f>4.28*($C$12)</f>
        <v>5.1841506398060471</v>
      </c>
      <c r="BM12" s="968">
        <f>4.35*($C$12)</f>
        <v>5.2689381502701647</v>
      </c>
      <c r="BN12" s="968">
        <f>4.42*($C$12)</f>
        <v>5.3537256607342822</v>
      </c>
      <c r="BO12" s="968">
        <f>4.49*($C$12)</f>
        <v>5.4385131711983998</v>
      </c>
      <c r="BP12" s="968">
        <f>4.56*($C$12)</f>
        <v>5.5233006816625174</v>
      </c>
      <c r="BQ12" s="968">
        <f>4.63*($C$12)</f>
        <v>5.608088192126635</v>
      </c>
      <c r="BR12" s="968">
        <f>4.71*($C$12)</f>
        <v>5.7049882040856268</v>
      </c>
      <c r="BS12" s="968">
        <f>4.78*($C$12)</f>
        <v>5.7897757145497444</v>
      </c>
      <c r="BT12" s="968">
        <f>4.85*($C$12)</f>
        <v>5.8745632250138611</v>
      </c>
      <c r="BU12" s="968">
        <f>4.92*($C$12)</f>
        <v>5.9593507354779796</v>
      </c>
      <c r="BV12" s="969">
        <f>4.99*($C$12)</f>
        <v>6.0441382459420971</v>
      </c>
      <c r="BW12" s="1400">
        <f>+BV12*BW$137/BV$137</f>
        <v>6.0586659764672328</v>
      </c>
      <c r="BX12" s="1400">
        <f t="shared" ref="BX12:CZ12" si="44">+BW12*BX$137/BW$137</f>
        <v>6.0732286259412112</v>
      </c>
      <c r="BY12" s="1400">
        <f t="shared" si="44"/>
        <v>6.0878262782954495</v>
      </c>
      <c r="BZ12" s="1400">
        <f t="shared" si="44"/>
        <v>6.1024590176630999</v>
      </c>
      <c r="CA12" s="1400">
        <f t="shared" si="44"/>
        <v>6.1171269283795393</v>
      </c>
      <c r="CB12" s="1400">
        <f t="shared" si="44"/>
        <v>6.1299667153690152</v>
      </c>
      <c r="CC12" s="1400">
        <f t="shared" si="44"/>
        <v>6.1428334529403346</v>
      </c>
      <c r="CD12" s="1400">
        <f t="shared" si="44"/>
        <v>6.155727197662495</v>
      </c>
      <c r="CE12" s="1400">
        <f t="shared" si="44"/>
        <v>6.1686480062232301</v>
      </c>
      <c r="CF12" s="1400">
        <f t="shared" si="44"/>
        <v>6.18159593542926</v>
      </c>
      <c r="CG12" s="1400">
        <f t="shared" si="44"/>
        <v>6.197524392005751</v>
      </c>
      <c r="CH12" s="1400">
        <f t="shared" si="44"/>
        <v>6.2134938923080965</v>
      </c>
      <c r="CI12" s="1400">
        <f t="shared" si="44"/>
        <v>6.229504542095909</v>
      </c>
      <c r="CJ12" s="1400">
        <f t="shared" si="44"/>
        <v>6.245556447401321</v>
      </c>
      <c r="CK12" s="1400">
        <f t="shared" si="44"/>
        <v>6.2616497145296828</v>
      </c>
      <c r="CL12" s="1400">
        <f t="shared" si="44"/>
        <v>6.2750522655841658</v>
      </c>
      <c r="CM12" s="1400">
        <f t="shared" si="44"/>
        <v>6.2884835037072264</v>
      </c>
      <c r="CN12" s="1400">
        <f t="shared" si="44"/>
        <v>6.3019434903011975</v>
      </c>
      <c r="CO12" s="1400">
        <f t="shared" si="44"/>
        <v>6.3154322868998385</v>
      </c>
      <c r="CP12" s="1400">
        <f t="shared" si="44"/>
        <v>6.3289499551686168</v>
      </c>
      <c r="CQ12" s="1400">
        <f t="shared" si="44"/>
        <v>6.3413225489579119</v>
      </c>
      <c r="CR12" s="1400">
        <f t="shared" si="44"/>
        <v>6.3537193301840116</v>
      </c>
      <c r="CS12" s="1400">
        <f t="shared" si="44"/>
        <v>6.3661403461314299</v>
      </c>
      <c r="CT12" s="1400">
        <f t="shared" si="44"/>
        <v>6.3785856441771198</v>
      </c>
      <c r="CU12" s="1400">
        <f t="shared" si="44"/>
        <v>6.3910552717906537</v>
      </c>
      <c r="CV12" s="1400">
        <f t="shared" si="44"/>
        <v>6.4057772391562917</v>
      </c>
      <c r="CW12" s="1400">
        <f t="shared" si="44"/>
        <v>6.4205331189689208</v>
      </c>
      <c r="CX12" s="1400">
        <f t="shared" si="44"/>
        <v>6.4353229893467718</v>
      </c>
      <c r="CY12" s="1400">
        <f t="shared" si="44"/>
        <v>6.4501469285880244</v>
      </c>
      <c r="CZ12" s="1400">
        <f t="shared" si="44"/>
        <v>6.4650050151712186</v>
      </c>
    </row>
    <row r="13" spans="1:104" x14ac:dyDescent="0.25">
      <c r="A13" s="967" t="str">
        <f>'HyARC Physical Property Data'!A86</f>
        <v>Woody Biomass B2A</v>
      </c>
      <c r="B13" s="264">
        <v>2007</v>
      </c>
      <c r="C13" s="877">
        <f>VLOOKUP(ref_year,DeflatorTable,2,FALSE)/VLOOKUP(B13,DeflatorTable,2,FALSE)</f>
        <v>1.1446359956438654</v>
      </c>
      <c r="D13" s="1262" t="str">
        <f>+'HyARC Physical Property Data'!$H$86</f>
        <v>kg</v>
      </c>
      <c r="E13" s="904" t="s">
        <v>1052</v>
      </c>
      <c r="F13" s="264">
        <f>'HyARC Physical Property Data'!$E$45</f>
        <v>19.551069237418005</v>
      </c>
      <c r="G13" s="264">
        <f>'HyARC Physical Property Data'!$I$45</f>
        <v>20.588656379262464</v>
      </c>
      <c r="H13" s="968">
        <f>3.80872262322035*($C$13)</f>
        <v>4.3596010119611401</v>
      </c>
      <c r="I13" s="968">
        <f>3.80872262322035*($C$13)</f>
        <v>4.3596010119611401</v>
      </c>
      <c r="J13" s="968">
        <f>3.80872262322035*($C$13)</f>
        <v>4.3596010119611401</v>
      </c>
      <c r="K13" s="968">
        <f>3.80872262322035*($C$13)</f>
        <v>4.3596010119611401</v>
      </c>
      <c r="L13" s="968">
        <f>3.58036841709093*($C$13)</f>
        <v>4.0982185678687273</v>
      </c>
      <c r="M13" s="968">
        <f>3.28153451771169*($C$13)</f>
        <v>3.756162529920632</v>
      </c>
      <c r="N13" s="968">
        <f>3.05599949931226*($C$13)</f>
        <v>3.498007029582443</v>
      </c>
      <c r="O13" s="968">
        <f>2.9206784882726*($C$13)</f>
        <v>3.3431137293795268</v>
      </c>
      <c r="P13" s="968">
        <f t="shared" ref="P13:BV13" si="45">2.85865635821276*($C$13)</f>
        <v>3.2721209667865292</v>
      </c>
      <c r="Q13" s="968">
        <f t="shared" si="45"/>
        <v>3.2721209667865292</v>
      </c>
      <c r="R13" s="968">
        <f t="shared" si="45"/>
        <v>3.2721209667865292</v>
      </c>
      <c r="S13" s="968">
        <f t="shared" si="45"/>
        <v>3.2721209667865292</v>
      </c>
      <c r="T13" s="968">
        <f t="shared" si="45"/>
        <v>3.2721209667865292</v>
      </c>
      <c r="U13" s="968">
        <f t="shared" si="45"/>
        <v>3.2721209667865292</v>
      </c>
      <c r="V13" s="968">
        <f t="shared" si="45"/>
        <v>3.2721209667865292</v>
      </c>
      <c r="W13" s="968">
        <f t="shared" si="45"/>
        <v>3.2721209667865292</v>
      </c>
      <c r="X13" s="968">
        <f t="shared" si="45"/>
        <v>3.2721209667865292</v>
      </c>
      <c r="Y13" s="968">
        <f t="shared" si="45"/>
        <v>3.2721209667865292</v>
      </c>
      <c r="Z13" s="968">
        <f t="shared" si="45"/>
        <v>3.2721209667865292</v>
      </c>
      <c r="AA13" s="968">
        <f t="shared" si="45"/>
        <v>3.2721209667865292</v>
      </c>
      <c r="AB13" s="968">
        <f t="shared" si="45"/>
        <v>3.2721209667865292</v>
      </c>
      <c r="AC13" s="968">
        <f t="shared" si="45"/>
        <v>3.2721209667865292</v>
      </c>
      <c r="AD13" s="968">
        <f t="shared" si="45"/>
        <v>3.2721209667865292</v>
      </c>
      <c r="AE13" s="968">
        <f t="shared" si="45"/>
        <v>3.2721209667865292</v>
      </c>
      <c r="AF13" s="968">
        <f t="shared" si="45"/>
        <v>3.2721209667865292</v>
      </c>
      <c r="AG13" s="968">
        <f t="shared" si="45"/>
        <v>3.2721209667865292</v>
      </c>
      <c r="AH13" s="968">
        <f t="shared" si="45"/>
        <v>3.2721209667865292</v>
      </c>
      <c r="AI13" s="968">
        <f t="shared" si="45"/>
        <v>3.2721209667865292</v>
      </c>
      <c r="AJ13" s="968">
        <f t="shared" si="45"/>
        <v>3.2721209667865292</v>
      </c>
      <c r="AK13" s="968">
        <f t="shared" si="45"/>
        <v>3.2721209667865292</v>
      </c>
      <c r="AL13" s="968">
        <f t="shared" si="45"/>
        <v>3.2721209667865292</v>
      </c>
      <c r="AM13" s="968">
        <f t="shared" si="45"/>
        <v>3.2721209667865292</v>
      </c>
      <c r="AN13" s="968">
        <f t="shared" si="45"/>
        <v>3.2721209667865292</v>
      </c>
      <c r="AO13" s="968">
        <f t="shared" si="45"/>
        <v>3.2721209667865292</v>
      </c>
      <c r="AP13" s="968">
        <f t="shared" si="45"/>
        <v>3.2721209667865292</v>
      </c>
      <c r="AQ13" s="968">
        <f t="shared" si="45"/>
        <v>3.2721209667865292</v>
      </c>
      <c r="AR13" s="968">
        <f t="shared" si="45"/>
        <v>3.2721209667865292</v>
      </c>
      <c r="AS13" s="968">
        <f t="shared" si="45"/>
        <v>3.2721209667865292</v>
      </c>
      <c r="AT13" s="968">
        <f t="shared" si="45"/>
        <v>3.2721209667865292</v>
      </c>
      <c r="AU13" s="968">
        <f t="shared" si="45"/>
        <v>3.2721209667865292</v>
      </c>
      <c r="AV13" s="968">
        <f t="shared" si="45"/>
        <v>3.2721209667865292</v>
      </c>
      <c r="AW13" s="968">
        <f t="shared" si="45"/>
        <v>3.2721209667865292</v>
      </c>
      <c r="AX13" s="968">
        <f t="shared" si="45"/>
        <v>3.2721209667865292</v>
      </c>
      <c r="AY13" s="968">
        <f t="shared" si="45"/>
        <v>3.2721209667865292</v>
      </c>
      <c r="AZ13" s="968">
        <f t="shared" si="45"/>
        <v>3.2721209667865292</v>
      </c>
      <c r="BA13" s="968">
        <f t="shared" si="45"/>
        <v>3.2721209667865292</v>
      </c>
      <c r="BB13" s="968">
        <f t="shared" si="45"/>
        <v>3.2721209667865292</v>
      </c>
      <c r="BC13" s="968">
        <f t="shared" si="45"/>
        <v>3.2721209667865292</v>
      </c>
      <c r="BD13" s="968">
        <f t="shared" si="45"/>
        <v>3.2721209667865292</v>
      </c>
      <c r="BE13" s="968">
        <f t="shared" si="45"/>
        <v>3.2721209667865292</v>
      </c>
      <c r="BF13" s="968">
        <f t="shared" si="45"/>
        <v>3.2721209667865292</v>
      </c>
      <c r="BG13" s="968">
        <f t="shared" si="45"/>
        <v>3.2721209667865292</v>
      </c>
      <c r="BH13" s="968">
        <f t="shared" si="45"/>
        <v>3.2721209667865292</v>
      </c>
      <c r="BI13" s="968">
        <f t="shared" si="45"/>
        <v>3.2721209667865292</v>
      </c>
      <c r="BJ13" s="968">
        <f t="shared" si="45"/>
        <v>3.2721209667865292</v>
      </c>
      <c r="BK13" s="968">
        <f t="shared" si="45"/>
        <v>3.2721209667865292</v>
      </c>
      <c r="BL13" s="968">
        <f t="shared" si="45"/>
        <v>3.2721209667865292</v>
      </c>
      <c r="BM13" s="968">
        <f t="shared" si="45"/>
        <v>3.2721209667865292</v>
      </c>
      <c r="BN13" s="968">
        <f t="shared" si="45"/>
        <v>3.2721209667865292</v>
      </c>
      <c r="BO13" s="968">
        <f t="shared" si="45"/>
        <v>3.2721209667865292</v>
      </c>
      <c r="BP13" s="968">
        <f t="shared" si="45"/>
        <v>3.2721209667865292</v>
      </c>
      <c r="BQ13" s="968">
        <f t="shared" si="45"/>
        <v>3.2721209667865292</v>
      </c>
      <c r="BR13" s="968">
        <f t="shared" si="45"/>
        <v>3.2721209667865292</v>
      </c>
      <c r="BS13" s="968">
        <f t="shared" si="45"/>
        <v>3.2721209667865292</v>
      </c>
      <c r="BT13" s="968">
        <f t="shared" si="45"/>
        <v>3.2721209667865292</v>
      </c>
      <c r="BU13" s="968">
        <f t="shared" si="45"/>
        <v>3.2721209667865292</v>
      </c>
      <c r="BV13" s="969">
        <f t="shared" si="45"/>
        <v>3.2721209667865292</v>
      </c>
      <c r="BW13" s="1400">
        <f>+BV13*BW$137/BV$137</f>
        <v>3.2799858583089949</v>
      </c>
      <c r="BX13" s="1400">
        <f t="shared" ref="BX13:CZ13" si="46">+BW13*BX$137/BW$137</f>
        <v>3.2878696539365619</v>
      </c>
      <c r="BY13" s="1400">
        <f t="shared" si="46"/>
        <v>3.2957723991072623</v>
      </c>
      <c r="BZ13" s="1400">
        <f t="shared" si="46"/>
        <v>3.3036941393683414</v>
      </c>
      <c r="CA13" s="1400">
        <f t="shared" si="46"/>
        <v>3.3116349203765254</v>
      </c>
      <c r="CB13" s="1400">
        <f t="shared" si="46"/>
        <v>3.3185860082748779</v>
      </c>
      <c r="CC13" s="1400">
        <f t="shared" si="46"/>
        <v>3.3255516864357837</v>
      </c>
      <c r="CD13" s="1400">
        <f t="shared" si="46"/>
        <v>3.332531985484056</v>
      </c>
      <c r="CE13" s="1400">
        <f t="shared" si="46"/>
        <v>3.3395269361087871</v>
      </c>
      <c r="CF13" s="1400">
        <f t="shared" si="46"/>
        <v>3.3465365690634874</v>
      </c>
      <c r="CG13" s="1400">
        <f t="shared" si="46"/>
        <v>3.3551597730028546</v>
      </c>
      <c r="CH13" s="1400">
        <f t="shared" si="46"/>
        <v>3.3638051968237757</v>
      </c>
      <c r="CI13" s="1400">
        <f t="shared" si="46"/>
        <v>3.3724728977814351</v>
      </c>
      <c r="CJ13" s="1400">
        <f t="shared" si="46"/>
        <v>3.3811629332785507</v>
      </c>
      <c r="CK13" s="1400">
        <f t="shared" si="46"/>
        <v>3.3898753608657524</v>
      </c>
      <c r="CL13" s="1400">
        <f t="shared" si="46"/>
        <v>3.3971311128901611</v>
      </c>
      <c r="CM13" s="1400">
        <f t="shared" si="46"/>
        <v>3.4044023952606257</v>
      </c>
      <c r="CN13" s="1400">
        <f t="shared" si="46"/>
        <v>3.4116892412185864</v>
      </c>
      <c r="CO13" s="1400">
        <f t="shared" si="46"/>
        <v>3.4189916840766337</v>
      </c>
      <c r="CP13" s="1400">
        <f t="shared" si="46"/>
        <v>3.4263097572186623</v>
      </c>
      <c r="CQ13" s="1400">
        <f t="shared" si="46"/>
        <v>3.4330079202824653</v>
      </c>
      <c r="CR13" s="1400">
        <f t="shared" si="46"/>
        <v>3.4397191777223193</v>
      </c>
      <c r="CS13" s="1400">
        <f t="shared" si="46"/>
        <v>3.4464435551366885</v>
      </c>
      <c r="CT13" s="1400">
        <f t="shared" si="46"/>
        <v>3.453181078174079</v>
      </c>
      <c r="CU13" s="1400">
        <f t="shared" si="46"/>
        <v>3.4599317725331393</v>
      </c>
      <c r="CV13" s="1400">
        <f t="shared" si="46"/>
        <v>3.467901818241772</v>
      </c>
      <c r="CW13" s="1400">
        <f t="shared" si="46"/>
        <v>3.4758902231646247</v>
      </c>
      <c r="CX13" s="1400">
        <f t="shared" si="46"/>
        <v>3.4838970295926392</v>
      </c>
      <c r="CY13" s="1400">
        <f t="shared" si="46"/>
        <v>3.4919222799141783</v>
      </c>
      <c r="CZ13" s="1400">
        <f t="shared" si="46"/>
        <v>3.4999660166152444</v>
      </c>
    </row>
    <row r="14" spans="1:104" x14ac:dyDescent="0.25">
      <c r="A14" s="967" t="str">
        <f>'HyARC Physical Property Data'!$A$87</f>
        <v>Woody Biomass MYPP</v>
      </c>
      <c r="B14" s="264">
        <v>2007</v>
      </c>
      <c r="C14" s="877">
        <f>VLOOKUP(ref_year,DeflatorTable,2,FALSE)/VLOOKUP(B14,DeflatorTable,2,FALSE)</f>
        <v>1.1446359956438654</v>
      </c>
      <c r="D14" s="1262" t="str">
        <f>+'HyARC Physical Property Data'!$H$87</f>
        <v>kg</v>
      </c>
      <c r="E14" s="904" t="s">
        <v>1052</v>
      </c>
      <c r="F14" s="264">
        <v>18.608000000000001</v>
      </c>
      <c r="G14" s="264"/>
      <c r="H14" s="264">
        <f>4.44432502149613*$C$14</f>
        <v>5.0871343959451663</v>
      </c>
      <c r="I14" s="264">
        <f t="shared" ref="I14:N14" si="47">4.44432502149613*$C$14</f>
        <v>5.0871343959451663</v>
      </c>
      <c r="J14" s="264">
        <f t="shared" si="47"/>
        <v>5.0871343959451663</v>
      </c>
      <c r="K14" s="264">
        <f t="shared" si="47"/>
        <v>5.0871343959451663</v>
      </c>
      <c r="L14" s="264">
        <f t="shared" si="47"/>
        <v>5.0871343959451663</v>
      </c>
      <c r="M14" s="264">
        <f t="shared" si="47"/>
        <v>5.0871343959451663</v>
      </c>
      <c r="N14" s="264">
        <f t="shared" si="47"/>
        <v>5.0871343959451663</v>
      </c>
      <c r="O14" s="968">
        <f t="shared" ref="O14:T14" si="48">N14-($N$14-$U$14)/7</f>
        <v>4.9664808197552768</v>
      </c>
      <c r="P14" s="968">
        <f t="shared" si="48"/>
        <v>4.8458272435653873</v>
      </c>
      <c r="Q14" s="968">
        <f t="shared" si="48"/>
        <v>4.7251736673754978</v>
      </c>
      <c r="R14" s="968">
        <f t="shared" si="48"/>
        <v>4.6045200911856083</v>
      </c>
      <c r="S14" s="968">
        <f t="shared" si="48"/>
        <v>4.4838665149957189</v>
      </c>
      <c r="T14" s="968">
        <f t="shared" si="48"/>
        <v>4.3632129388058294</v>
      </c>
      <c r="U14" s="968">
        <f>3.70647033533964*$C$14</f>
        <v>4.2425593626159408</v>
      </c>
      <c r="V14" s="968">
        <f t="shared" ref="V14:BV14" si="49">3.70647033533964*$C$14</f>
        <v>4.2425593626159408</v>
      </c>
      <c r="W14" s="968">
        <f t="shared" si="49"/>
        <v>4.2425593626159408</v>
      </c>
      <c r="X14" s="968">
        <f t="shared" si="49"/>
        <v>4.2425593626159408</v>
      </c>
      <c r="Y14" s="968">
        <f t="shared" si="49"/>
        <v>4.2425593626159408</v>
      </c>
      <c r="Z14" s="968">
        <f t="shared" si="49"/>
        <v>4.2425593626159408</v>
      </c>
      <c r="AA14" s="968">
        <f t="shared" si="49"/>
        <v>4.2425593626159408</v>
      </c>
      <c r="AB14" s="968">
        <f t="shared" si="49"/>
        <v>4.2425593626159408</v>
      </c>
      <c r="AC14" s="968">
        <f t="shared" si="49"/>
        <v>4.2425593626159408</v>
      </c>
      <c r="AD14" s="968">
        <f t="shared" si="49"/>
        <v>4.2425593626159408</v>
      </c>
      <c r="AE14" s="968">
        <f t="shared" si="49"/>
        <v>4.2425593626159408</v>
      </c>
      <c r="AF14" s="968">
        <f t="shared" si="49"/>
        <v>4.2425593626159408</v>
      </c>
      <c r="AG14" s="968">
        <f t="shared" si="49"/>
        <v>4.2425593626159408</v>
      </c>
      <c r="AH14" s="968">
        <f t="shared" si="49"/>
        <v>4.2425593626159408</v>
      </c>
      <c r="AI14" s="968">
        <f t="shared" si="49"/>
        <v>4.2425593626159408</v>
      </c>
      <c r="AJ14" s="968">
        <f t="shared" si="49"/>
        <v>4.2425593626159408</v>
      </c>
      <c r="AK14" s="968">
        <f t="shared" si="49"/>
        <v>4.2425593626159408</v>
      </c>
      <c r="AL14" s="968">
        <f t="shared" si="49"/>
        <v>4.2425593626159408</v>
      </c>
      <c r="AM14" s="968">
        <f t="shared" si="49"/>
        <v>4.2425593626159408</v>
      </c>
      <c r="AN14" s="968">
        <f t="shared" si="49"/>
        <v>4.2425593626159408</v>
      </c>
      <c r="AO14" s="968">
        <f t="shared" si="49"/>
        <v>4.2425593626159408</v>
      </c>
      <c r="AP14" s="968">
        <f t="shared" si="49"/>
        <v>4.2425593626159408</v>
      </c>
      <c r="AQ14" s="968">
        <f t="shared" si="49"/>
        <v>4.2425593626159408</v>
      </c>
      <c r="AR14" s="968">
        <f t="shared" si="49"/>
        <v>4.2425593626159408</v>
      </c>
      <c r="AS14" s="968">
        <f t="shared" si="49"/>
        <v>4.2425593626159408</v>
      </c>
      <c r="AT14" s="968">
        <f t="shared" si="49"/>
        <v>4.2425593626159408</v>
      </c>
      <c r="AU14" s="968">
        <f t="shared" si="49"/>
        <v>4.2425593626159408</v>
      </c>
      <c r="AV14" s="968">
        <f t="shared" si="49"/>
        <v>4.2425593626159408</v>
      </c>
      <c r="AW14" s="968">
        <f t="shared" si="49"/>
        <v>4.2425593626159408</v>
      </c>
      <c r="AX14" s="968">
        <f t="shared" si="49"/>
        <v>4.2425593626159408</v>
      </c>
      <c r="AY14" s="968">
        <f t="shared" si="49"/>
        <v>4.2425593626159408</v>
      </c>
      <c r="AZ14" s="968">
        <f t="shared" si="49"/>
        <v>4.2425593626159408</v>
      </c>
      <c r="BA14" s="968">
        <f t="shared" si="49"/>
        <v>4.2425593626159408</v>
      </c>
      <c r="BB14" s="968">
        <f t="shared" si="49"/>
        <v>4.2425593626159408</v>
      </c>
      <c r="BC14" s="968">
        <f t="shared" si="49"/>
        <v>4.2425593626159408</v>
      </c>
      <c r="BD14" s="968">
        <f t="shared" si="49"/>
        <v>4.2425593626159408</v>
      </c>
      <c r="BE14" s="968">
        <f t="shared" si="49"/>
        <v>4.2425593626159408</v>
      </c>
      <c r="BF14" s="968">
        <f t="shared" si="49"/>
        <v>4.2425593626159408</v>
      </c>
      <c r="BG14" s="968">
        <f t="shared" si="49"/>
        <v>4.2425593626159408</v>
      </c>
      <c r="BH14" s="968">
        <f t="shared" si="49"/>
        <v>4.2425593626159408</v>
      </c>
      <c r="BI14" s="968">
        <f t="shared" si="49"/>
        <v>4.2425593626159408</v>
      </c>
      <c r="BJ14" s="968">
        <f t="shared" si="49"/>
        <v>4.2425593626159408</v>
      </c>
      <c r="BK14" s="968">
        <f t="shared" si="49"/>
        <v>4.2425593626159408</v>
      </c>
      <c r="BL14" s="968">
        <f t="shared" si="49"/>
        <v>4.2425593626159408</v>
      </c>
      <c r="BM14" s="968">
        <f t="shared" si="49"/>
        <v>4.2425593626159408</v>
      </c>
      <c r="BN14" s="968">
        <f t="shared" si="49"/>
        <v>4.2425593626159408</v>
      </c>
      <c r="BO14" s="968">
        <f t="shared" si="49"/>
        <v>4.2425593626159408</v>
      </c>
      <c r="BP14" s="968">
        <f t="shared" si="49"/>
        <v>4.2425593626159408</v>
      </c>
      <c r="BQ14" s="968">
        <f t="shared" si="49"/>
        <v>4.2425593626159408</v>
      </c>
      <c r="BR14" s="968">
        <f t="shared" si="49"/>
        <v>4.2425593626159408</v>
      </c>
      <c r="BS14" s="968">
        <f t="shared" si="49"/>
        <v>4.2425593626159408</v>
      </c>
      <c r="BT14" s="968">
        <f t="shared" si="49"/>
        <v>4.2425593626159408</v>
      </c>
      <c r="BU14" s="968">
        <f t="shared" si="49"/>
        <v>4.2425593626159408</v>
      </c>
      <c r="BV14" s="968">
        <f t="shared" si="49"/>
        <v>4.2425593626159408</v>
      </c>
      <c r="BW14" s="1400">
        <f>+BV14*BW$137/BV$137</f>
        <v>4.2527568062628252</v>
      </c>
      <c r="BX14" s="1400">
        <f t="shared" ref="BX14:CZ14" si="50">+BW14*BX$137/BW$137</f>
        <v>4.2629787605524712</v>
      </c>
      <c r="BY14" s="1400">
        <f t="shared" si="50"/>
        <v>4.2732252843988219</v>
      </c>
      <c r="BZ14" s="1400">
        <f t="shared" si="50"/>
        <v>4.2834964368574244</v>
      </c>
      <c r="CA14" s="1400">
        <f t="shared" si="50"/>
        <v>4.2937922771257746</v>
      </c>
      <c r="CB14" s="1400">
        <f t="shared" si="50"/>
        <v>4.302804903291757</v>
      </c>
      <c r="CC14" s="1400">
        <f t="shared" si="50"/>
        <v>4.3118364468680763</v>
      </c>
      <c r="CD14" s="1400">
        <f t="shared" si="50"/>
        <v>4.3208869475621841</v>
      </c>
      <c r="CE14" s="1400">
        <f t="shared" si="50"/>
        <v>4.3299564451648767</v>
      </c>
      <c r="CF14" s="1400">
        <f t="shared" si="50"/>
        <v>4.3390449795504713</v>
      </c>
      <c r="CG14" s="1400">
        <f t="shared" si="50"/>
        <v>4.3502256342328796</v>
      </c>
      <c r="CH14" s="1400">
        <f t="shared" si="50"/>
        <v>4.361435098720146</v>
      </c>
      <c r="CI14" s="1400">
        <f t="shared" si="50"/>
        <v>4.3726734472480695</v>
      </c>
      <c r="CJ14" s="1400">
        <f t="shared" si="50"/>
        <v>4.3839407542437394</v>
      </c>
      <c r="CK14" s="1400">
        <f t="shared" si="50"/>
        <v>4.3952370943260251</v>
      </c>
      <c r="CL14" s="1400">
        <f t="shared" si="50"/>
        <v>4.4046447412304142</v>
      </c>
      <c r="CM14" s="1400">
        <f t="shared" si="50"/>
        <v>4.4140725244365262</v>
      </c>
      <c r="CN14" s="1400">
        <f t="shared" si="50"/>
        <v>4.4235204870444758</v>
      </c>
      <c r="CO14" s="1400">
        <f t="shared" si="50"/>
        <v>4.4329886722466272</v>
      </c>
      <c r="CP14" s="1400">
        <f t="shared" si="50"/>
        <v>4.4424771233277953</v>
      </c>
      <c r="CQ14" s="1400">
        <f t="shared" si="50"/>
        <v>4.4511618127714661</v>
      </c>
      <c r="CR14" s="1400">
        <f t="shared" si="50"/>
        <v>4.4598634800922632</v>
      </c>
      <c r="CS14" s="1400">
        <f t="shared" si="50"/>
        <v>4.4685821584805847</v>
      </c>
      <c r="CT14" s="1400">
        <f t="shared" si="50"/>
        <v>4.4773178811917154</v>
      </c>
      <c r="CU14" s="1400">
        <f t="shared" si="50"/>
        <v>4.486070681545951</v>
      </c>
      <c r="CV14" s="1400">
        <f t="shared" si="50"/>
        <v>4.4964044657748525</v>
      </c>
      <c r="CW14" s="1400">
        <f t="shared" si="50"/>
        <v>4.5067620541531026</v>
      </c>
      <c r="CX14" s="1400">
        <f t="shared" si="50"/>
        <v>4.5171435015141972</v>
      </c>
      <c r="CY14" s="1400">
        <f t="shared" si="50"/>
        <v>4.5275488628179446</v>
      </c>
      <c r="CZ14" s="1400">
        <f t="shared" si="50"/>
        <v>4.537978193150753</v>
      </c>
    </row>
    <row r="15" spans="1:104" x14ac:dyDescent="0.25">
      <c r="A15" s="973" t="str">
        <f>'HyARC Physical Property Data'!A79</f>
        <v>Electric Utility Steam Coal</v>
      </c>
      <c r="B15" s="264">
        <v>2007</v>
      </c>
      <c r="C15" s="877">
        <f>VLOOKUP(ref_year,DeflatorTable,2,FALSE)/VLOOKUP(B15,DeflatorTable,2,FALSE)</f>
        <v>1.1446359956438654</v>
      </c>
      <c r="D15" s="1262" t="str">
        <f>+'HyARC Physical Property Data'!$H$79</f>
        <v>kg</v>
      </c>
      <c r="E15" s="904" t="s">
        <v>1052</v>
      </c>
      <c r="F15" s="264">
        <f>'HyARC Physical Property Data'!E42</f>
        <v>22.7322030001394</v>
      </c>
      <c r="G15" s="264">
        <f>'HyARC Physical Property Data'!I42</f>
        <v>23.967615189707661</v>
      </c>
      <c r="H15" s="264">
        <f>1.73552525043488*($C$15/mmBTU_to_GJ*$G$15/$F$15)</f>
        <v>1.9853138567637905</v>
      </c>
      <c r="I15" s="264">
        <f>1.73552525043488*($C$15/mmBTU_to_GJ*$G$15/$F$15)</f>
        <v>1.9853138567637905</v>
      </c>
      <c r="J15" s="264">
        <f>1.73552525043488*($C$15/mmBTU_to_GJ*$G$15/$F$15)</f>
        <v>1.9853138567637905</v>
      </c>
      <c r="K15" s="264">
        <f>1.78000020980835*($C$15/mmBTU_to_GJ*$G$15/$F$15)</f>
        <v>2.0361899549945894</v>
      </c>
      <c r="L15" s="264">
        <f>1.9310736656189*($C$15/mmBTU_to_GJ*$G$15/$F$15)</f>
        <v>2.2090069307975759</v>
      </c>
      <c r="M15" s="264">
        <f>1.98230564594269*($C$15/mmBTU_to_GJ*$G$15/$F$15)</f>
        <v>2.2676125664233231</v>
      </c>
      <c r="N15" s="264">
        <f>1.86225914955139*($C$15/mmBTU_to_GJ*$G$15/$F$15)</f>
        <v>2.13028816121408</v>
      </c>
      <c r="O15" s="264">
        <f>1.87335216999054*($C$15/mmBTU_to_GJ*$G$15/$F$15)</f>
        <v>2.1429777646558565</v>
      </c>
      <c r="P15" s="264">
        <f>1.85759365558624*($C$15/mmBTU_to_GJ*$G$15/$F$15)</f>
        <v>2.1249511776033034</v>
      </c>
      <c r="Q15" s="264">
        <f>1.88174879550934*($C$15/mmBTU_to_GJ*$G$15/$F$15)</f>
        <v>2.152582889668214</v>
      </c>
      <c r="R15" s="264">
        <f>1.90431761741638*($C$15/mmBTU_to_GJ*$G$15/$F$15)</f>
        <v>2.1783999700314376</v>
      </c>
      <c r="S15" s="264">
        <f>1.90719401836395*($C$15/mmBTU_to_GJ*$G$15/$F$15)</f>
        <v>2.1816903621806665</v>
      </c>
      <c r="T15" s="264">
        <f>1.91704928874969*($C$15/mmBTU_to_GJ*$G$15/$F$15)</f>
        <v>2.1929640701570041</v>
      </c>
      <c r="U15" s="264">
        <f>1.92595064640045*($C$15/mmBTU_to_GJ*$G$15/$F$15)</f>
        <v>2.203146571785048</v>
      </c>
      <c r="V15" s="264">
        <f>1.94080138206482*($C$15/mmBTU_to_GJ*$G$15/$F$15)</f>
        <v>2.2201347264029208</v>
      </c>
      <c r="W15" s="264">
        <f>1.94636797904968*($C$15/mmBTU_to_GJ*$G$15/$F$15)</f>
        <v>2.2265025059130679</v>
      </c>
      <c r="X15" s="264">
        <f>1.95628917217255*($C$15/mmBTU_to_GJ*$G$15/$F$15)</f>
        <v>2.2378516246755447</v>
      </c>
      <c r="Y15" s="264">
        <f>1.96225011348724*($C$15/mmBTU_to_GJ*$G$15/$F$15)</f>
        <v>2.2446705052354474</v>
      </c>
      <c r="Z15" s="264">
        <f>1.97535526752472*($C$15/mmBTU_to_GJ*$G$15/$F$15)</f>
        <v>2.2596618422379557</v>
      </c>
      <c r="AA15" s="264">
        <f>1.98115420341492*($C$15/mmBTU_to_GJ*$G$15/$F$15)</f>
        <v>2.2662954004500389</v>
      </c>
      <c r="AB15" s="264">
        <f>1.98549652099609*($C$15/mmBTU_to_GJ*$G$15/$F$15)</f>
        <v>2.2712626939320582</v>
      </c>
      <c r="AC15" s="264">
        <f>1.98988306522369*($C$15/mmBTU_to_GJ*$G$15/$F$15)</f>
        <v>2.2762805794604768</v>
      </c>
      <c r="AD15" s="264">
        <f>1.99634909629822*($C$15/mmBTU_to_GJ*$G$15/$F$15)</f>
        <v>2.2836772457361834</v>
      </c>
      <c r="AE15" s="264">
        <f>2.00744533538818*($C$15/mmBTU_to_GJ*$G$15/$F$15)</f>
        <v>2.2963705310789013</v>
      </c>
      <c r="AF15" s="264">
        <f>2.02021908760071*($C$15/mmBTU_to_GJ*$G$15/$F$15)</f>
        <v>2.3109827686502347</v>
      </c>
      <c r="AG15" s="264">
        <f>2.03361201286316*($C$15/mmBTU_to_GJ*$G$15/$F$15)</f>
        <v>2.3263032948710327</v>
      </c>
      <c r="AH15" s="264">
        <f>2.04451942443848*($C$15/mmBTU_to_GJ*$G$15/$F$15)</f>
        <v>2.3387805753580104</v>
      </c>
      <c r="AI15" s="264">
        <f>(($BB$15-$AH$15)/20+AH15)</f>
        <v>2.3439232584530902</v>
      </c>
      <c r="AJ15" s="264">
        <f t="shared" ref="AJ15:BA15" si="51">(($BB$15-$AH$15)/20+AI15)</f>
        <v>2.3490659415481701</v>
      </c>
      <c r="AK15" s="264">
        <f t="shared" si="51"/>
        <v>2.3542086246432499</v>
      </c>
      <c r="AL15" s="264">
        <f t="shared" si="51"/>
        <v>2.3593513077383297</v>
      </c>
      <c r="AM15" s="264">
        <f t="shared" si="51"/>
        <v>2.3644939908334095</v>
      </c>
      <c r="AN15" s="264">
        <f t="shared" si="51"/>
        <v>2.3696366739284893</v>
      </c>
      <c r="AO15" s="264">
        <f t="shared" si="51"/>
        <v>2.3747793570235691</v>
      </c>
      <c r="AP15" s="264">
        <f t="shared" si="51"/>
        <v>2.3799220401186489</v>
      </c>
      <c r="AQ15" s="264">
        <f t="shared" si="51"/>
        <v>2.3850647232137288</v>
      </c>
      <c r="AR15" s="264">
        <f t="shared" si="51"/>
        <v>2.3902074063088086</v>
      </c>
      <c r="AS15" s="264">
        <f t="shared" si="51"/>
        <v>2.3953500894038884</v>
      </c>
      <c r="AT15" s="264">
        <f t="shared" si="51"/>
        <v>2.4004927724989682</v>
      </c>
      <c r="AU15" s="264">
        <f t="shared" si="51"/>
        <v>2.405635455594048</v>
      </c>
      <c r="AV15" s="264">
        <f t="shared" si="51"/>
        <v>2.4107781386891278</v>
      </c>
      <c r="AW15" s="264">
        <f t="shared" si="51"/>
        <v>2.4159208217842076</v>
      </c>
      <c r="AX15" s="264">
        <f t="shared" si="51"/>
        <v>2.4210635048792875</v>
      </c>
      <c r="AY15" s="264">
        <f t="shared" si="51"/>
        <v>2.4262061879743673</v>
      </c>
      <c r="AZ15" s="264">
        <f t="shared" si="51"/>
        <v>2.4313488710694471</v>
      </c>
      <c r="BA15" s="264">
        <f t="shared" si="51"/>
        <v>2.4364915541645269</v>
      </c>
      <c r="BB15" s="1078">
        <f>(1.04397747398165*AH15)</f>
        <v>2.4416342372596058</v>
      </c>
      <c r="BC15" s="264">
        <f>(($BQ$15-$BB$15)/15+BB15)</f>
        <v>2.4462649790511035</v>
      </c>
      <c r="BD15" s="264">
        <f t="shared" ref="BD15:BP15" si="52">(($BQ$15-$BB$15)/15+BC15)</f>
        <v>2.4508957208426012</v>
      </c>
      <c r="BE15" s="264">
        <f t="shared" si="52"/>
        <v>2.4555264626340989</v>
      </c>
      <c r="BF15" s="264">
        <f t="shared" si="52"/>
        <v>2.4601572044255966</v>
      </c>
      <c r="BG15" s="264">
        <f t="shared" si="52"/>
        <v>2.4647879462170943</v>
      </c>
      <c r="BH15" s="264">
        <f t="shared" si="52"/>
        <v>2.469418688008592</v>
      </c>
      <c r="BI15" s="264">
        <f t="shared" si="52"/>
        <v>2.4740494298000897</v>
      </c>
      <c r="BJ15" s="264">
        <f t="shared" si="52"/>
        <v>2.4786801715915874</v>
      </c>
      <c r="BK15" s="264">
        <f t="shared" si="52"/>
        <v>2.4833109133830851</v>
      </c>
      <c r="BL15" s="264">
        <f t="shared" si="52"/>
        <v>2.4879416551745828</v>
      </c>
      <c r="BM15" s="264">
        <f t="shared" si="52"/>
        <v>2.4925723969660805</v>
      </c>
      <c r="BN15" s="264">
        <f t="shared" si="52"/>
        <v>2.4972031387575782</v>
      </c>
      <c r="BO15" s="264">
        <f t="shared" si="52"/>
        <v>2.5018338805490759</v>
      </c>
      <c r="BP15" s="264">
        <f t="shared" si="52"/>
        <v>2.5064646223405735</v>
      </c>
      <c r="BQ15" s="1078">
        <f>(1.02844862093285*BB15)</f>
        <v>2.511095364132073</v>
      </c>
      <c r="BR15" s="264">
        <f>(($BV$15-$BQ$15)/5+BQ15)</f>
        <v>2.5158578441414332</v>
      </c>
      <c r="BS15" s="264">
        <f>(($BV$15-$BQ$15)/5+BR15)</f>
        <v>2.5206203241507934</v>
      </c>
      <c r="BT15" s="264">
        <f>(($BV$15-$BQ$15)/5+BS15)</f>
        <v>2.5253828041601536</v>
      </c>
      <c r="BU15" s="264">
        <f>(($BV$15-$BQ$15)/5+BT15)</f>
        <v>2.5301452841695138</v>
      </c>
      <c r="BV15" s="1081">
        <f>(1.00948287364428*BQ15)</f>
        <v>2.5349077641788749</v>
      </c>
      <c r="BW15" s="1400">
        <f>+BV15*BW$138/BV$138</f>
        <v>2.5434781738814416</v>
      </c>
      <c r="BX15" s="1400">
        <f t="shared" ref="BX15:CZ15" si="53">+BW15*BX$138/BW$138</f>
        <v>2.5520775597556495</v>
      </c>
      <c r="BY15" s="1400">
        <f t="shared" si="53"/>
        <v>2.5607060197686384</v>
      </c>
      <c r="BZ15" s="1400">
        <f t="shared" si="53"/>
        <v>2.5693636522187702</v>
      </c>
      <c r="CA15" s="1400">
        <f t="shared" si="53"/>
        <v>2.5780505557367492</v>
      </c>
      <c r="CB15" s="1400">
        <f t="shared" si="53"/>
        <v>2.5854319192311639</v>
      </c>
      <c r="CC15" s="1400">
        <f t="shared" si="53"/>
        <v>2.592834416728135</v>
      </c>
      <c r="CD15" s="1400">
        <f t="shared" si="53"/>
        <v>2.6002581087376306</v>
      </c>
      <c r="CE15" s="1400">
        <f t="shared" si="53"/>
        <v>2.6077030559428676</v>
      </c>
      <c r="CF15" s="1400">
        <f t="shared" si="53"/>
        <v>2.6151693192008074</v>
      </c>
      <c r="CG15" s="1400">
        <f t="shared" si="53"/>
        <v>2.620869818974227</v>
      </c>
      <c r="CH15" s="1400">
        <f t="shared" si="53"/>
        <v>2.6265827445961101</v>
      </c>
      <c r="CI15" s="1400">
        <f t="shared" si="53"/>
        <v>2.6323081231521006</v>
      </c>
      <c r="CJ15" s="1400">
        <f t="shared" si="53"/>
        <v>2.6380459817868847</v>
      </c>
      <c r="CK15" s="1400">
        <f t="shared" si="53"/>
        <v>2.6437963477043169</v>
      </c>
      <c r="CL15" s="1400">
        <f t="shared" si="53"/>
        <v>2.6476946163242814</v>
      </c>
      <c r="CM15" s="1400">
        <f t="shared" si="53"/>
        <v>2.6515986329279162</v>
      </c>
      <c r="CN15" s="1400">
        <f t="shared" si="53"/>
        <v>2.6555084059906031</v>
      </c>
      <c r="CO15" s="1400">
        <f t="shared" si="53"/>
        <v>2.6594239440002214</v>
      </c>
      <c r="CP15" s="1400">
        <f t="shared" si="53"/>
        <v>2.6633452554571648</v>
      </c>
      <c r="CQ15" s="1400">
        <f t="shared" si="53"/>
        <v>2.6646584413422429</v>
      </c>
      <c r="CR15" s="1400">
        <f t="shared" si="53"/>
        <v>2.6659722747052119</v>
      </c>
      <c r="CS15" s="1400">
        <f t="shared" si="53"/>
        <v>2.6672867558653164</v>
      </c>
      <c r="CT15" s="1400">
        <f t="shared" si="53"/>
        <v>2.6686018851419582</v>
      </c>
      <c r="CU15" s="1400">
        <f t="shared" si="53"/>
        <v>2.6699176628546981</v>
      </c>
      <c r="CV15" s="1400">
        <f t="shared" si="53"/>
        <v>2.6680266065225413</v>
      </c>
      <c r="CW15" s="1400">
        <f t="shared" si="53"/>
        <v>2.6661368895927571</v>
      </c>
      <c r="CX15" s="1400">
        <f t="shared" si="53"/>
        <v>2.6642485111166696</v>
      </c>
      <c r="CY15" s="1400">
        <f t="shared" si="53"/>
        <v>2.662361470146275</v>
      </c>
      <c r="CZ15" s="1400">
        <f t="shared" si="53"/>
        <v>2.6604757657342417</v>
      </c>
    </row>
    <row r="16" spans="1:104" x14ac:dyDescent="0.25">
      <c r="A16" s="967" t="str">
        <f>'HyARC Physical Property Data'!A76</f>
        <v>Commercial Electricity</v>
      </c>
      <c r="B16" s="264">
        <v>2007</v>
      </c>
      <c r="C16" s="877">
        <f t="shared" si="37"/>
        <v>1.1446359956438654</v>
      </c>
      <c r="D16" s="1262" t="str">
        <f>'HyARC Physical Property Data'!$H$76</f>
        <v>kWh</v>
      </c>
      <c r="E16" s="877" t="s">
        <v>1071</v>
      </c>
      <c r="F16" s="877"/>
      <c r="G16" s="877"/>
      <c r="H16" s="264">
        <f>(28.3762531280518/(mmBTU_to_GJ))*($C$16)</f>
        <v>30.787185546796138</v>
      </c>
      <c r="I16" s="264">
        <f>(28.3762531280518/(mmBTU_to_GJ))*($C$16)</f>
        <v>30.787185546796138</v>
      </c>
      <c r="J16" s="264">
        <f>(28.3762531280518/(mmBTU_to_GJ))*($C$16)</f>
        <v>30.787185546796138</v>
      </c>
      <c r="K16" s="264">
        <f>(28.0297355651855/(mmBTU_to_GJ))*($C$16)</f>
        <v>30.411226802170969</v>
      </c>
      <c r="L16" s="264">
        <f>(29.057315826416/(mmBTU_to_GJ))*($C$16)</f>
        <v>31.52611339498382</v>
      </c>
      <c r="M16" s="264">
        <f>(27.6067714691162/(mmBTU_to_GJ))*($C$16)</f>
        <v>29.952326395321784</v>
      </c>
      <c r="N16" s="264">
        <f>(24.8355846405029/(mmBTU_to_GJ))*($C$16)</f>
        <v>26.94569113969624</v>
      </c>
      <c r="O16" s="264">
        <f>(25.5812511444092/(mmBTU_to_GJ))*($C$16)</f>
        <v>27.754711728432792</v>
      </c>
      <c r="P16" s="264">
        <f>(25.4402256011963/(mmBTU_to_GJ))*($C$16)</f>
        <v>27.601704227895624</v>
      </c>
      <c r="Q16" s="264">
        <f>(25.4701290130615/(mmBTU_to_GJ))*($C$16)</f>
        <v>27.634148324211708</v>
      </c>
      <c r="R16" s="264">
        <f>(25.6722831726074/(mmBTU_to_GJ))*($C$16)</f>
        <v>27.853478113486943</v>
      </c>
      <c r="S16" s="264">
        <f>(25.7632827758789/(mmBTU_to_GJ))*($C$16)</f>
        <v>27.952209318694404</v>
      </c>
      <c r="T16" s="264">
        <f>(26.1006698608398/(mmBTU_to_GJ))*($C$16)</f>
        <v>28.31826183235469</v>
      </c>
      <c r="U16" s="264">
        <f>(26.4680442810059/(mmBTU_to_GJ))*($C$16)</f>
        <v>28.716849496052234</v>
      </c>
      <c r="V16" s="264">
        <f>(26.885612487793/(mmBTU_to_GJ))*($C$16)</f>
        <v>29.169895562521408</v>
      </c>
      <c r="W16" s="264">
        <f>(27.1694507598877/(mmBTU_to_GJ))*($C$16)</f>
        <v>29.477849593972547</v>
      </c>
      <c r="X16" s="264">
        <f>(27.6201095581055/(mmBTU_to_GJ))*($C$16)</f>
        <v>29.966797728753303</v>
      </c>
      <c r="Y16" s="264">
        <f>(28.0024471282958/(mmBTU_to_GJ))*($C$16)</f>
        <v>30.381619857025179</v>
      </c>
      <c r="Z16" s="264">
        <f>(28.2454071044922/(mmBTU_to_GJ))*($C$16)</f>
        <v>30.645222448736249</v>
      </c>
      <c r="AA16" s="264">
        <f>(28.1863746643066/(mmBTU_to_GJ))*($C$16)</f>
        <v>30.581174433620486</v>
      </c>
      <c r="AB16" s="264">
        <f>(28.2032489776611/(mmBTU_to_GJ))*($C$16)</f>
        <v>30.599482439750659</v>
      </c>
      <c r="AC16" s="264">
        <f>(28.1397113800049/(mmBTU_to_GJ))*($C$16)</f>
        <v>30.530546495339259</v>
      </c>
      <c r="AD16" s="264">
        <f>(28.178466796875/(mmBTU_to_GJ))*($C$16)</f>
        <v>30.572594689818597</v>
      </c>
      <c r="AE16" s="264">
        <f>(28.4951820373535/(mmBTU_to_GJ))*($C$16)</f>
        <v>30.916219016473285</v>
      </c>
      <c r="AF16" s="264">
        <f>(28.9155654907227/(mmBTU_to_GJ))*($C$16)</f>
        <v>31.372319521401678</v>
      </c>
      <c r="AG16" s="264">
        <f>(29.2894115447998/(mmBTU_to_GJ))*($C$16)</f>
        <v>31.777928668630185</v>
      </c>
      <c r="AH16" s="264">
        <f>(29.6516952514648/(mmBTU_to_GJ))*($C$16)</f>
        <v>32.170993096387576</v>
      </c>
      <c r="AI16" s="264">
        <f t="shared" ref="AI16:BA18" si="54">($BB16-$AH16)/20+AH16</f>
        <v>32.16150778317737</v>
      </c>
      <c r="AJ16" s="264">
        <f t="shared" si="54"/>
        <v>32.152022469967164</v>
      </c>
      <c r="AK16" s="264">
        <f t="shared" si="54"/>
        <v>32.142537156756958</v>
      </c>
      <c r="AL16" s="264">
        <f t="shared" si="54"/>
        <v>32.133051843546752</v>
      </c>
      <c r="AM16" s="264">
        <f t="shared" si="54"/>
        <v>32.123566530336547</v>
      </c>
      <c r="AN16" s="264">
        <f t="shared" si="54"/>
        <v>32.114081217126341</v>
      </c>
      <c r="AO16" s="264">
        <f t="shared" si="54"/>
        <v>32.104595903916135</v>
      </c>
      <c r="AP16" s="264">
        <f t="shared" si="54"/>
        <v>32.095110590705929</v>
      </c>
      <c r="AQ16" s="264">
        <f t="shared" si="54"/>
        <v>32.085625277495723</v>
      </c>
      <c r="AR16" s="264">
        <f t="shared" si="54"/>
        <v>32.076139964285517</v>
      </c>
      <c r="AS16" s="264">
        <f t="shared" si="54"/>
        <v>32.066654651075311</v>
      </c>
      <c r="AT16" s="264">
        <f t="shared" si="54"/>
        <v>32.057169337865105</v>
      </c>
      <c r="AU16" s="264">
        <f t="shared" si="54"/>
        <v>32.047684024654899</v>
      </c>
      <c r="AV16" s="264">
        <f t="shared" si="54"/>
        <v>32.038198711444693</v>
      </c>
      <c r="AW16" s="264">
        <f t="shared" si="54"/>
        <v>32.028713398234487</v>
      </c>
      <c r="AX16" s="264">
        <f t="shared" si="54"/>
        <v>32.019228085024281</v>
      </c>
      <c r="AY16" s="264">
        <f t="shared" si="54"/>
        <v>32.009742771814075</v>
      </c>
      <c r="AZ16" s="264">
        <f t="shared" si="54"/>
        <v>32.000257458603869</v>
      </c>
      <c r="BA16" s="264">
        <f t="shared" si="54"/>
        <v>31.990772145393663</v>
      </c>
      <c r="BB16" s="1078">
        <f>0.994103189054944*AH16</f>
        <v>31.981286832183478</v>
      </c>
      <c r="BC16" s="264">
        <f t="shared" ref="BC16:BP18" si="55">($BQ16-$BB16)/15+BB16</f>
        <v>32.001602863802262</v>
      </c>
      <c r="BD16" s="264">
        <f t="shared" si="55"/>
        <v>32.021918895421045</v>
      </c>
      <c r="BE16" s="264">
        <f t="shared" si="55"/>
        <v>32.042234927039829</v>
      </c>
      <c r="BF16" s="264">
        <f t="shared" si="55"/>
        <v>32.062550958658612</v>
      </c>
      <c r="BG16" s="264">
        <f t="shared" si="55"/>
        <v>32.082866990277395</v>
      </c>
      <c r="BH16" s="264">
        <f t="shared" si="55"/>
        <v>32.103183021896179</v>
      </c>
      <c r="BI16" s="264">
        <f t="shared" si="55"/>
        <v>32.123499053514962</v>
      </c>
      <c r="BJ16" s="264">
        <f t="shared" si="55"/>
        <v>32.143815085133745</v>
      </c>
      <c r="BK16" s="264">
        <f t="shared" si="55"/>
        <v>32.164131116752529</v>
      </c>
      <c r="BL16" s="264">
        <f t="shared" si="55"/>
        <v>32.184447148371312</v>
      </c>
      <c r="BM16" s="264">
        <f t="shared" si="55"/>
        <v>32.204763179990096</v>
      </c>
      <c r="BN16" s="264">
        <f t="shared" si="55"/>
        <v>32.225079211608879</v>
      </c>
      <c r="BO16" s="264">
        <f t="shared" si="55"/>
        <v>32.245395243227662</v>
      </c>
      <c r="BP16" s="264">
        <f t="shared" si="55"/>
        <v>32.265711274846446</v>
      </c>
      <c r="BQ16" s="1078">
        <f>1.00952871208344*BB16</f>
        <v>32.286027306465265</v>
      </c>
      <c r="BR16" s="264">
        <f t="shared" ref="BR16:BU18" si="56">($BV16-$BQ16)/5+BQ16</f>
        <v>32.306536923700044</v>
      </c>
      <c r="BS16" s="264">
        <f t="shared" si="56"/>
        <v>32.327046540934823</v>
      </c>
      <c r="BT16" s="264">
        <f t="shared" si="56"/>
        <v>32.347556158169603</v>
      </c>
      <c r="BU16" s="264">
        <f t="shared" si="56"/>
        <v>32.368065775404382</v>
      </c>
      <c r="BV16" s="1081">
        <f>1.00317623736115*BQ16</f>
        <v>32.388575392639169</v>
      </c>
      <c r="BW16" s="1400">
        <f>+BV16*BW$139/BV$139</f>
        <v>32.37431458077026</v>
      </c>
      <c r="BX16" s="1400">
        <f t="shared" ref="BX16:CZ16" si="57">+BW16*BX$139/BW$139</f>
        <v>32.360060047990594</v>
      </c>
      <c r="BY16" s="1400">
        <f t="shared" si="57"/>
        <v>32.345811791535453</v>
      </c>
      <c r="BZ16" s="1400">
        <f t="shared" si="57"/>
        <v>32.331569808641355</v>
      </c>
      <c r="CA16" s="1400">
        <f t="shared" si="57"/>
        <v>32.317334096546027</v>
      </c>
      <c r="CB16" s="1400">
        <f t="shared" si="57"/>
        <v>32.291448416621037</v>
      </c>
      <c r="CC16" s="1400">
        <f t="shared" si="57"/>
        <v>32.265583470721417</v>
      </c>
      <c r="CD16" s="1400">
        <f t="shared" si="57"/>
        <v>32.239739242239537</v>
      </c>
      <c r="CE16" s="1400">
        <f t="shared" si="57"/>
        <v>32.213915714581077</v>
      </c>
      <c r="CF16" s="1400">
        <f t="shared" si="57"/>
        <v>32.188112871164996</v>
      </c>
      <c r="CG16" s="1400">
        <f t="shared" si="57"/>
        <v>32.152568008354812</v>
      </c>
      <c r="CH16" s="1400">
        <f t="shared" si="57"/>
        <v>32.11706239721736</v>
      </c>
      <c r="CI16" s="1400">
        <f t="shared" si="57"/>
        <v>32.081595994407593</v>
      </c>
      <c r="CJ16" s="1400">
        <f t="shared" si="57"/>
        <v>32.046168756628319</v>
      </c>
      <c r="CK16" s="1400">
        <f t="shared" si="57"/>
        <v>32.010780640630173</v>
      </c>
      <c r="CL16" s="1400">
        <f t="shared" si="57"/>
        <v>31.972198945666406</v>
      </c>
      <c r="CM16" s="1400">
        <f t="shared" si="57"/>
        <v>31.933663752136113</v>
      </c>
      <c r="CN16" s="1400">
        <f t="shared" si="57"/>
        <v>31.895175003992414</v>
      </c>
      <c r="CO16" s="1400">
        <f t="shared" si="57"/>
        <v>31.856732645255992</v>
      </c>
      <c r="CP16" s="1400">
        <f t="shared" si="57"/>
        <v>31.818336620015</v>
      </c>
      <c r="CQ16" s="1400">
        <f t="shared" si="57"/>
        <v>31.773863996680806</v>
      </c>
      <c r="CR16" s="1400">
        <f t="shared" si="57"/>
        <v>31.729453532919873</v>
      </c>
      <c r="CS16" s="1400">
        <f t="shared" si="57"/>
        <v>31.685105141851508</v>
      </c>
      <c r="CT16" s="1400">
        <f t="shared" si="57"/>
        <v>31.640818736716444</v>
      </c>
      <c r="CU16" s="1400">
        <f t="shared" si="57"/>
        <v>31.596594230876679</v>
      </c>
      <c r="CV16" s="1400">
        <f t="shared" si="57"/>
        <v>31.553423239824536</v>
      </c>
      <c r="CW16" s="1400">
        <f t="shared" si="57"/>
        <v>31.510311234068549</v>
      </c>
      <c r="CX16" s="1400">
        <f t="shared" si="57"/>
        <v>31.467258133016063</v>
      </c>
      <c r="CY16" s="1400">
        <f t="shared" si="57"/>
        <v>31.424263856184528</v>
      </c>
      <c r="CZ16" s="1400">
        <f t="shared" si="57"/>
        <v>31.381328323201359</v>
      </c>
    </row>
    <row r="17" spans="1:104" x14ac:dyDescent="0.25">
      <c r="A17" s="967" t="str">
        <f>'HyARC Physical Property Data'!A77</f>
        <v>Industrial Electricity</v>
      </c>
      <c r="B17" s="264">
        <v>2007</v>
      </c>
      <c r="C17" s="877">
        <f t="shared" si="37"/>
        <v>1.1446359956438654</v>
      </c>
      <c r="D17" s="967" t="str">
        <f>'HyARC Physical Property Data'!$H$77</f>
        <v>kWh</v>
      </c>
      <c r="E17" s="877" t="s">
        <v>1071</v>
      </c>
      <c r="F17" s="877"/>
      <c r="G17" s="877"/>
      <c r="H17" s="264">
        <f>(18.4008941650391/(mmBTU_to_GJ))*($C$17)</f>
        <v>19.964289870461542</v>
      </c>
      <c r="I17" s="264">
        <f>(18.4008941650391/(mmBTU_to_GJ))*($C$17)</f>
        <v>19.964289870461542</v>
      </c>
      <c r="J17" s="264">
        <f>(18.4008941650391/(mmBTU_to_GJ))*($C$17)</f>
        <v>19.964289870461542</v>
      </c>
      <c r="K17" s="264">
        <f>(18.6226921081543/(mmBTU_to_GJ))*($C$17)</f>
        <v>20.204932438660048</v>
      </c>
      <c r="L17" s="264">
        <f>(20.3344097137451/(mmBTU_to_GJ))*($C$17)</f>
        <v>22.062082756893755</v>
      </c>
      <c r="M17" s="264">
        <f>(19.1594867706299/(mmBTU_to_GJ))*($C$17)</f>
        <v>20.787334801635478</v>
      </c>
      <c r="N17" s="264">
        <f>(16.8281726837158/(mmBTU_to_GJ))*($C$17)</f>
        <v>18.257945208238802</v>
      </c>
      <c r="O17" s="264">
        <f>(17.2643089294434/(mmBTU_to_GJ))*($C$17)</f>
        <v>18.731136910480302</v>
      </c>
      <c r="P17" s="264">
        <f>(17.1560707092285/(mmBTU_to_GJ))*($C$17)</f>
        <v>18.61370244321737</v>
      </c>
      <c r="Q17" s="264">
        <f>(17.0836048126221/(mmBTU_to_GJ))*($C$17)</f>
        <v>18.535079624532727</v>
      </c>
      <c r="R17" s="264">
        <f>(17.1988334655762/(mmBTU_to_GJ))*($C$17)</f>
        <v>18.660098452874735</v>
      </c>
      <c r="S17" s="264">
        <f>(17.3181438446045/(mmBTU_to_GJ))*($C$17)</f>
        <v>18.789545803101944</v>
      </c>
      <c r="T17" s="264">
        <f>(17.6150741577148/(mmBTU_to_GJ))*($C$17)</f>
        <v>19.111704215029771</v>
      </c>
      <c r="U17" s="264">
        <f>(17.9101543426514/(mmBTU_to_GJ))*($C$17)</f>
        <v>19.431855306290132</v>
      </c>
      <c r="V17" s="264">
        <f>(18.2101707458496/(mmBTU_to_GJ))*($C$17)</f>
        <v>19.757362011867627</v>
      </c>
      <c r="W17" s="264">
        <f>(18.456880569458/(mmBTU_to_GJ))*($C$17)</f>
        <v>20.025033049385286</v>
      </c>
      <c r="X17" s="264">
        <f>(18.8030014038086/(mmBTU_to_GJ))*($C$17)</f>
        <v>20.400561358238349</v>
      </c>
      <c r="Y17" s="264">
        <f>(19.0852069854736/(mmBTU_to_GJ))*($C$17)</f>
        <v>20.706743980935386</v>
      </c>
      <c r="Z17" s="264">
        <f>(19.30615234375/(mmBTU_to_GJ))*($C$17)</f>
        <v>20.946461526104674</v>
      </c>
      <c r="AA17" s="264">
        <f>(19.3043308258057/(mmBTU_to_GJ))*($C$17)</f>
        <v>20.944485246478358</v>
      </c>
      <c r="AB17" s="264">
        <f>(19.3253479003906/(mmBTU_to_GJ))*($C$17)</f>
        <v>20.967287995381685</v>
      </c>
      <c r="AC17" s="264">
        <f>(19.3248138427734/(mmBTU_to_GJ))*($C$17)</f>
        <v>20.966708562611643</v>
      </c>
      <c r="AD17" s="264">
        <f>(19.3542194366455/(mmBTU_to_GJ))*($C$17)</f>
        <v>20.998612544810026</v>
      </c>
      <c r="AE17" s="264">
        <f>(19.6148834228516/(mmBTU_to_GJ))*($C$17)</f>
        <v>21.281423332847481</v>
      </c>
      <c r="AF17" s="264">
        <f>(19.97239112854/(mmBTU_to_GJ))*($C$17)</f>
        <v>21.669305976118565</v>
      </c>
      <c r="AG17" s="264">
        <f>(20.29469871521/(mmBTU_to_GJ))*($C$17)</f>
        <v>22.018997791636661</v>
      </c>
      <c r="AH17" s="264">
        <f>(20.5609893798828/(mmBTU_to_GJ))*($C$17)</f>
        <v>22.307913317786817</v>
      </c>
      <c r="AI17" s="264">
        <f t="shared" si="54"/>
        <v>22.301336040416132</v>
      </c>
      <c r="AJ17" s="264">
        <f t="shared" si="54"/>
        <v>22.294758763045447</v>
      </c>
      <c r="AK17" s="264">
        <f t="shared" si="54"/>
        <v>22.288181485674762</v>
      </c>
      <c r="AL17" s="264">
        <f t="shared" si="54"/>
        <v>22.281604208304078</v>
      </c>
      <c r="AM17" s="264">
        <f t="shared" si="54"/>
        <v>22.275026930933393</v>
      </c>
      <c r="AN17" s="264">
        <f t="shared" si="54"/>
        <v>22.268449653562708</v>
      </c>
      <c r="AO17" s="264">
        <f t="shared" si="54"/>
        <v>22.261872376192024</v>
      </c>
      <c r="AP17" s="264">
        <f t="shared" si="54"/>
        <v>22.255295098821339</v>
      </c>
      <c r="AQ17" s="264">
        <f t="shared" si="54"/>
        <v>22.248717821450654</v>
      </c>
      <c r="AR17" s="264">
        <f t="shared" si="54"/>
        <v>22.24214054407997</v>
      </c>
      <c r="AS17" s="264">
        <f t="shared" si="54"/>
        <v>22.235563266709285</v>
      </c>
      <c r="AT17" s="264">
        <f t="shared" si="54"/>
        <v>22.2289859893386</v>
      </c>
      <c r="AU17" s="264">
        <f t="shared" si="54"/>
        <v>22.222408711967915</v>
      </c>
      <c r="AV17" s="264">
        <f t="shared" si="54"/>
        <v>22.215831434597231</v>
      </c>
      <c r="AW17" s="264">
        <f t="shared" si="54"/>
        <v>22.209254157226546</v>
      </c>
      <c r="AX17" s="264">
        <f t="shared" si="54"/>
        <v>22.202676879855861</v>
      </c>
      <c r="AY17" s="264">
        <f t="shared" si="54"/>
        <v>22.196099602485177</v>
      </c>
      <c r="AZ17" s="264">
        <f t="shared" si="54"/>
        <v>22.189522325114492</v>
      </c>
      <c r="BA17" s="264">
        <f t="shared" si="54"/>
        <v>22.182945047743807</v>
      </c>
      <c r="BB17" s="1078">
        <f>0.994103189054944*AH17</f>
        <v>22.17636777037313</v>
      </c>
      <c r="BC17" s="264">
        <f t="shared" si="55"/>
        <v>22.190455251942488</v>
      </c>
      <c r="BD17" s="264">
        <f t="shared" si="55"/>
        <v>22.204542733511847</v>
      </c>
      <c r="BE17" s="264">
        <f t="shared" si="55"/>
        <v>22.218630215081205</v>
      </c>
      <c r="BF17" s="264">
        <f t="shared" si="55"/>
        <v>22.232717696650564</v>
      </c>
      <c r="BG17" s="264">
        <f t="shared" si="55"/>
        <v>22.246805178219923</v>
      </c>
      <c r="BH17" s="264">
        <f t="shared" si="55"/>
        <v>22.260892659789281</v>
      </c>
      <c r="BI17" s="264">
        <f t="shared" si="55"/>
        <v>22.27498014135864</v>
      </c>
      <c r="BJ17" s="264">
        <f t="shared" si="55"/>
        <v>22.289067622927998</v>
      </c>
      <c r="BK17" s="264">
        <f t="shared" si="55"/>
        <v>22.303155104497357</v>
      </c>
      <c r="BL17" s="264">
        <f t="shared" si="55"/>
        <v>22.317242586066715</v>
      </c>
      <c r="BM17" s="264">
        <f t="shared" si="55"/>
        <v>22.331330067636074</v>
      </c>
      <c r="BN17" s="264">
        <f t="shared" si="55"/>
        <v>22.345417549205433</v>
      </c>
      <c r="BO17" s="264">
        <f t="shared" si="55"/>
        <v>22.359505030774791</v>
      </c>
      <c r="BP17" s="264">
        <f t="shared" si="55"/>
        <v>22.37359251234415</v>
      </c>
      <c r="BQ17" s="1078">
        <f>1.00952871208344*BB17</f>
        <v>22.387679993913494</v>
      </c>
      <c r="BR17" s="264">
        <f t="shared" si="56"/>
        <v>22.401901711038722</v>
      </c>
      <c r="BS17" s="264">
        <f t="shared" si="56"/>
        <v>22.416123428163949</v>
      </c>
      <c r="BT17" s="264">
        <f t="shared" si="56"/>
        <v>22.430345145289177</v>
      </c>
      <c r="BU17" s="264">
        <f t="shared" si="56"/>
        <v>22.444566862414405</v>
      </c>
      <c r="BV17" s="1081">
        <f>1.00317623736115*BQ17</f>
        <v>22.458788579539629</v>
      </c>
      <c r="BW17" s="1400">
        <f>+BV17*BW$140/BV$140</f>
        <v>22.465574719294207</v>
      </c>
      <c r="BX17" s="1400">
        <f t="shared" ref="BX17:CZ17" si="58">+BW17*BX$140/BW$140</f>
        <v>22.472362909546415</v>
      </c>
      <c r="BY17" s="1400">
        <f t="shared" si="58"/>
        <v>22.479153150915831</v>
      </c>
      <c r="BZ17" s="1400">
        <f t="shared" si="58"/>
        <v>22.485945444022224</v>
      </c>
      <c r="CA17" s="1400">
        <f t="shared" si="58"/>
        <v>22.492739789485537</v>
      </c>
      <c r="CB17" s="1400">
        <f t="shared" si="58"/>
        <v>22.49019603346196</v>
      </c>
      <c r="CC17" s="1400">
        <f t="shared" si="58"/>
        <v>22.487652565117642</v>
      </c>
      <c r="CD17" s="1400">
        <f t="shared" si="58"/>
        <v>22.485109384420049</v>
      </c>
      <c r="CE17" s="1400">
        <f t="shared" si="58"/>
        <v>22.482566491336648</v>
      </c>
      <c r="CF17" s="1400">
        <f t="shared" si="58"/>
        <v>22.480023885834914</v>
      </c>
      <c r="CG17" s="1400">
        <f t="shared" si="58"/>
        <v>22.469826748009918</v>
      </c>
      <c r="CH17" s="1400">
        <f t="shared" si="58"/>
        <v>22.459634235696903</v>
      </c>
      <c r="CI17" s="1400">
        <f t="shared" si="58"/>
        <v>22.449446346797696</v>
      </c>
      <c r="CJ17" s="1400">
        <f t="shared" si="58"/>
        <v>22.439263079215074</v>
      </c>
      <c r="CK17" s="1400">
        <f t="shared" si="58"/>
        <v>22.429084430852768</v>
      </c>
      <c r="CL17" s="1400">
        <f t="shared" si="58"/>
        <v>22.41659732007183</v>
      </c>
      <c r="CM17" s="1400">
        <f t="shared" si="58"/>
        <v>22.404117161332831</v>
      </c>
      <c r="CN17" s="1400">
        <f t="shared" si="58"/>
        <v>22.39164395076531</v>
      </c>
      <c r="CO17" s="1400">
        <f t="shared" si="58"/>
        <v>22.379177684500963</v>
      </c>
      <c r="CP17" s="1400">
        <f t="shared" si="58"/>
        <v>22.36671835867363</v>
      </c>
      <c r="CQ17" s="1400">
        <f t="shared" si="58"/>
        <v>22.349648462331068</v>
      </c>
      <c r="CR17" s="1400">
        <f t="shared" si="58"/>
        <v>22.332591593441013</v>
      </c>
      <c r="CS17" s="1400">
        <f t="shared" si="58"/>
        <v>22.315547742061138</v>
      </c>
      <c r="CT17" s="1400">
        <f t="shared" si="58"/>
        <v>22.2985168982567</v>
      </c>
      <c r="CU17" s="1400">
        <f t="shared" si="58"/>
        <v>22.281499052100536</v>
      </c>
      <c r="CV17" s="1400">
        <f t="shared" si="58"/>
        <v>22.265499049909142</v>
      </c>
      <c r="CW17" s="1400">
        <f t="shared" si="58"/>
        <v>22.249510537073537</v>
      </c>
      <c r="CX17" s="1400">
        <f t="shared" si="58"/>
        <v>22.233533505343395</v>
      </c>
      <c r="CY17" s="1400">
        <f t="shared" si="58"/>
        <v>22.217567946474304</v>
      </c>
      <c r="CZ17" s="1400">
        <f t="shared" si="58"/>
        <v>22.20161385222778</v>
      </c>
    </row>
    <row r="18" spans="1:104" ht="13" thickBot="1" x14ac:dyDescent="0.3">
      <c r="A18" s="970" t="str">
        <f>'HyARC Physical Property Data'!A78</f>
        <v>Residential Electricity</v>
      </c>
      <c r="B18" s="883">
        <v>2007</v>
      </c>
      <c r="C18" s="884">
        <f t="shared" si="37"/>
        <v>1.1446359956438654</v>
      </c>
      <c r="D18" s="970" t="str">
        <f>'HyARC Physical Property Data'!$H$78</f>
        <v>kWh</v>
      </c>
      <c r="E18" s="884" t="s">
        <v>1071</v>
      </c>
      <c r="F18" s="883"/>
      <c r="G18" s="883"/>
      <c r="H18" s="883">
        <f>(31.2067794799805/(mmBTU_to_GJ))*($C$18)</f>
        <v>33.858201991380128</v>
      </c>
      <c r="I18" s="883">
        <f>(31.2067794799805/(mmBTU_to_GJ))*($C$18)</f>
        <v>33.858201991380128</v>
      </c>
      <c r="J18" s="883">
        <f>(31.2067794799805/(mmBTU_to_GJ))*($C$18)</f>
        <v>33.858201991380128</v>
      </c>
      <c r="K18" s="883">
        <f>(31.181957244873/(mmBTU_to_GJ))*($C$18)</f>
        <v>33.831270783990192</v>
      </c>
      <c r="L18" s="883">
        <f>(31.772819519043/(mmBTU_to_GJ))*($C$18)</f>
        <v>34.472334506722866</v>
      </c>
      <c r="M18" s="883">
        <f>(30.736837387085/(mmBTU_to_GJ))*($C$18)</f>
        <v>33.348332194795859</v>
      </c>
      <c r="N18" s="883">
        <f>(28.6163578033447/(mmBTU_to_GJ))*($C$18)</f>
        <v>31.047690242590104</v>
      </c>
      <c r="O18" s="883">
        <f>(29.8736190795898/(mmBTU_to_GJ))*($C$18)</f>
        <v>32.411772245167633</v>
      </c>
      <c r="P18" s="883">
        <f>(30.101655960083/(mmBTU_to_GJ))*($C$18)</f>
        <v>32.659183829761808</v>
      </c>
      <c r="Q18" s="883">
        <f>(30.4253902435303/(mmBTU_to_GJ))*($C$18)</f>
        <v>33.010423558536921</v>
      </c>
      <c r="R18" s="883">
        <f>(30.7938537597656/(mmBTU_to_GJ))*($C$18)</f>
        <v>33.410192851204634</v>
      </c>
      <c r="S18" s="883">
        <f>(30.8830280303955/(mmBTU_to_GJ))*($C$18)</f>
        <v>33.50694363798025</v>
      </c>
      <c r="T18" s="883">
        <f>(31.1491451263428/(mmBTU_to_GJ))*($C$18)</f>
        <v>33.795670848480235</v>
      </c>
      <c r="U18" s="883">
        <f>(31.4898681640625/(mmBTU_to_GJ))*($C$18)</f>
        <v>34.165342747550469</v>
      </c>
      <c r="V18" s="883">
        <f>(31.8156299591064/(mmBTU_to_GJ))*($C$18)</f>
        <v>34.518782251448862</v>
      </c>
      <c r="W18" s="883">
        <f>(32.0206985473633/(mmBTU_to_GJ))*($C$18)</f>
        <v>34.741274088126325</v>
      </c>
      <c r="X18" s="883">
        <f>(32.4303588867188/(mmBTU_to_GJ))*($C$18)</f>
        <v>35.185740410793606</v>
      </c>
      <c r="Y18" s="883">
        <f>(32.7907905578613/(mmBTU_to_GJ))*($C$18)</f>
        <v>35.576795448480595</v>
      </c>
      <c r="Z18" s="883">
        <f>(32.9940071105957/(mmBTU_to_GJ))*($C$18)</f>
        <v>35.797277895087667</v>
      </c>
      <c r="AA18" s="883">
        <f>(32.9234657287598/(mmBTU_to_GJ))*($C$18)</f>
        <v>35.720743103777878</v>
      </c>
      <c r="AB18" s="883">
        <f>(32.9201545715332/(mmBTU_to_GJ))*($C$18)</f>
        <v>35.717150620603661</v>
      </c>
      <c r="AC18" s="883">
        <f>(32.902271270752/(mmBTU_to_GJ))*($C$18)</f>
        <v>35.69774790041874</v>
      </c>
      <c r="AD18" s="883">
        <f>(32.9582405090332/(mmBTU_to_GJ))*($C$18)</f>
        <v>35.758472454717726</v>
      </c>
      <c r="AE18" s="883">
        <f>(33.321102142334/(mmBTU_to_GJ))*($C$18)</f>
        <v>36.152163911508453</v>
      </c>
      <c r="AF18" s="883">
        <f>(33.7343635559082/(mmBTU_to_GJ))*($C$18)</f>
        <v>36.600537266567883</v>
      </c>
      <c r="AG18" s="883">
        <f>(34.1495399475098/(mmBTU_to_GJ))*($C$18)</f>
        <v>37.050988301988475</v>
      </c>
      <c r="AH18" s="883">
        <f>(34.4904899597167/(mmBTU_to_GJ))*($C$18)</f>
        <v>37.420906459985844</v>
      </c>
      <c r="AI18" s="883">
        <f t="shared" si="54"/>
        <v>37.409873259446485</v>
      </c>
      <c r="AJ18" s="883">
        <f t="shared" si="54"/>
        <v>37.398840058907126</v>
      </c>
      <c r="AK18" s="883">
        <f t="shared" si="54"/>
        <v>37.387806858367767</v>
      </c>
      <c r="AL18" s="883">
        <f t="shared" si="54"/>
        <v>37.376773657828409</v>
      </c>
      <c r="AM18" s="883">
        <f t="shared" si="54"/>
        <v>37.36574045728905</v>
      </c>
      <c r="AN18" s="883">
        <f t="shared" si="54"/>
        <v>37.354707256749691</v>
      </c>
      <c r="AO18" s="883">
        <f t="shared" si="54"/>
        <v>37.343674056210332</v>
      </c>
      <c r="AP18" s="883">
        <f t="shared" si="54"/>
        <v>37.332640855670974</v>
      </c>
      <c r="AQ18" s="883">
        <f t="shared" si="54"/>
        <v>37.321607655131615</v>
      </c>
      <c r="AR18" s="883">
        <f t="shared" si="54"/>
        <v>37.310574454592256</v>
      </c>
      <c r="AS18" s="883">
        <f t="shared" si="54"/>
        <v>37.299541254052897</v>
      </c>
      <c r="AT18" s="883">
        <f t="shared" si="54"/>
        <v>37.288508053513539</v>
      </c>
      <c r="AU18" s="883">
        <f t="shared" si="54"/>
        <v>37.27747485297418</v>
      </c>
      <c r="AV18" s="883">
        <f t="shared" si="54"/>
        <v>37.266441652434821</v>
      </c>
      <c r="AW18" s="883">
        <f t="shared" si="54"/>
        <v>37.255408451895462</v>
      </c>
      <c r="AX18" s="883">
        <f t="shared" si="54"/>
        <v>37.244375251356104</v>
      </c>
      <c r="AY18" s="883">
        <f t="shared" si="54"/>
        <v>37.233342050816745</v>
      </c>
      <c r="AZ18" s="883">
        <f t="shared" si="54"/>
        <v>37.222308850277386</v>
      </c>
      <c r="BA18" s="883">
        <f t="shared" si="54"/>
        <v>37.211275649738027</v>
      </c>
      <c r="BB18" s="1082">
        <f>0.994103189054944*AH18</f>
        <v>37.200242449198683</v>
      </c>
      <c r="BC18" s="883">
        <f t="shared" si="55"/>
        <v>37.223873809180851</v>
      </c>
      <c r="BD18" s="883">
        <f t="shared" si="55"/>
        <v>37.24750516916302</v>
      </c>
      <c r="BE18" s="883">
        <f t="shared" si="55"/>
        <v>37.271136529145188</v>
      </c>
      <c r="BF18" s="883">
        <f t="shared" si="55"/>
        <v>37.294767889127357</v>
      </c>
      <c r="BG18" s="883">
        <f t="shared" si="55"/>
        <v>37.318399249109525</v>
      </c>
      <c r="BH18" s="883">
        <f t="shared" si="55"/>
        <v>37.342030609091694</v>
      </c>
      <c r="BI18" s="883">
        <f t="shared" si="55"/>
        <v>37.365661969073862</v>
      </c>
      <c r="BJ18" s="883">
        <f t="shared" si="55"/>
        <v>37.389293329056031</v>
      </c>
      <c r="BK18" s="883">
        <f t="shared" si="55"/>
        <v>37.412924689038199</v>
      </c>
      <c r="BL18" s="883">
        <f t="shared" si="55"/>
        <v>37.436556049020368</v>
      </c>
      <c r="BM18" s="883">
        <f t="shared" si="55"/>
        <v>37.460187409002536</v>
      </c>
      <c r="BN18" s="883">
        <f t="shared" si="55"/>
        <v>37.483818768984705</v>
      </c>
      <c r="BO18" s="883">
        <f t="shared" si="55"/>
        <v>37.507450128966873</v>
      </c>
      <c r="BP18" s="883">
        <f t="shared" si="55"/>
        <v>37.531081488949042</v>
      </c>
      <c r="BQ18" s="1082">
        <f>1.00952871208344*BB18</f>
        <v>37.55471284893126</v>
      </c>
      <c r="BR18" s="883">
        <f t="shared" si="56"/>
        <v>37.578569385338866</v>
      </c>
      <c r="BS18" s="883">
        <f t="shared" si="56"/>
        <v>37.602425921746473</v>
      </c>
      <c r="BT18" s="883">
        <f t="shared" si="56"/>
        <v>37.62628245815408</v>
      </c>
      <c r="BU18" s="883">
        <f t="shared" si="56"/>
        <v>37.650138994561686</v>
      </c>
      <c r="BV18" s="1083">
        <f>1.00317623736115*BQ18</f>
        <v>37.673995530969293</v>
      </c>
      <c r="BW18" s="1400">
        <f>+BV18*BW$141/BV$141</f>
        <v>37.657407528684409</v>
      </c>
      <c r="BX18" s="1400">
        <f t="shared" ref="BX18:CZ18" si="59">+BW18*BX$141/BW$141</f>
        <v>37.640826830159476</v>
      </c>
      <c r="BY18" s="1400">
        <f t="shared" si="59"/>
        <v>37.62425343217862</v>
      </c>
      <c r="BZ18" s="1400">
        <f t="shared" si="59"/>
        <v>37.607687331527387</v>
      </c>
      <c r="CA18" s="1400">
        <f t="shared" si="59"/>
        <v>37.59112852499274</v>
      </c>
      <c r="CB18" s="1400">
        <f t="shared" si="59"/>
        <v>37.561018618089207</v>
      </c>
      <c r="CC18" s="1400">
        <f t="shared" si="59"/>
        <v>37.530932828750899</v>
      </c>
      <c r="CD18" s="1400">
        <f t="shared" si="59"/>
        <v>37.500871137660013</v>
      </c>
      <c r="CE18" s="1400">
        <f t="shared" si="59"/>
        <v>37.47083352551423</v>
      </c>
      <c r="CF18" s="1400">
        <f t="shared" si="59"/>
        <v>37.440819973026684</v>
      </c>
      <c r="CG18" s="1400">
        <f t="shared" si="59"/>
        <v>37.399474622500279</v>
      </c>
      <c r="CH18" s="1400">
        <f t="shared" si="59"/>
        <v>37.358174929040445</v>
      </c>
      <c r="CI18" s="1400">
        <f t="shared" si="59"/>
        <v>37.316920842228761</v>
      </c>
      <c r="CJ18" s="1400">
        <f t="shared" si="59"/>
        <v>37.275712311702456</v>
      </c>
      <c r="CK18" s="1400">
        <f t="shared" si="59"/>
        <v>37.234549287154408</v>
      </c>
      <c r="CL18" s="1400">
        <f t="shared" si="59"/>
        <v>37.189671530537417</v>
      </c>
      <c r="CM18" s="1400">
        <f t="shared" si="59"/>
        <v>37.144847863820196</v>
      </c>
      <c r="CN18" s="1400">
        <f t="shared" si="59"/>
        <v>37.100078221809703</v>
      </c>
      <c r="CO18" s="1400">
        <f t="shared" si="59"/>
        <v>37.055362539391488</v>
      </c>
      <c r="CP18" s="1400">
        <f t="shared" si="59"/>
        <v>37.010700751529562</v>
      </c>
      <c r="CQ18" s="1400">
        <f t="shared" si="59"/>
        <v>36.958970738942355</v>
      </c>
      <c r="CR18" s="1400">
        <f t="shared" si="59"/>
        <v>36.907313029611991</v>
      </c>
      <c r="CS18" s="1400">
        <f t="shared" si="59"/>
        <v>36.855727522479896</v>
      </c>
      <c r="CT18" s="1400">
        <f t="shared" si="59"/>
        <v>36.804214116628756</v>
      </c>
      <c r="CU18" s="1400">
        <f t="shared" si="59"/>
        <v>36.752772711282311</v>
      </c>
      <c r="CV18" s="1400">
        <f t="shared" si="59"/>
        <v>36.70255674147662</v>
      </c>
      <c r="CW18" s="1400">
        <f t="shared" si="59"/>
        <v>36.652409382647399</v>
      </c>
      <c r="CX18" s="1400">
        <f t="shared" si="59"/>
        <v>36.602330541050243</v>
      </c>
      <c r="CY18" s="1400">
        <f t="shared" si="59"/>
        <v>36.552320123068824</v>
      </c>
      <c r="CZ18" s="1400">
        <f t="shared" si="59"/>
        <v>36.502378035214747</v>
      </c>
    </row>
    <row r="19" spans="1:104" ht="13" thickTop="1" x14ac:dyDescent="0.25">
      <c r="AH19" s="264"/>
    </row>
    <row r="20" spans="1:104" x14ac:dyDescent="0.25">
      <c r="E20" s="264"/>
    </row>
    <row r="21" spans="1:104" ht="13" thickBot="1" x14ac:dyDescent="0.3"/>
    <row r="22" spans="1:104" ht="13.5" thickTop="1" x14ac:dyDescent="0.3">
      <c r="A22" s="870" t="s">
        <v>1105</v>
      </c>
      <c r="B22" s="871" t="str">
        <f>"Prices are in $(" &amp; ref_year&amp;")/GJ LHV"</f>
        <v>Prices are in $(2016)/GJ LHV</v>
      </c>
      <c r="C22" s="872"/>
      <c r="D22" s="872"/>
      <c r="E22" s="872"/>
      <c r="F22" s="872"/>
      <c r="G22" s="872"/>
      <c r="H22" s="872"/>
      <c r="I22" s="872"/>
      <c r="J22" s="872"/>
      <c r="K22" s="872"/>
      <c r="L22" s="872"/>
      <c r="M22" s="872"/>
      <c r="N22" s="872"/>
      <c r="O22" s="872"/>
      <c r="P22" s="872"/>
      <c r="Q22" s="872"/>
      <c r="R22" s="872"/>
      <c r="S22" s="872"/>
      <c r="T22" s="872"/>
      <c r="U22" s="872"/>
      <c r="V22" s="872"/>
      <c r="W22" s="872"/>
      <c r="X22" s="872"/>
      <c r="Y22" s="872"/>
      <c r="Z22" s="872"/>
      <c r="AA22" s="872"/>
      <c r="AB22" s="872"/>
      <c r="AC22" s="872"/>
      <c r="AD22" s="872"/>
      <c r="AE22" s="872"/>
      <c r="AF22" s="872"/>
      <c r="AG22" s="872"/>
      <c r="AH22" s="872"/>
      <c r="AI22" s="872"/>
      <c r="AJ22" s="872"/>
      <c r="AK22" s="872"/>
      <c r="AL22" s="872"/>
      <c r="AM22" s="872"/>
      <c r="AN22" s="872"/>
      <c r="AO22" s="872"/>
      <c r="AP22" s="872"/>
      <c r="AQ22" s="872"/>
      <c r="AR22" s="872"/>
      <c r="AS22" s="885" t="s">
        <v>772</v>
      </c>
      <c r="AT22" s="886"/>
      <c r="AU22" s="886"/>
      <c r="AV22" s="886"/>
      <c r="AW22" s="886"/>
      <c r="AX22" s="886"/>
      <c r="AY22" s="886"/>
      <c r="AZ22" s="886"/>
      <c r="BA22" s="886"/>
      <c r="BB22" s="886"/>
      <c r="BC22" s="886"/>
      <c r="BD22" s="886"/>
      <c r="BE22" s="886"/>
      <c r="BF22" s="886"/>
      <c r="BG22" s="886"/>
      <c r="BH22" s="886"/>
      <c r="BI22" s="886"/>
      <c r="BJ22" s="886"/>
      <c r="BK22" s="886"/>
      <c r="BL22" s="886"/>
      <c r="BM22" s="886"/>
      <c r="BN22" s="886"/>
      <c r="BO22" s="886"/>
      <c r="BP22" s="886"/>
      <c r="BQ22" s="886"/>
      <c r="BR22" s="886"/>
      <c r="BS22" s="886"/>
      <c r="BT22" s="886"/>
      <c r="BU22" s="886"/>
      <c r="BV22" s="887"/>
    </row>
    <row r="23" spans="1:104" ht="39.5" thickBot="1" x14ac:dyDescent="0.35">
      <c r="A23" s="890" t="s">
        <v>1084</v>
      </c>
      <c r="B23" s="891" t="s">
        <v>678</v>
      </c>
      <c r="C23" s="891" t="s">
        <v>679</v>
      </c>
      <c r="D23" s="891" t="s">
        <v>690</v>
      </c>
      <c r="E23" s="891" t="s">
        <v>691</v>
      </c>
      <c r="F23" s="892" t="s">
        <v>680</v>
      </c>
      <c r="G23" s="892" t="s">
        <v>692</v>
      </c>
      <c r="H23" s="1069">
        <v>2004</v>
      </c>
      <c r="I23" s="1069">
        <v>2005</v>
      </c>
      <c r="J23" s="1069">
        <v>2006</v>
      </c>
      <c r="K23" s="1069">
        <v>2007</v>
      </c>
      <c r="L23" s="1069">
        <v>2008</v>
      </c>
      <c r="M23" s="1069">
        <v>2009</v>
      </c>
      <c r="N23" s="892">
        <v>2010</v>
      </c>
      <c r="O23" s="892">
        <v>2011</v>
      </c>
      <c r="P23" s="892">
        <v>2012</v>
      </c>
      <c r="Q23" s="892">
        <v>2013</v>
      </c>
      <c r="R23" s="892">
        <v>2014</v>
      </c>
      <c r="S23" s="892">
        <v>2015</v>
      </c>
      <c r="T23" s="892">
        <v>2016</v>
      </c>
      <c r="U23" s="892">
        <v>2017</v>
      </c>
      <c r="V23" s="892">
        <v>2018</v>
      </c>
      <c r="W23" s="892">
        <v>2019</v>
      </c>
      <c r="X23" s="892">
        <v>2020</v>
      </c>
      <c r="Y23" s="892">
        <v>2021</v>
      </c>
      <c r="Z23" s="892">
        <v>2022</v>
      </c>
      <c r="AA23" s="892">
        <v>2023</v>
      </c>
      <c r="AB23" s="892">
        <v>2024</v>
      </c>
      <c r="AC23" s="892">
        <v>2025</v>
      </c>
      <c r="AD23" s="892">
        <v>2026</v>
      </c>
      <c r="AE23" s="892">
        <v>2027</v>
      </c>
      <c r="AF23" s="892">
        <v>2028</v>
      </c>
      <c r="AG23" s="892">
        <v>2029</v>
      </c>
      <c r="AH23" s="892">
        <v>2030</v>
      </c>
      <c r="AI23" s="892">
        <v>2031</v>
      </c>
      <c r="AJ23" s="892">
        <v>2032</v>
      </c>
      <c r="AK23" s="892">
        <v>2033</v>
      </c>
      <c r="AL23" s="892">
        <v>2034</v>
      </c>
      <c r="AM23" s="892">
        <v>2035</v>
      </c>
      <c r="AN23" s="892">
        <v>2036</v>
      </c>
      <c r="AO23" s="892">
        <v>2037</v>
      </c>
      <c r="AP23" s="892">
        <v>2038</v>
      </c>
      <c r="AQ23" s="892">
        <v>2039</v>
      </c>
      <c r="AR23" s="892">
        <v>2040</v>
      </c>
      <c r="AS23" s="892">
        <v>2041</v>
      </c>
      <c r="AT23" s="892">
        <v>2042</v>
      </c>
      <c r="AU23" s="892">
        <v>2043</v>
      </c>
      <c r="AV23" s="892">
        <v>2044</v>
      </c>
      <c r="AW23" s="892">
        <v>2045</v>
      </c>
      <c r="AX23" s="892">
        <v>2046</v>
      </c>
      <c r="AY23" s="892">
        <v>2047</v>
      </c>
      <c r="AZ23" s="892">
        <v>2048</v>
      </c>
      <c r="BA23" s="892">
        <v>2049</v>
      </c>
      <c r="BB23" s="892">
        <v>2050</v>
      </c>
      <c r="BC23" s="892">
        <v>2051</v>
      </c>
      <c r="BD23" s="892">
        <v>2052</v>
      </c>
      <c r="BE23" s="892">
        <v>2053</v>
      </c>
      <c r="BF23" s="892">
        <v>2054</v>
      </c>
      <c r="BG23" s="892">
        <v>2055</v>
      </c>
      <c r="BH23" s="892">
        <v>2056</v>
      </c>
      <c r="BI23" s="892">
        <v>2057</v>
      </c>
      <c r="BJ23" s="892">
        <v>2058</v>
      </c>
      <c r="BK23" s="892">
        <v>2059</v>
      </c>
      <c r="BL23" s="892">
        <v>2060</v>
      </c>
      <c r="BM23" s="892">
        <v>2061</v>
      </c>
      <c r="BN23" s="892">
        <v>2062</v>
      </c>
      <c r="BO23" s="892">
        <v>2063</v>
      </c>
      <c r="BP23" s="892">
        <v>2064</v>
      </c>
      <c r="BQ23" s="892">
        <v>2065</v>
      </c>
      <c r="BR23" s="892">
        <v>2066</v>
      </c>
      <c r="BS23" s="892">
        <v>2067</v>
      </c>
      <c r="BT23" s="892">
        <v>2068</v>
      </c>
      <c r="BU23" s="892">
        <v>2069</v>
      </c>
      <c r="BV23" s="893">
        <v>2070</v>
      </c>
      <c r="BW23" s="1401">
        <f t="shared" ref="BW23" si="60">+BV23+1</f>
        <v>2071</v>
      </c>
      <c r="BX23" s="1401">
        <f t="shared" ref="BX23" si="61">+BW23+1</f>
        <v>2072</v>
      </c>
      <c r="BY23" s="1401">
        <f t="shared" ref="BY23" si="62">+BX23+1</f>
        <v>2073</v>
      </c>
      <c r="BZ23" s="1401">
        <f t="shared" ref="BZ23" si="63">+BY23+1</f>
        <v>2074</v>
      </c>
      <c r="CA23" s="1401">
        <f t="shared" ref="CA23" si="64">+BZ23+1</f>
        <v>2075</v>
      </c>
      <c r="CB23" s="1401">
        <f t="shared" ref="CB23" si="65">+CA23+1</f>
        <v>2076</v>
      </c>
      <c r="CC23" s="1401">
        <f t="shared" ref="CC23" si="66">+CB23+1</f>
        <v>2077</v>
      </c>
      <c r="CD23" s="1401">
        <f t="shared" ref="CD23" si="67">+CC23+1</f>
        <v>2078</v>
      </c>
      <c r="CE23" s="1401">
        <f t="shared" ref="CE23" si="68">+CD23+1</f>
        <v>2079</v>
      </c>
      <c r="CF23" s="1401">
        <f t="shared" ref="CF23" si="69">+CE23+1</f>
        <v>2080</v>
      </c>
      <c r="CG23" s="1401">
        <f t="shared" ref="CG23" si="70">+CF23+1</f>
        <v>2081</v>
      </c>
      <c r="CH23" s="1401">
        <f t="shared" ref="CH23" si="71">+CG23+1</f>
        <v>2082</v>
      </c>
      <c r="CI23" s="1401">
        <f t="shared" ref="CI23" si="72">+CH23+1</f>
        <v>2083</v>
      </c>
      <c r="CJ23" s="1401">
        <f t="shared" ref="CJ23" si="73">+CI23+1</f>
        <v>2084</v>
      </c>
      <c r="CK23" s="1401">
        <f t="shared" ref="CK23" si="74">+CJ23+1</f>
        <v>2085</v>
      </c>
      <c r="CL23" s="1401">
        <f t="shared" ref="CL23" si="75">+CK23+1</f>
        <v>2086</v>
      </c>
      <c r="CM23" s="1401">
        <f t="shared" ref="CM23" si="76">+CL23+1</f>
        <v>2087</v>
      </c>
      <c r="CN23" s="1401">
        <f t="shared" ref="CN23" si="77">+CM23+1</f>
        <v>2088</v>
      </c>
      <c r="CO23" s="1401">
        <f t="shared" ref="CO23" si="78">+CN23+1</f>
        <v>2089</v>
      </c>
      <c r="CP23" s="1401">
        <f t="shared" ref="CP23" si="79">+CO23+1</f>
        <v>2090</v>
      </c>
      <c r="CQ23" s="1401">
        <f t="shared" ref="CQ23" si="80">+CP23+1</f>
        <v>2091</v>
      </c>
      <c r="CR23" s="1401">
        <f t="shared" ref="CR23" si="81">+CQ23+1</f>
        <v>2092</v>
      </c>
      <c r="CS23" s="1401">
        <f t="shared" ref="CS23" si="82">+CR23+1</f>
        <v>2093</v>
      </c>
      <c r="CT23" s="1401">
        <f t="shared" ref="CT23" si="83">+CS23+1</f>
        <v>2094</v>
      </c>
      <c r="CU23" s="1401">
        <f t="shared" ref="CU23" si="84">+CT23+1</f>
        <v>2095</v>
      </c>
      <c r="CV23" s="1401">
        <f t="shared" ref="CV23" si="85">+CU23+1</f>
        <v>2096</v>
      </c>
      <c r="CW23" s="1401">
        <f t="shared" ref="CW23" si="86">+CV23+1</f>
        <v>2097</v>
      </c>
      <c r="CX23" s="1401">
        <f t="shared" ref="CX23" si="87">+CW23+1</f>
        <v>2098</v>
      </c>
      <c r="CY23" s="1401">
        <f t="shared" ref="CY23" si="88">+CX23+1</f>
        <v>2099</v>
      </c>
      <c r="CZ23" s="1401">
        <f t="shared" ref="CZ23" si="89">+CY23+1</f>
        <v>2100</v>
      </c>
    </row>
    <row r="24" spans="1:104" ht="13" thickBot="1" x14ac:dyDescent="0.3">
      <c r="A24" s="961" t="s">
        <v>1090</v>
      </c>
      <c r="B24" s="962"/>
      <c r="C24" s="962"/>
      <c r="D24" s="962"/>
      <c r="E24" s="962"/>
      <c r="F24" s="874"/>
      <c r="G24" s="962"/>
      <c r="H24" s="962"/>
      <c r="I24" s="962"/>
      <c r="J24" s="962"/>
      <c r="K24" s="962"/>
      <c r="L24" s="962"/>
      <c r="M24" s="962"/>
      <c r="N24" s="962"/>
      <c r="O24" s="962"/>
      <c r="P24" s="962"/>
      <c r="Q24" s="962"/>
      <c r="R24" s="962"/>
      <c r="S24" s="962"/>
      <c r="T24" s="962"/>
      <c r="U24" s="962"/>
      <c r="V24" s="962"/>
      <c r="W24" s="962"/>
      <c r="X24" s="962"/>
      <c r="Y24" s="962"/>
      <c r="Z24" s="962"/>
      <c r="AA24" s="962"/>
      <c r="AB24" s="962"/>
      <c r="AC24" s="962"/>
      <c r="AD24" s="962"/>
      <c r="AE24" s="962"/>
      <c r="AF24" s="962"/>
      <c r="AG24" s="962"/>
      <c r="AH24" s="962"/>
      <c r="AI24" s="962"/>
      <c r="AJ24" s="962"/>
      <c r="AK24" s="962"/>
      <c r="AL24" s="962"/>
      <c r="AM24" s="962"/>
      <c r="AN24" s="962"/>
      <c r="AO24" s="962"/>
      <c r="AP24" s="962"/>
      <c r="AQ24" s="962"/>
      <c r="AR24" s="962"/>
      <c r="AS24" s="962"/>
      <c r="AT24" s="962"/>
      <c r="AU24" s="962"/>
      <c r="AV24" s="962"/>
      <c r="AW24" s="962"/>
      <c r="AX24" s="962"/>
      <c r="AY24" s="962"/>
      <c r="AZ24" s="962"/>
      <c r="BA24" s="962"/>
      <c r="BC24" s="962"/>
      <c r="BD24" s="962"/>
      <c r="BE24" s="962"/>
      <c r="BF24" s="962"/>
      <c r="BG24" s="962"/>
      <c r="BH24" s="962"/>
      <c r="BI24" s="962"/>
      <c r="BJ24" s="962"/>
      <c r="BK24" s="962"/>
      <c r="BL24" s="962"/>
      <c r="BM24" s="962"/>
      <c r="BN24" s="962"/>
      <c r="BO24" s="962"/>
      <c r="BP24" s="962"/>
      <c r="BR24" s="962"/>
      <c r="BS24" s="962"/>
      <c r="BT24" s="962"/>
      <c r="BU24" s="962"/>
    </row>
    <row r="25" spans="1:104" ht="13" x14ac:dyDescent="0.3">
      <c r="A25" s="981" t="str">
        <f>'HyARC Physical Property Data'!A73</f>
        <v>Residential Natural Gas</v>
      </c>
      <c r="B25" s="962">
        <v>2011</v>
      </c>
      <c r="C25" s="963">
        <f>VLOOKUP(ref_year,DeflatorTable,2,FALSE)/VLOOKUP(B25,DeflatorTable,2,FALSE)</f>
        <v>1.0784554773635862</v>
      </c>
      <c r="D25" s="1248" t="str">
        <f>'HyARC Physical Property Data'!H73</f>
        <v>mmBtu</v>
      </c>
      <c r="E25" s="963" t="s">
        <v>1058</v>
      </c>
      <c r="F25" s="962">
        <f>'HyARC Physical Property Data'!$E$6</f>
        <v>47.141269049911173</v>
      </c>
      <c r="G25" s="962">
        <f>'HyARC Physical Property Data'!$I$6</f>
        <v>52.224661236371581</v>
      </c>
      <c r="H25" s="1070">
        <v>14.386141835345208</v>
      </c>
      <c r="I25" s="1070">
        <v>14.386141835345208</v>
      </c>
      <c r="J25" s="1070">
        <v>14.386141835345208</v>
      </c>
      <c r="K25" s="1070">
        <v>13.326716630976858</v>
      </c>
      <c r="L25" s="1070">
        <v>13.627764477872551</v>
      </c>
      <c r="M25" s="1070">
        <v>11.254339733155913</v>
      </c>
      <c r="N25" s="962">
        <f t="shared" ref="N25:AR25" si="90">((N42/(mmBTU_to_GJ))*($C25))*($G25/$F25)</f>
        <v>12.864072624231563</v>
      </c>
      <c r="O25" s="962">
        <f t="shared" si="90"/>
        <v>12.23325661230241</v>
      </c>
      <c r="P25" s="962">
        <f t="shared" si="90"/>
        <v>11.850527062684614</v>
      </c>
      <c r="Q25" s="962">
        <f t="shared" si="90"/>
        <v>11.865842495866545</v>
      </c>
      <c r="R25" s="962">
        <f t="shared" si="90"/>
        <v>11.611695090166418</v>
      </c>
      <c r="S25" s="962">
        <f t="shared" si="90"/>
        <v>11.50138750593943</v>
      </c>
      <c r="T25" s="962">
        <f t="shared" si="90"/>
        <v>12.075204376866452</v>
      </c>
      <c r="U25" s="962">
        <f t="shared" si="90"/>
        <v>12.446344297440779</v>
      </c>
      <c r="V25" s="962">
        <f t="shared" si="90"/>
        <v>12.907270435435697</v>
      </c>
      <c r="W25" s="962">
        <f t="shared" si="90"/>
        <v>13.164777859640022</v>
      </c>
      <c r="X25" s="962">
        <f t="shared" si="90"/>
        <v>13.336162585082695</v>
      </c>
      <c r="Y25" s="962">
        <f t="shared" si="90"/>
        <v>13.544264034469807</v>
      </c>
      <c r="Z25" s="962">
        <f t="shared" si="90"/>
        <v>13.819651921148951</v>
      </c>
      <c r="AA25" s="962">
        <f t="shared" si="90"/>
        <v>14.079086797828554</v>
      </c>
      <c r="AB25" s="962">
        <f t="shared" si="90"/>
        <v>14.2515190517904</v>
      </c>
      <c r="AC25" s="962">
        <f t="shared" si="90"/>
        <v>14.353207458115314</v>
      </c>
      <c r="AD25" s="962">
        <f t="shared" si="90"/>
        <v>14.54298904928118</v>
      </c>
      <c r="AE25" s="962">
        <f t="shared" si="90"/>
        <v>14.646583391279357</v>
      </c>
      <c r="AF25" s="962">
        <f t="shared" si="90"/>
        <v>14.81893750527599</v>
      </c>
      <c r="AG25" s="962">
        <f t="shared" si="90"/>
        <v>14.987454833734297</v>
      </c>
      <c r="AH25" s="962">
        <f t="shared" si="90"/>
        <v>15.139899111087075</v>
      </c>
      <c r="AI25" s="962">
        <f t="shared" si="90"/>
        <v>15.341580626230741</v>
      </c>
      <c r="AJ25" s="962">
        <f t="shared" si="90"/>
        <v>15.539442342785032</v>
      </c>
      <c r="AK25" s="962">
        <f t="shared" si="90"/>
        <v>15.781889138041823</v>
      </c>
      <c r="AL25" s="962">
        <f t="shared" si="90"/>
        <v>16.136390908341905</v>
      </c>
      <c r="AM25" s="962">
        <f t="shared" si="90"/>
        <v>16.532635274551915</v>
      </c>
      <c r="AN25" s="962">
        <f t="shared" si="90"/>
        <v>17.01379173629439</v>
      </c>
      <c r="AO25" s="962">
        <f t="shared" si="90"/>
        <v>17.457934768717273</v>
      </c>
      <c r="AP25" s="962">
        <f t="shared" si="90"/>
        <v>17.940794455208763</v>
      </c>
      <c r="AQ25" s="962">
        <f t="shared" si="90"/>
        <v>18.182559507580642</v>
      </c>
      <c r="AR25" s="962">
        <f t="shared" si="90"/>
        <v>18.530579058157759</v>
      </c>
      <c r="AS25" s="962">
        <f>($BB25-$AR25)/10+AR25</f>
        <v>18.537819201300856</v>
      </c>
      <c r="AT25" s="962">
        <f t="shared" ref="AT25:BA25" si="91">($BB25-$AR25)/10+AS25</f>
        <v>18.545059344443953</v>
      </c>
      <c r="AU25" s="962">
        <f t="shared" si="91"/>
        <v>18.552299487587049</v>
      </c>
      <c r="AV25" s="962">
        <f t="shared" si="91"/>
        <v>18.559539630730146</v>
      </c>
      <c r="AW25" s="962">
        <f t="shared" si="91"/>
        <v>18.566779773873243</v>
      </c>
      <c r="AX25" s="962">
        <f t="shared" si="91"/>
        <v>18.57401991701634</v>
      </c>
      <c r="AY25" s="962">
        <f t="shared" si="91"/>
        <v>18.581260060159437</v>
      </c>
      <c r="AZ25" s="962">
        <f t="shared" si="91"/>
        <v>18.588500203302534</v>
      </c>
      <c r="BA25" s="962">
        <f t="shared" si="91"/>
        <v>18.595740346445631</v>
      </c>
      <c r="BB25" s="964">
        <f>'AEO Data'!$B$30*AM25</f>
        <v>18.602980489588727</v>
      </c>
      <c r="BC25" s="962">
        <f>($BQ25-$BB25)/15+BB25</f>
        <v>18.754563729723429</v>
      </c>
      <c r="BD25" s="962">
        <f t="shared" ref="BD25:BP25" si="92">($BQ25-$BB25)/15+BC25</f>
        <v>18.906146969858131</v>
      </c>
      <c r="BE25" s="962">
        <f t="shared" si="92"/>
        <v>19.057730209992833</v>
      </c>
      <c r="BF25" s="962">
        <f t="shared" si="92"/>
        <v>19.209313450127535</v>
      </c>
      <c r="BG25" s="962">
        <f t="shared" si="92"/>
        <v>19.360896690262237</v>
      </c>
      <c r="BH25" s="962">
        <f t="shared" si="92"/>
        <v>19.512479930396939</v>
      </c>
      <c r="BI25" s="962">
        <f t="shared" si="92"/>
        <v>19.664063170531641</v>
      </c>
      <c r="BJ25" s="962">
        <f t="shared" si="92"/>
        <v>19.815646410666343</v>
      </c>
      <c r="BK25" s="962">
        <f t="shared" si="92"/>
        <v>19.967229650801045</v>
      </c>
      <c r="BL25" s="962">
        <f t="shared" si="92"/>
        <v>20.118812890935747</v>
      </c>
      <c r="BM25" s="962">
        <f t="shared" si="92"/>
        <v>20.270396131070449</v>
      </c>
      <c r="BN25" s="962">
        <f t="shared" si="92"/>
        <v>20.42197937120515</v>
      </c>
      <c r="BO25" s="962">
        <f t="shared" si="92"/>
        <v>20.573562611339852</v>
      </c>
      <c r="BP25" s="962">
        <f t="shared" si="92"/>
        <v>20.725145851474554</v>
      </c>
      <c r="BQ25" s="964">
        <f>'AEO Data'!$C$30*BB25</f>
        <v>20.876729091609249</v>
      </c>
      <c r="BR25" s="962">
        <f>($BV25-$BQ25)/5+BQ25</f>
        <v>20.996057748553792</v>
      </c>
      <c r="BS25" s="962">
        <f>($BV25-$BQ25)/5+BR25</f>
        <v>21.115386405498334</v>
      </c>
      <c r="BT25" s="962">
        <f>($BV25-$BQ25)/5+BS25</f>
        <v>21.234715062442877</v>
      </c>
      <c r="BU25" s="962">
        <f>($BV25-$BQ25)/5+BT25</f>
        <v>21.35404371938742</v>
      </c>
      <c r="BV25" s="965">
        <f>'AEO Data'!$D$30*BQ25</f>
        <v>21.473372376331962</v>
      </c>
      <c r="BW25" s="1400">
        <f>+BV25*BW$133/BV$133</f>
        <v>21.544670286660121</v>
      </c>
      <c r="BX25" s="1400">
        <f t="shared" ref="BX25:CZ25" si="93">+BW25*BX$133/BW$133</f>
        <v>21.616204927015033</v>
      </c>
      <c r="BY25" s="1400">
        <f t="shared" si="93"/>
        <v>21.687977083409997</v>
      </c>
      <c r="BZ25" s="1400">
        <f t="shared" si="93"/>
        <v>21.759987544468107</v>
      </c>
      <c r="CA25" s="1400">
        <f t="shared" si="93"/>
        <v>21.832237101430913</v>
      </c>
      <c r="CB25" s="1400">
        <f t="shared" si="93"/>
        <v>21.878825528741867</v>
      </c>
      <c r="CC25" s="1400">
        <f t="shared" si="93"/>
        <v>21.925513372413558</v>
      </c>
      <c r="CD25" s="1400">
        <f t="shared" si="93"/>
        <v>21.972300844593363</v>
      </c>
      <c r="CE25" s="1400">
        <f t="shared" si="93"/>
        <v>22.01918815788137</v>
      </c>
      <c r="CF25" s="1400">
        <f t="shared" si="93"/>
        <v>22.066175525331335</v>
      </c>
      <c r="CG25" s="1400">
        <f t="shared" si="93"/>
        <v>22.081432025482624</v>
      </c>
      <c r="CH25" s="1400">
        <f t="shared" si="93"/>
        <v>22.096699073941053</v>
      </c>
      <c r="CI25" s="1400">
        <f t="shared" si="93"/>
        <v>22.111976677999699</v>
      </c>
      <c r="CJ25" s="1400">
        <f t="shared" si="93"/>
        <v>22.127264844956677</v>
      </c>
      <c r="CK25" s="1400">
        <f t="shared" si="93"/>
        <v>22.142563582115145</v>
      </c>
      <c r="CL25" s="1400">
        <f t="shared" si="93"/>
        <v>22.147749174896123</v>
      </c>
      <c r="CM25" s="1400">
        <f t="shared" si="93"/>
        <v>22.152935982097123</v>
      </c>
      <c r="CN25" s="1400">
        <f t="shared" si="93"/>
        <v>22.158124004002548</v>
      </c>
      <c r="CO25" s="1400">
        <f t="shared" si="93"/>
        <v>22.163313240896873</v>
      </c>
      <c r="CP25" s="1400">
        <f t="shared" si="93"/>
        <v>22.16850369306464</v>
      </c>
      <c r="CQ25" s="1400">
        <f t="shared" si="93"/>
        <v>22.176370321670593</v>
      </c>
      <c r="CR25" s="1400">
        <f t="shared" si="93"/>
        <v>22.184239741797636</v>
      </c>
      <c r="CS25" s="1400">
        <f t="shared" si="93"/>
        <v>22.19211195443636</v>
      </c>
      <c r="CT25" s="1400">
        <f t="shared" si="93"/>
        <v>22.199986960577704</v>
      </c>
      <c r="CU25" s="1400">
        <f t="shared" si="93"/>
        <v>22.207864761212956</v>
      </c>
      <c r="CV25" s="1400">
        <f t="shared" si="93"/>
        <v>22.219988729743012</v>
      </c>
      <c r="CW25" s="1400">
        <f t="shared" si="93"/>
        <v>22.232119317126994</v>
      </c>
      <c r="CX25" s="1400">
        <f t="shared" si="93"/>
        <v>22.244256526978344</v>
      </c>
      <c r="CY25" s="1400">
        <f t="shared" si="93"/>
        <v>22.256400362912476</v>
      </c>
      <c r="CZ25" s="1400">
        <f t="shared" si="93"/>
        <v>22.268550828546775</v>
      </c>
    </row>
    <row r="26" spans="1:104" ht="13" x14ac:dyDescent="0.3">
      <c r="A26" s="878" t="str">
        <f>'HyARC Physical Property Data'!A71</f>
        <v>Commercial Natural Gas</v>
      </c>
      <c r="B26" s="264">
        <v>2011</v>
      </c>
      <c r="C26" s="877">
        <f>VLOOKUP(ref_year,DeflatorTable,2,FALSE)/VLOOKUP(B26,DeflatorTable,2,FALSE)</f>
        <v>1.0784554773635862</v>
      </c>
      <c r="D26" s="1249" t="str">
        <f>'HyARC Physical Property Data'!H71</f>
        <v>mmBtu</v>
      </c>
      <c r="E26" s="877" t="s">
        <v>1058</v>
      </c>
      <c r="F26" s="264">
        <f>'HyARC Physical Property Data'!$E$6</f>
        <v>47.141269049911173</v>
      </c>
      <c r="G26" s="264">
        <f>'HyARC Physical Property Data'!$I$6</f>
        <v>52.224661236371581</v>
      </c>
      <c r="H26" s="1071">
        <v>12.491836786393147</v>
      </c>
      <c r="I26" s="1071">
        <v>12.491836786393147</v>
      </c>
      <c r="J26" s="1071">
        <v>12.491836786393147</v>
      </c>
      <c r="K26" s="1071">
        <v>11.540201846875071</v>
      </c>
      <c r="L26" s="1071">
        <v>11.906633267965836</v>
      </c>
      <c r="M26" s="1071">
        <v>9.3536765847618941</v>
      </c>
      <c r="N26" s="264">
        <f t="shared" ref="N26:AR26" si="94">((N43/(mmBTU_to_GJ))*($C26))*($G26/$F26)</f>
        <v>10.64172897994356</v>
      </c>
      <c r="O26" s="264">
        <f t="shared" si="94"/>
        <v>10.007420451308324</v>
      </c>
      <c r="P26" s="264">
        <f t="shared" si="94"/>
        <v>9.1421449075231607</v>
      </c>
      <c r="Q26" s="264">
        <f t="shared" si="94"/>
        <v>9.5837353677490551</v>
      </c>
      <c r="R26" s="264">
        <f t="shared" si="94"/>
        <v>9.3261316841672954</v>
      </c>
      <c r="S26" s="264">
        <f t="shared" si="94"/>
        <v>9.1778922429136323</v>
      </c>
      <c r="T26" s="264">
        <f t="shared" si="94"/>
        <v>9.6950621689136156</v>
      </c>
      <c r="U26" s="264">
        <f t="shared" si="94"/>
        <v>9.9937516197122047</v>
      </c>
      <c r="V26" s="264">
        <f t="shared" si="94"/>
        <v>10.387270146845841</v>
      </c>
      <c r="W26" s="264">
        <f t="shared" si="94"/>
        <v>10.589454475678709</v>
      </c>
      <c r="X26" s="264">
        <f t="shared" si="94"/>
        <v>10.722185964995566</v>
      </c>
      <c r="Y26" s="264">
        <f t="shared" si="94"/>
        <v>10.884038747145405</v>
      </c>
      <c r="Z26" s="264">
        <f t="shared" si="94"/>
        <v>11.119862897234498</v>
      </c>
      <c r="AA26" s="264">
        <f t="shared" si="94"/>
        <v>11.337766948634531</v>
      </c>
      <c r="AB26" s="264">
        <f t="shared" si="94"/>
        <v>11.475270638145757</v>
      </c>
      <c r="AC26" s="264">
        <f t="shared" si="94"/>
        <v>11.543938680619837</v>
      </c>
      <c r="AD26" s="264">
        <f t="shared" si="94"/>
        <v>11.704619363291469</v>
      </c>
      <c r="AE26" s="264">
        <f t="shared" si="94"/>
        <v>11.764049902921345</v>
      </c>
      <c r="AF26" s="264">
        <f t="shared" si="94"/>
        <v>11.890869934000278</v>
      </c>
      <c r="AG26" s="264">
        <f t="shared" si="94"/>
        <v>12.010138700035061</v>
      </c>
      <c r="AH26" s="264">
        <f t="shared" si="94"/>
        <v>12.114209809067368</v>
      </c>
      <c r="AI26" s="264">
        <f t="shared" si="94"/>
        <v>12.267307517723458</v>
      </c>
      <c r="AJ26" s="264">
        <f t="shared" si="94"/>
        <v>12.405684336411204</v>
      </c>
      <c r="AK26" s="264">
        <f t="shared" si="94"/>
        <v>12.591270151184064</v>
      </c>
      <c r="AL26" s="264">
        <f t="shared" si="94"/>
        <v>12.891290246317817</v>
      </c>
      <c r="AM26" s="264">
        <f t="shared" si="94"/>
        <v>13.22904741479684</v>
      </c>
      <c r="AN26" s="264">
        <f t="shared" si="94"/>
        <v>13.658744745824521</v>
      </c>
      <c r="AO26" s="264">
        <f t="shared" si="94"/>
        <v>14.044020072859722</v>
      </c>
      <c r="AP26" s="264">
        <f t="shared" si="94"/>
        <v>14.474602990159831</v>
      </c>
      <c r="AQ26" s="264">
        <f t="shared" si="94"/>
        <v>14.664146764040265</v>
      </c>
      <c r="AR26" s="264">
        <f t="shared" si="94"/>
        <v>14.963148774699713</v>
      </c>
      <c r="AS26" s="264">
        <f t="shared" ref="AS26:BA26" si="95">($BB26-$AR26)/10+AR26</f>
        <v>14.955403062800835</v>
      </c>
      <c r="AT26" s="264">
        <f t="shared" si="95"/>
        <v>14.947657350901958</v>
      </c>
      <c r="AU26" s="264">
        <f t="shared" si="95"/>
        <v>14.93991163900308</v>
      </c>
      <c r="AV26" s="264">
        <f t="shared" si="95"/>
        <v>14.932165927104203</v>
      </c>
      <c r="AW26" s="264">
        <f t="shared" si="95"/>
        <v>14.924420215205325</v>
      </c>
      <c r="AX26" s="264">
        <f t="shared" si="95"/>
        <v>14.916674503306448</v>
      </c>
      <c r="AY26" s="264">
        <f t="shared" si="95"/>
        <v>14.90892879140757</v>
      </c>
      <c r="AZ26" s="264">
        <f t="shared" si="95"/>
        <v>14.901183079508693</v>
      </c>
      <c r="BA26" s="264">
        <f t="shared" si="95"/>
        <v>14.893437367609815</v>
      </c>
      <c r="BB26" s="942">
        <f>'AEO Data'!$B$30*AM26</f>
        <v>14.885691655710941</v>
      </c>
      <c r="BC26" s="264">
        <f t="shared" ref="BC26:BP28" si="96">($BQ26-$BB26)/15+BB26</f>
        <v>15.006985196500363</v>
      </c>
      <c r="BD26" s="264">
        <f t="shared" si="96"/>
        <v>15.128278737289785</v>
      </c>
      <c r="BE26" s="264">
        <f t="shared" si="96"/>
        <v>15.249572278079206</v>
      </c>
      <c r="BF26" s="264">
        <f t="shared" si="96"/>
        <v>15.370865818868628</v>
      </c>
      <c r="BG26" s="264">
        <f t="shared" si="96"/>
        <v>15.49215935965805</v>
      </c>
      <c r="BH26" s="264">
        <f t="shared" si="96"/>
        <v>15.613452900447472</v>
      </c>
      <c r="BI26" s="264">
        <f t="shared" si="96"/>
        <v>15.734746441236894</v>
      </c>
      <c r="BJ26" s="264">
        <f t="shared" si="96"/>
        <v>15.856039982026315</v>
      </c>
      <c r="BK26" s="264">
        <f t="shared" si="96"/>
        <v>15.977333522815737</v>
      </c>
      <c r="BL26" s="264">
        <f t="shared" si="96"/>
        <v>16.098627063605161</v>
      </c>
      <c r="BM26" s="264">
        <f t="shared" si="96"/>
        <v>16.219920604394584</v>
      </c>
      <c r="BN26" s="264">
        <f t="shared" si="96"/>
        <v>16.341214145184008</v>
      </c>
      <c r="BO26" s="264">
        <f t="shared" si="96"/>
        <v>16.462507685973431</v>
      </c>
      <c r="BP26" s="264">
        <f t="shared" si="96"/>
        <v>16.583801226762855</v>
      </c>
      <c r="BQ26" s="942">
        <f>'AEO Data'!$C$30*BB26</f>
        <v>16.705094767552271</v>
      </c>
      <c r="BR26" s="264">
        <f t="shared" ref="BR26:BU28" si="97">($BV26-$BQ26)/5+BQ26</f>
        <v>16.800578907524393</v>
      </c>
      <c r="BS26" s="264">
        <f t="shared" si="97"/>
        <v>16.896063047496515</v>
      </c>
      <c r="BT26" s="264">
        <f t="shared" si="97"/>
        <v>16.991547187468637</v>
      </c>
      <c r="BU26" s="264">
        <f t="shared" si="97"/>
        <v>17.087031327440759</v>
      </c>
      <c r="BV26" s="966">
        <f>'AEO Data'!$D$30*BQ26</f>
        <v>17.182515467412887</v>
      </c>
      <c r="BW26" s="1400">
        <f>+BV26*BW$134/BV$134</f>
        <v>17.239566471118206</v>
      </c>
      <c r="BX26" s="1400">
        <f t="shared" ref="BX26:CZ26" si="98">+BW26*BX$134/BW$134</f>
        <v>17.296806900931124</v>
      </c>
      <c r="BY26" s="1400">
        <f t="shared" si="98"/>
        <v>17.354237385802019</v>
      </c>
      <c r="BZ26" s="1400">
        <f t="shared" si="98"/>
        <v>17.41185855676957</v>
      </c>
      <c r="CA26" s="1400">
        <f t="shared" si="98"/>
        <v>17.469671046967683</v>
      </c>
      <c r="CB26" s="1400">
        <f t="shared" si="98"/>
        <v>17.506950071372589</v>
      </c>
      <c r="CC26" s="1400">
        <f t="shared" si="98"/>
        <v>17.544308646540465</v>
      </c>
      <c r="CD26" s="1400">
        <f t="shared" si="98"/>
        <v>17.581746942226928</v>
      </c>
      <c r="CE26" s="1400">
        <f t="shared" si="98"/>
        <v>17.619265128549845</v>
      </c>
      <c r="CF26" s="1400">
        <f t="shared" si="98"/>
        <v>17.656863375990099</v>
      </c>
      <c r="CG26" s="1400">
        <f t="shared" si="98"/>
        <v>17.669071288433191</v>
      </c>
      <c r="CH26" s="1400">
        <f t="shared" si="98"/>
        <v>17.681287641397287</v>
      </c>
      <c r="CI26" s="1400">
        <f t="shared" si="98"/>
        <v>17.693512440718141</v>
      </c>
      <c r="CJ26" s="1400">
        <f t="shared" si="98"/>
        <v>17.705745692235549</v>
      </c>
      <c r="CK26" s="1400">
        <f t="shared" si="98"/>
        <v>17.717987401793337</v>
      </c>
      <c r="CL26" s="1400">
        <f t="shared" si="98"/>
        <v>17.722136797920101</v>
      </c>
      <c r="CM26" s="1400">
        <f t="shared" si="98"/>
        <v>17.726287165798784</v>
      </c>
      <c r="CN26" s="1400">
        <f t="shared" si="98"/>
        <v>17.730438505656959</v>
      </c>
      <c r="CO26" s="1400">
        <f t="shared" si="98"/>
        <v>17.734590817722253</v>
      </c>
      <c r="CP26" s="1400">
        <f t="shared" si="98"/>
        <v>17.738744102222352</v>
      </c>
      <c r="CQ26" s="1400">
        <f t="shared" si="98"/>
        <v>17.745038803647411</v>
      </c>
      <c r="CR26" s="1400">
        <f t="shared" si="98"/>
        <v>17.751335738785624</v>
      </c>
      <c r="CS26" s="1400">
        <f t="shared" si="98"/>
        <v>17.75763490842964</v>
      </c>
      <c r="CT26" s="1400">
        <f t="shared" si="98"/>
        <v>17.763936313372383</v>
      </c>
      <c r="CU26" s="1400">
        <f t="shared" si="98"/>
        <v>17.770239954407064</v>
      </c>
      <c r="CV26" s="1400">
        <f t="shared" si="98"/>
        <v>17.779941284647286</v>
      </c>
      <c r="CW26" s="1400">
        <f t="shared" si="98"/>
        <v>17.789647911147362</v>
      </c>
      <c r="CX26" s="1400">
        <f t="shared" si="98"/>
        <v>17.799359836798683</v>
      </c>
      <c r="CY26" s="1400">
        <f t="shared" si="98"/>
        <v>17.809077064494225</v>
      </c>
      <c r="CZ26" s="1400">
        <f t="shared" si="98"/>
        <v>17.818799597128535</v>
      </c>
    </row>
    <row r="27" spans="1:104" ht="13" x14ac:dyDescent="0.3">
      <c r="A27" s="878" t="str">
        <f>'HyARC Physical Property Data'!A72</f>
        <v>Industrial Natural Gas</v>
      </c>
      <c r="B27" s="264">
        <v>2011</v>
      </c>
      <c r="C27" s="877">
        <f t="shared" ref="C27:C35" si="99">VLOOKUP(ref_year,DeflatorTable,2,FALSE)/VLOOKUP(B27,DeflatorTable,2,FALSE)</f>
        <v>1.0784554773635862</v>
      </c>
      <c r="D27" s="1249" t="str">
        <f>'HyARC Physical Property Data'!H72</f>
        <v>mmBtu</v>
      </c>
      <c r="E27" s="877" t="s">
        <v>1058</v>
      </c>
      <c r="F27" s="264">
        <f>'HyARC Physical Property Data'!$E$6</f>
        <v>47.141269049911173</v>
      </c>
      <c r="G27" s="264">
        <f>'HyARC Physical Property Data'!$I$6</f>
        <v>52.224661236371581</v>
      </c>
      <c r="H27" s="1071">
        <v>8.3524006010892204</v>
      </c>
      <c r="I27" s="1071">
        <v>8.3524006010892204</v>
      </c>
      <c r="J27" s="1071">
        <v>8.3524006010892204</v>
      </c>
      <c r="K27" s="1071">
        <v>7.891606632326889</v>
      </c>
      <c r="L27" s="1071">
        <v>9.2420298006250725</v>
      </c>
      <c r="M27" s="1071">
        <v>5.091378564817072</v>
      </c>
      <c r="N27" s="264">
        <f t="shared" ref="N27:AR27" si="100">((N44/(mmBTU_to_GJ))*($C27))*($G27/$F27)</f>
        <v>6.2103832410803772</v>
      </c>
      <c r="O27" s="264">
        <f t="shared" si="100"/>
        <v>5.5375335901824529</v>
      </c>
      <c r="P27" s="264">
        <f t="shared" si="100"/>
        <v>4.2577062790619404</v>
      </c>
      <c r="Q27" s="264">
        <f t="shared" si="100"/>
        <v>4.9080821964863821</v>
      </c>
      <c r="R27" s="264">
        <f t="shared" si="100"/>
        <v>4.9545856679580433</v>
      </c>
      <c r="S27" s="264">
        <f t="shared" si="100"/>
        <v>5.0083584211211258</v>
      </c>
      <c r="T27" s="264">
        <f t="shared" si="100"/>
        <v>5.5106070111550416</v>
      </c>
      <c r="U27" s="264">
        <f t="shared" si="100"/>
        <v>5.7392570064668833</v>
      </c>
      <c r="V27" s="264">
        <f t="shared" si="100"/>
        <v>6.0261280706426819</v>
      </c>
      <c r="W27" s="264">
        <f t="shared" si="100"/>
        <v>6.171696031056638</v>
      </c>
      <c r="X27" s="264">
        <f t="shared" si="100"/>
        <v>6.2618559613543372</v>
      </c>
      <c r="Y27" s="264">
        <f t="shared" si="100"/>
        <v>6.3878674136627964</v>
      </c>
      <c r="Z27" s="264">
        <f t="shared" si="100"/>
        <v>6.5997410981821893</v>
      </c>
      <c r="AA27" s="264">
        <f t="shared" si="100"/>
        <v>6.8069026030602018</v>
      </c>
      <c r="AB27" s="264">
        <f t="shared" si="100"/>
        <v>6.91936073502547</v>
      </c>
      <c r="AC27" s="264">
        <f t="shared" si="100"/>
        <v>6.9660068968683904</v>
      </c>
      <c r="AD27" s="264">
        <f t="shared" si="100"/>
        <v>7.0844183882123479</v>
      </c>
      <c r="AE27" s="264">
        <f t="shared" si="100"/>
        <v>7.1287611197763514</v>
      </c>
      <c r="AF27" s="264">
        <f t="shared" si="100"/>
        <v>7.2441206226239103</v>
      </c>
      <c r="AG27" s="264">
        <f t="shared" si="100"/>
        <v>7.3454421108512973</v>
      </c>
      <c r="AH27" s="264">
        <f t="shared" si="100"/>
        <v>7.4306384546630166</v>
      </c>
      <c r="AI27" s="264">
        <f t="shared" si="100"/>
        <v>7.5610393345826239</v>
      </c>
      <c r="AJ27" s="264">
        <f t="shared" si="100"/>
        <v>7.6680605104175692</v>
      </c>
      <c r="AK27" s="264">
        <f t="shared" si="100"/>
        <v>7.8321068739097237</v>
      </c>
      <c r="AL27" s="264">
        <f t="shared" si="100"/>
        <v>8.1183505534372813</v>
      </c>
      <c r="AM27" s="264">
        <f t="shared" si="100"/>
        <v>8.4316589725104603</v>
      </c>
      <c r="AN27" s="264">
        <f t="shared" si="100"/>
        <v>8.8481676363659503</v>
      </c>
      <c r="AO27" s="264">
        <f t="shared" si="100"/>
        <v>9.2337204169008231</v>
      </c>
      <c r="AP27" s="264">
        <f t="shared" si="100"/>
        <v>9.6247135509558071</v>
      </c>
      <c r="AQ27" s="264">
        <f t="shared" si="100"/>
        <v>9.783781605939545</v>
      </c>
      <c r="AR27" s="264">
        <f t="shared" si="100"/>
        <v>10.057511566400239</v>
      </c>
      <c r="AS27" s="264">
        <f t="shared" ref="AS27:BA27" si="101">($BB27-$AR27)/10+AR27</f>
        <v>10.000514100600522</v>
      </c>
      <c r="AT27" s="264">
        <f t="shared" si="101"/>
        <v>9.9435166348008064</v>
      </c>
      <c r="AU27" s="264">
        <f t="shared" si="101"/>
        <v>9.8865191690010903</v>
      </c>
      <c r="AV27" s="264">
        <f t="shared" si="101"/>
        <v>9.8295217032013742</v>
      </c>
      <c r="AW27" s="264">
        <f t="shared" si="101"/>
        <v>9.7725242374016581</v>
      </c>
      <c r="AX27" s="264">
        <f t="shared" si="101"/>
        <v>9.715526771601942</v>
      </c>
      <c r="AY27" s="264">
        <f t="shared" si="101"/>
        <v>9.6585293058022259</v>
      </c>
      <c r="AZ27" s="264">
        <f t="shared" si="101"/>
        <v>9.6015318400025098</v>
      </c>
      <c r="BA27" s="264">
        <f t="shared" si="101"/>
        <v>9.5445343742027937</v>
      </c>
      <c r="BB27" s="942">
        <f>'AEO Data'!$B$30*AM27</f>
        <v>9.4875369084030705</v>
      </c>
      <c r="BC27" s="264">
        <f t="shared" si="96"/>
        <v>9.5648444982421381</v>
      </c>
      <c r="BD27" s="264">
        <f t="shared" si="96"/>
        <v>9.6421520880812057</v>
      </c>
      <c r="BE27" s="264">
        <f t="shared" si="96"/>
        <v>9.7194596779202733</v>
      </c>
      <c r="BF27" s="264">
        <f t="shared" si="96"/>
        <v>9.7967672677593409</v>
      </c>
      <c r="BG27" s="264">
        <f t="shared" si="96"/>
        <v>9.8740748575984085</v>
      </c>
      <c r="BH27" s="264">
        <f t="shared" si="96"/>
        <v>9.9513824474374761</v>
      </c>
      <c r="BI27" s="264">
        <f t="shared" si="96"/>
        <v>10.028690037276544</v>
      </c>
      <c r="BJ27" s="264">
        <f t="shared" si="96"/>
        <v>10.105997627115611</v>
      </c>
      <c r="BK27" s="264">
        <f t="shared" si="96"/>
        <v>10.183305216954679</v>
      </c>
      <c r="BL27" s="264">
        <f t="shared" si="96"/>
        <v>10.260612806793747</v>
      </c>
      <c r="BM27" s="264">
        <f t="shared" si="96"/>
        <v>10.337920396632814</v>
      </c>
      <c r="BN27" s="264">
        <f t="shared" si="96"/>
        <v>10.415227986471882</v>
      </c>
      <c r="BO27" s="264">
        <f t="shared" si="96"/>
        <v>10.492535576310949</v>
      </c>
      <c r="BP27" s="264">
        <f t="shared" si="96"/>
        <v>10.569843166150017</v>
      </c>
      <c r="BQ27" s="942">
        <f>'AEO Data'!$C$30*BB27</f>
        <v>10.647150755989088</v>
      </c>
      <c r="BR27" s="264">
        <f t="shared" si="97"/>
        <v>10.708008479170871</v>
      </c>
      <c r="BS27" s="264">
        <f t="shared" si="97"/>
        <v>10.768866202352655</v>
      </c>
      <c r="BT27" s="264">
        <f t="shared" si="97"/>
        <v>10.829723925534438</v>
      </c>
      <c r="BU27" s="264">
        <f t="shared" si="97"/>
        <v>10.890581648716221</v>
      </c>
      <c r="BV27" s="966">
        <f>'AEO Data'!$D$30*BQ27</f>
        <v>10.951439371898008</v>
      </c>
      <c r="BW27" s="1400">
        <f>+BV27*BW$135/BV$135</f>
        <v>10.987801370778188</v>
      </c>
      <c r="BX27" s="1400">
        <f t="shared" ref="BX27:CZ27" si="102">+BW27*BX$135/BW$135</f>
        <v>11.024284102186545</v>
      </c>
      <c r="BY27" s="1400">
        <f t="shared" si="102"/>
        <v>11.060887966990576</v>
      </c>
      <c r="BZ27" s="1400">
        <f t="shared" si="102"/>
        <v>11.097613367388767</v>
      </c>
      <c r="CA27" s="1400">
        <f t="shared" si="102"/>
        <v>11.134460706915034</v>
      </c>
      <c r="CB27" s="1400">
        <f t="shared" si="102"/>
        <v>11.158220847063788</v>
      </c>
      <c r="CC27" s="1400">
        <f t="shared" si="102"/>
        <v>11.18203168964661</v>
      </c>
      <c r="CD27" s="1400">
        <f t="shared" si="102"/>
        <v>11.205893342858859</v>
      </c>
      <c r="CE27" s="1400">
        <f t="shared" si="102"/>
        <v>11.229805915126768</v>
      </c>
      <c r="CF27" s="1400">
        <f t="shared" si="102"/>
        <v>11.253769515107949</v>
      </c>
      <c r="CG27" s="1400">
        <f t="shared" si="102"/>
        <v>11.261550344011113</v>
      </c>
      <c r="CH27" s="1400">
        <f t="shared" si="102"/>
        <v>11.26933655256048</v>
      </c>
      <c r="CI27" s="1400">
        <f t="shared" si="102"/>
        <v>11.277128144475522</v>
      </c>
      <c r="CJ27" s="1400">
        <f t="shared" si="102"/>
        <v>11.284925123478285</v>
      </c>
      <c r="CK27" s="1400">
        <f t="shared" si="102"/>
        <v>11.292727493293389</v>
      </c>
      <c r="CL27" s="1400">
        <f t="shared" si="102"/>
        <v>11.295372150311067</v>
      </c>
      <c r="CM27" s="1400">
        <f t="shared" si="102"/>
        <v>11.298017426684055</v>
      </c>
      <c r="CN27" s="1400">
        <f t="shared" si="102"/>
        <v>11.300663322557401</v>
      </c>
      <c r="CO27" s="1400">
        <f t="shared" si="102"/>
        <v>11.303309838076188</v>
      </c>
      <c r="CP27" s="1400">
        <f t="shared" si="102"/>
        <v>11.305956973385531</v>
      </c>
      <c r="CQ27" s="1400">
        <f t="shared" si="102"/>
        <v>11.309968961103596</v>
      </c>
      <c r="CR27" s="1400">
        <f t="shared" si="102"/>
        <v>11.31398237249995</v>
      </c>
      <c r="CS27" s="1400">
        <f t="shared" si="102"/>
        <v>11.317997208079792</v>
      </c>
      <c r="CT27" s="1400">
        <f t="shared" si="102"/>
        <v>11.3220134683485</v>
      </c>
      <c r="CU27" s="1400">
        <f t="shared" si="102"/>
        <v>11.326031153811636</v>
      </c>
      <c r="CV27" s="1400">
        <f t="shared" si="102"/>
        <v>11.332214388749156</v>
      </c>
      <c r="CW27" s="1400">
        <f t="shared" si="102"/>
        <v>11.338400999308178</v>
      </c>
      <c r="CX27" s="1400">
        <f t="shared" si="102"/>
        <v>11.344590987331557</v>
      </c>
      <c r="CY27" s="1400">
        <f t="shared" si="102"/>
        <v>11.350784354663158</v>
      </c>
      <c r="CZ27" s="1400">
        <f t="shared" si="102"/>
        <v>11.356981103147852</v>
      </c>
    </row>
    <row r="28" spans="1:104" ht="13" x14ac:dyDescent="0.3">
      <c r="A28" s="878" t="str">
        <f>'HyARC Physical Property Data'!A74</f>
        <v>Electric Utility Natural Gas</v>
      </c>
      <c r="B28" s="264">
        <v>2011</v>
      </c>
      <c r="C28" s="877">
        <f t="shared" si="99"/>
        <v>1.0784554773635862</v>
      </c>
      <c r="D28" s="1262" t="str">
        <f>'HyARC Physical Property Data'!H74</f>
        <v>mmBtu</v>
      </c>
      <c r="E28" s="877" t="s">
        <v>1058</v>
      </c>
      <c r="F28" s="264">
        <f>'HyARC Physical Property Data'!$E$6</f>
        <v>47.141269049911173</v>
      </c>
      <c r="G28" s="264">
        <f>'HyARC Physical Property Data'!$I$6</f>
        <v>52.224661236371581</v>
      </c>
      <c r="H28" s="1071">
        <v>7.4079259090132386</v>
      </c>
      <c r="I28" s="1071">
        <v>7.4079259090132386</v>
      </c>
      <c r="J28" s="1071">
        <v>7.4079259090132386</v>
      </c>
      <c r="K28" s="1071">
        <v>7.3706710915002853</v>
      </c>
      <c r="L28" s="1071">
        <v>9.3158925097981644</v>
      </c>
      <c r="M28" s="1071">
        <v>4.7837623175056114</v>
      </c>
      <c r="N28" s="264">
        <f t="shared" ref="N28:AR28" si="103">((N45/(mmBTU_to_GJ))*($C28))*($G28/$F28)</f>
        <v>5.9546786983922937</v>
      </c>
      <c r="O28" s="264">
        <f t="shared" si="103"/>
        <v>5.4071882009627821</v>
      </c>
      <c r="P28" s="264">
        <f t="shared" si="103"/>
        <v>3.7617666418716023</v>
      </c>
      <c r="Q28" s="264">
        <f t="shared" si="103"/>
        <v>4.2077012311780857</v>
      </c>
      <c r="R28" s="264">
        <f t="shared" si="103"/>
        <v>4.2560449554536968</v>
      </c>
      <c r="S28" s="264">
        <f t="shared" si="103"/>
        <v>4.351004265064101</v>
      </c>
      <c r="T28" s="264">
        <f t="shared" si="103"/>
        <v>4.8499075586162492</v>
      </c>
      <c r="U28" s="264">
        <f t="shared" si="103"/>
        <v>5.0379587459147714</v>
      </c>
      <c r="V28" s="264">
        <f t="shared" si="103"/>
        <v>5.3255342022407595</v>
      </c>
      <c r="W28" s="264">
        <f t="shared" si="103"/>
        <v>5.4610005903401024</v>
      </c>
      <c r="X28" s="264">
        <f t="shared" si="103"/>
        <v>5.5453996800139871</v>
      </c>
      <c r="Y28" s="264">
        <f t="shared" si="103"/>
        <v>5.6707180648048965</v>
      </c>
      <c r="Z28" s="264">
        <f t="shared" si="103"/>
        <v>5.8914702613138141</v>
      </c>
      <c r="AA28" s="264">
        <f t="shared" si="103"/>
        <v>6.1025908577626655</v>
      </c>
      <c r="AB28" s="264">
        <f t="shared" si="103"/>
        <v>6.248858680473754</v>
      </c>
      <c r="AC28" s="264">
        <f t="shared" si="103"/>
        <v>6.3168359203568114</v>
      </c>
      <c r="AD28" s="264">
        <f t="shared" si="103"/>
        <v>6.465015341057482</v>
      </c>
      <c r="AE28" s="264">
        <f t="shared" si="103"/>
        <v>6.5238626621064135</v>
      </c>
      <c r="AF28" s="264">
        <f t="shared" si="103"/>
        <v>6.6439853054422287</v>
      </c>
      <c r="AG28" s="264">
        <f t="shared" si="103"/>
        <v>6.7551648863824747</v>
      </c>
      <c r="AH28" s="264">
        <f t="shared" si="103"/>
        <v>6.8546302673202151</v>
      </c>
      <c r="AI28" s="264">
        <f t="shared" si="103"/>
        <v>7.0027927010719244</v>
      </c>
      <c r="AJ28" s="264">
        <f t="shared" si="103"/>
        <v>7.1267928986235729</v>
      </c>
      <c r="AK28" s="264">
        <f t="shared" si="103"/>
        <v>7.2997143767154569</v>
      </c>
      <c r="AL28" s="264">
        <f t="shared" si="103"/>
        <v>7.5856330392862574</v>
      </c>
      <c r="AM28" s="264">
        <f t="shared" si="103"/>
        <v>7.9050986611256384</v>
      </c>
      <c r="AN28" s="264">
        <f t="shared" si="103"/>
        <v>8.3181385900035885</v>
      </c>
      <c r="AO28" s="264">
        <f t="shared" si="103"/>
        <v>8.6915977953425259</v>
      </c>
      <c r="AP28" s="264">
        <f t="shared" si="103"/>
        <v>9.0845976543012643</v>
      </c>
      <c r="AQ28" s="264">
        <f t="shared" si="103"/>
        <v>9.2352243281153736</v>
      </c>
      <c r="AR28" s="264">
        <f t="shared" si="103"/>
        <v>9.4875314810115476</v>
      </c>
      <c r="AS28" s="264">
        <f t="shared" ref="AS28:BA28" si="104">($BB28-$AR28)/10+AR28</f>
        <v>9.4282819947225889</v>
      </c>
      <c r="AT28" s="264">
        <f t="shared" si="104"/>
        <v>9.3690325084336301</v>
      </c>
      <c r="AU28" s="264">
        <f t="shared" si="104"/>
        <v>9.3097830221446713</v>
      </c>
      <c r="AV28" s="264">
        <f t="shared" si="104"/>
        <v>9.2505335358557126</v>
      </c>
      <c r="AW28" s="264">
        <f t="shared" si="104"/>
        <v>9.1912840495667538</v>
      </c>
      <c r="AX28" s="264">
        <f t="shared" si="104"/>
        <v>9.1320345632777951</v>
      </c>
      <c r="AY28" s="264">
        <f t="shared" si="104"/>
        <v>9.0727850769888363</v>
      </c>
      <c r="AZ28" s="264">
        <f t="shared" si="104"/>
        <v>9.0135355906998775</v>
      </c>
      <c r="BA28" s="264">
        <f t="shared" si="104"/>
        <v>8.9542861044109188</v>
      </c>
      <c r="BB28" s="942">
        <f>'AEO Data'!$B$30*AM28</f>
        <v>8.8950366181219671</v>
      </c>
      <c r="BC28" s="264">
        <f t="shared" si="96"/>
        <v>8.967516319557248</v>
      </c>
      <c r="BD28" s="264">
        <f t="shared" si="96"/>
        <v>9.039996020992529</v>
      </c>
      <c r="BE28" s="264">
        <f t="shared" si="96"/>
        <v>9.1124757224278099</v>
      </c>
      <c r="BF28" s="264">
        <f t="shared" si="96"/>
        <v>9.1849554238630908</v>
      </c>
      <c r="BG28" s="264">
        <f t="shared" si="96"/>
        <v>9.2574351252983718</v>
      </c>
      <c r="BH28" s="264">
        <f t="shared" si="96"/>
        <v>9.3299148267336527</v>
      </c>
      <c r="BI28" s="264">
        <f t="shared" si="96"/>
        <v>9.4023945281689336</v>
      </c>
      <c r="BJ28" s="264">
        <f t="shared" si="96"/>
        <v>9.4748742296042145</v>
      </c>
      <c r="BK28" s="264">
        <f t="shared" si="96"/>
        <v>9.5473539310394955</v>
      </c>
      <c r="BL28" s="264">
        <f t="shared" si="96"/>
        <v>9.6198336324747764</v>
      </c>
      <c r="BM28" s="264">
        <f t="shared" si="96"/>
        <v>9.6923133339100573</v>
      </c>
      <c r="BN28" s="264">
        <f t="shared" si="96"/>
        <v>9.7647930353453383</v>
      </c>
      <c r="BO28" s="264">
        <f t="shared" si="96"/>
        <v>9.8372727367806192</v>
      </c>
      <c r="BP28" s="264">
        <f t="shared" si="96"/>
        <v>9.9097524382159001</v>
      </c>
      <c r="BQ28" s="942">
        <f>'AEO Data'!$C$30*BB28</f>
        <v>9.9822321396511793</v>
      </c>
      <c r="BR28" s="264">
        <f t="shared" si="97"/>
        <v>10.039289274861693</v>
      </c>
      <c r="BS28" s="264">
        <f t="shared" si="97"/>
        <v>10.096346410072206</v>
      </c>
      <c r="BT28" s="264">
        <f t="shared" si="97"/>
        <v>10.153403545282719</v>
      </c>
      <c r="BU28" s="264">
        <f t="shared" si="97"/>
        <v>10.210460680493233</v>
      </c>
      <c r="BV28" s="966">
        <f>'AEO Data'!$D$30*BQ28</f>
        <v>10.26751781570375</v>
      </c>
      <c r="BW28" s="1400">
        <f>+BV28*BW$136/BV$136</f>
        <v>10.301608993916805</v>
      </c>
      <c r="BX28" s="1400">
        <f t="shared" ref="BX28:CZ28" si="105">+BW28*BX$136/BW$136</f>
        <v>10.335813364865709</v>
      </c>
      <c r="BY28" s="1400">
        <f t="shared" si="105"/>
        <v>10.37013130438363</v>
      </c>
      <c r="BZ28" s="1400">
        <f t="shared" si="105"/>
        <v>10.404563189551611</v>
      </c>
      <c r="CA28" s="1400">
        <f t="shared" si="105"/>
        <v>10.439109398702717</v>
      </c>
      <c r="CB28" s="1400">
        <f t="shared" si="105"/>
        <v>10.461385709057588</v>
      </c>
      <c r="CC28" s="1400">
        <f t="shared" si="105"/>
        <v>10.483709555460226</v>
      </c>
      <c r="CD28" s="1400">
        <f t="shared" si="105"/>
        <v>10.506081039349146</v>
      </c>
      <c r="CE28" s="1400">
        <f t="shared" si="105"/>
        <v>10.528500262379325</v>
      </c>
      <c r="CF28" s="1400">
        <f t="shared" si="105"/>
        <v>10.550967326422667</v>
      </c>
      <c r="CG28" s="1400">
        <f t="shared" si="105"/>
        <v>10.558262239599943</v>
      </c>
      <c r="CH28" s="1400">
        <f t="shared" si="105"/>
        <v>10.565562196462466</v>
      </c>
      <c r="CI28" s="1400">
        <f t="shared" si="105"/>
        <v>10.572867200497431</v>
      </c>
      <c r="CJ28" s="1400">
        <f t="shared" si="105"/>
        <v>10.580177255194439</v>
      </c>
      <c r="CK28" s="1400">
        <f t="shared" si="105"/>
        <v>10.587492364045506</v>
      </c>
      <c r="CL28" s="1400">
        <f t="shared" si="105"/>
        <v>10.589971861226042</v>
      </c>
      <c r="CM28" s="1400">
        <f t="shared" si="105"/>
        <v>10.592451939082915</v>
      </c>
      <c r="CN28" s="1400">
        <f t="shared" si="105"/>
        <v>10.594932597752113</v>
      </c>
      <c r="CO28" s="1400">
        <f t="shared" si="105"/>
        <v>10.597413837369656</v>
      </c>
      <c r="CP28" s="1400">
        <f t="shared" si="105"/>
        <v>10.599895658071597</v>
      </c>
      <c r="CQ28" s="1400">
        <f t="shared" si="105"/>
        <v>10.603657095629963</v>
      </c>
      <c r="CR28" s="1400">
        <f t="shared" si="105"/>
        <v>10.607419867957365</v>
      </c>
      <c r="CS28" s="1400">
        <f t="shared" si="105"/>
        <v>10.611183975527453</v>
      </c>
      <c r="CT28" s="1400">
        <f t="shared" si="105"/>
        <v>10.614949418814046</v>
      </c>
      <c r="CU28" s="1400">
        <f t="shared" si="105"/>
        <v>10.618716198291134</v>
      </c>
      <c r="CV28" s="1400">
        <f t="shared" si="105"/>
        <v>10.624513287853858</v>
      </c>
      <c r="CW28" s="1400">
        <f t="shared" si="105"/>
        <v>10.630313542229239</v>
      </c>
      <c r="CX28" s="1400">
        <f t="shared" si="105"/>
        <v>10.636116963145044</v>
      </c>
      <c r="CY28" s="1400">
        <f t="shared" si="105"/>
        <v>10.641923552329986</v>
      </c>
      <c r="CZ28" s="1400">
        <f t="shared" si="105"/>
        <v>10.647733311513726</v>
      </c>
    </row>
    <row r="29" spans="1:104" ht="13" x14ac:dyDescent="0.3">
      <c r="A29" s="878" t="str">
        <f>'HyARC Physical Property Data'!A75</f>
        <v>Bio Methane</v>
      </c>
      <c r="B29" s="264">
        <v>2007</v>
      </c>
      <c r="C29" s="877">
        <f t="shared" si="99"/>
        <v>1.1446359956438654</v>
      </c>
      <c r="D29" s="1262" t="str">
        <f>'HyARC Physical Property Data'!H75</f>
        <v>mmBtu</v>
      </c>
      <c r="E29" s="877" t="s">
        <v>1058</v>
      </c>
      <c r="F29" s="264">
        <f>'HyARC Physical Property Data'!$E$6</f>
        <v>47.141269049911173</v>
      </c>
      <c r="G29" s="264">
        <f>'HyARC Physical Property Data'!$I$6</f>
        <v>52.224661236371581</v>
      </c>
      <c r="H29" s="1071">
        <v>12.42654028436019</v>
      </c>
      <c r="I29" s="1071">
        <v>12.42654028436019</v>
      </c>
      <c r="J29" s="1071">
        <v>12.42654028436019</v>
      </c>
      <c r="K29" s="1071">
        <v>12.42654028436019</v>
      </c>
      <c r="L29" s="1071">
        <v>12.42654028436019</v>
      </c>
      <c r="M29" s="1071">
        <v>12.42654028436019</v>
      </c>
      <c r="N29" s="264">
        <f t="shared" ref="N29:AM29" si="106">13.11*($C$29/mmBTU_to_GJ)</f>
        <v>14.223865310797228</v>
      </c>
      <c r="O29" s="264">
        <f t="shared" si="106"/>
        <v>14.223865310797228</v>
      </c>
      <c r="P29" s="264">
        <f t="shared" si="106"/>
        <v>14.223865310797228</v>
      </c>
      <c r="Q29" s="264">
        <f t="shared" si="106"/>
        <v>14.223865310797228</v>
      </c>
      <c r="R29" s="264">
        <f t="shared" si="106"/>
        <v>14.223865310797228</v>
      </c>
      <c r="S29" s="264">
        <f t="shared" si="106"/>
        <v>14.223865310797228</v>
      </c>
      <c r="T29" s="264">
        <f t="shared" si="106"/>
        <v>14.223865310797228</v>
      </c>
      <c r="U29" s="264">
        <f t="shared" si="106"/>
        <v>14.223865310797228</v>
      </c>
      <c r="V29" s="264">
        <f t="shared" si="106"/>
        <v>14.223865310797228</v>
      </c>
      <c r="W29" s="264">
        <f t="shared" si="106"/>
        <v>14.223865310797228</v>
      </c>
      <c r="X29" s="264">
        <f t="shared" si="106"/>
        <v>14.223865310797228</v>
      </c>
      <c r="Y29" s="264">
        <f t="shared" si="106"/>
        <v>14.223865310797228</v>
      </c>
      <c r="Z29" s="264">
        <f t="shared" si="106"/>
        <v>14.223865310797228</v>
      </c>
      <c r="AA29" s="264">
        <f t="shared" si="106"/>
        <v>14.223865310797228</v>
      </c>
      <c r="AB29" s="264">
        <f t="shared" si="106"/>
        <v>14.223865310797228</v>
      </c>
      <c r="AC29" s="264">
        <f t="shared" si="106"/>
        <v>14.223865310797228</v>
      </c>
      <c r="AD29" s="264">
        <f t="shared" si="106"/>
        <v>14.223865310797228</v>
      </c>
      <c r="AE29" s="264">
        <f t="shared" si="106"/>
        <v>14.223865310797228</v>
      </c>
      <c r="AF29" s="264">
        <f t="shared" si="106"/>
        <v>14.223865310797228</v>
      </c>
      <c r="AG29" s="264">
        <f t="shared" si="106"/>
        <v>14.223865310797228</v>
      </c>
      <c r="AH29" s="264">
        <f t="shared" si="106"/>
        <v>14.223865310797228</v>
      </c>
      <c r="AI29" s="264">
        <f t="shared" si="106"/>
        <v>14.223865310797228</v>
      </c>
      <c r="AJ29" s="264">
        <f t="shared" si="106"/>
        <v>14.223865310797228</v>
      </c>
      <c r="AK29" s="264">
        <f t="shared" si="106"/>
        <v>14.223865310797228</v>
      </c>
      <c r="AL29" s="264">
        <f t="shared" si="106"/>
        <v>14.223865310797228</v>
      </c>
      <c r="AM29" s="264">
        <f t="shared" si="106"/>
        <v>14.223865310797228</v>
      </c>
      <c r="AN29" s="264">
        <f t="shared" ref="AN29:BV29" si="107">13.11*($C$29/mmBTU_to_GJ)</f>
        <v>14.223865310797228</v>
      </c>
      <c r="AO29" s="264">
        <f t="shared" si="107"/>
        <v>14.223865310797228</v>
      </c>
      <c r="AP29" s="264">
        <f t="shared" si="107"/>
        <v>14.223865310797228</v>
      </c>
      <c r="AQ29" s="264">
        <f t="shared" si="107"/>
        <v>14.223865310797228</v>
      </c>
      <c r="AR29" s="264">
        <f t="shared" si="107"/>
        <v>14.223865310797228</v>
      </c>
      <c r="AS29" s="264">
        <f t="shared" si="107"/>
        <v>14.223865310797228</v>
      </c>
      <c r="AT29" s="264">
        <f t="shared" si="107"/>
        <v>14.223865310797228</v>
      </c>
      <c r="AU29" s="264">
        <f t="shared" si="107"/>
        <v>14.223865310797228</v>
      </c>
      <c r="AV29" s="264">
        <f t="shared" si="107"/>
        <v>14.223865310797228</v>
      </c>
      <c r="AW29" s="264">
        <f t="shared" si="107"/>
        <v>14.223865310797228</v>
      </c>
      <c r="AX29" s="264">
        <f t="shared" si="107"/>
        <v>14.223865310797228</v>
      </c>
      <c r="AY29" s="264">
        <f t="shared" si="107"/>
        <v>14.223865310797228</v>
      </c>
      <c r="AZ29" s="264">
        <f t="shared" si="107"/>
        <v>14.223865310797228</v>
      </c>
      <c r="BA29" s="264">
        <f t="shared" si="107"/>
        <v>14.223865310797228</v>
      </c>
      <c r="BB29" s="264">
        <f t="shared" si="107"/>
        <v>14.223865310797228</v>
      </c>
      <c r="BC29" s="264">
        <f t="shared" si="107"/>
        <v>14.223865310797228</v>
      </c>
      <c r="BD29" s="264">
        <f t="shared" si="107"/>
        <v>14.223865310797228</v>
      </c>
      <c r="BE29" s="264">
        <f t="shared" si="107"/>
        <v>14.223865310797228</v>
      </c>
      <c r="BF29" s="264">
        <f t="shared" si="107"/>
        <v>14.223865310797228</v>
      </c>
      <c r="BG29" s="264">
        <f t="shared" si="107"/>
        <v>14.223865310797228</v>
      </c>
      <c r="BH29" s="264">
        <f t="shared" si="107"/>
        <v>14.223865310797228</v>
      </c>
      <c r="BI29" s="264">
        <f t="shared" si="107"/>
        <v>14.223865310797228</v>
      </c>
      <c r="BJ29" s="264">
        <f t="shared" si="107"/>
        <v>14.223865310797228</v>
      </c>
      <c r="BK29" s="264">
        <f t="shared" si="107"/>
        <v>14.223865310797228</v>
      </c>
      <c r="BL29" s="264">
        <f t="shared" si="107"/>
        <v>14.223865310797228</v>
      </c>
      <c r="BM29" s="264">
        <f t="shared" si="107"/>
        <v>14.223865310797228</v>
      </c>
      <c r="BN29" s="264">
        <f t="shared" si="107"/>
        <v>14.223865310797228</v>
      </c>
      <c r="BO29" s="264">
        <f t="shared" si="107"/>
        <v>14.223865310797228</v>
      </c>
      <c r="BP29" s="264">
        <f t="shared" si="107"/>
        <v>14.223865310797228</v>
      </c>
      <c r="BQ29" s="264">
        <f t="shared" si="107"/>
        <v>14.223865310797228</v>
      </c>
      <c r="BR29" s="264">
        <f t="shared" si="107"/>
        <v>14.223865310797228</v>
      </c>
      <c r="BS29" s="264">
        <f t="shared" si="107"/>
        <v>14.223865310797228</v>
      </c>
      <c r="BT29" s="264">
        <f t="shared" si="107"/>
        <v>14.223865310797228</v>
      </c>
      <c r="BU29" s="264">
        <f t="shared" si="107"/>
        <v>14.223865310797228</v>
      </c>
      <c r="BV29" s="264">
        <f t="shared" si="107"/>
        <v>14.223865310797228</v>
      </c>
      <c r="BW29" s="1400">
        <f>+BV29*BW$136/BV$136</f>
        <v>14.271092726019944</v>
      </c>
      <c r="BX29" s="1400">
        <f t="shared" ref="BX29:CZ29" si="108">+BW29*BX$136/BW$136</f>
        <v>14.318476950147966</v>
      </c>
      <c r="BY29" s="1400">
        <f t="shared" si="108"/>
        <v>14.366018503832969</v>
      </c>
      <c r="BZ29" s="1400">
        <f t="shared" si="108"/>
        <v>14.413717909455341</v>
      </c>
      <c r="CA29" s="1400">
        <f t="shared" si="108"/>
        <v>14.461575691129934</v>
      </c>
      <c r="CB29" s="1400">
        <f t="shared" si="108"/>
        <v>14.49243565590395</v>
      </c>
      <c r="CC29" s="1400">
        <f t="shared" si="108"/>
        <v>14.523361473628309</v>
      </c>
      <c r="CD29" s="1400">
        <f t="shared" si="108"/>
        <v>14.554353284828478</v>
      </c>
      <c r="CE29" s="1400">
        <f t="shared" si="108"/>
        <v>14.585411230329802</v>
      </c>
      <c r="CF29" s="1400">
        <f t="shared" si="108"/>
        <v>14.616535451258134</v>
      </c>
      <c r="CG29" s="1400">
        <f t="shared" si="108"/>
        <v>14.626641288360148</v>
      </c>
      <c r="CH29" s="1400">
        <f t="shared" si="108"/>
        <v>14.636754112613382</v>
      </c>
      <c r="CI29" s="1400">
        <f t="shared" si="108"/>
        <v>14.646873928848736</v>
      </c>
      <c r="CJ29" s="1400">
        <f t="shared" si="108"/>
        <v>14.657000741900452</v>
      </c>
      <c r="CK29" s="1400">
        <f t="shared" si="108"/>
        <v>14.667134556606111</v>
      </c>
      <c r="CL29" s="1400">
        <f t="shared" si="108"/>
        <v>14.670569469948116</v>
      </c>
      <c r="CM29" s="1400">
        <f t="shared" si="108"/>
        <v>14.674005187716483</v>
      </c>
      <c r="CN29" s="1400">
        <f t="shared" si="108"/>
        <v>14.6774417100996</v>
      </c>
      <c r="CO29" s="1400">
        <f t="shared" si="108"/>
        <v>14.6808790372859</v>
      </c>
      <c r="CP29" s="1400">
        <f t="shared" si="108"/>
        <v>14.684317169463862</v>
      </c>
      <c r="CQ29" s="1400">
        <f t="shared" si="108"/>
        <v>14.689527988881515</v>
      </c>
      <c r="CR29" s="1400">
        <f t="shared" si="108"/>
        <v>14.69474065739019</v>
      </c>
      <c r="CS29" s="1400">
        <f t="shared" si="108"/>
        <v>14.699955175646044</v>
      </c>
      <c r="CT29" s="1400">
        <f t="shared" si="108"/>
        <v>14.705171544305472</v>
      </c>
      <c r="CU29" s="1400">
        <f t="shared" si="108"/>
        <v>14.710389764025104</v>
      </c>
      <c r="CV29" s="1400">
        <f t="shared" si="108"/>
        <v>14.718420626266095</v>
      </c>
      <c r="CW29" s="1400">
        <f t="shared" si="108"/>
        <v>14.726455872806168</v>
      </c>
      <c r="CX29" s="1400">
        <f t="shared" si="108"/>
        <v>14.734495506038849</v>
      </c>
      <c r="CY29" s="1400">
        <f t="shared" si="108"/>
        <v>14.74253952835897</v>
      </c>
      <c r="CZ29" s="1400">
        <f t="shared" si="108"/>
        <v>14.750587942162673</v>
      </c>
    </row>
    <row r="30" spans="1:104" ht="13" x14ac:dyDescent="0.3">
      <c r="A30" s="967" t="str">
        <f>'HyARC Physical Property Data'!A85</f>
        <v>Woody Biomass</v>
      </c>
      <c r="B30" s="264">
        <v>2005</v>
      </c>
      <c r="C30" s="877">
        <f>VLOOKUP(ref_year,DeflatorTable,2,FALSE)/VLOOKUP(B30,DeflatorTable,2,FALSE)</f>
        <v>1.2112501494873942</v>
      </c>
      <c r="D30" s="1262" t="str">
        <f>+'HyARC Physical Property Data'!$H$85</f>
        <v>kg</v>
      </c>
      <c r="E30" s="904" t="s">
        <v>1052</v>
      </c>
      <c r="F30" s="264">
        <f>'HyARC Physical Property Data'!$E$45</f>
        <v>19.551069237418005</v>
      </c>
      <c r="G30" s="264">
        <f>'HyARC Physical Property Data'!$I$45</f>
        <v>20.588656379262464</v>
      </c>
      <c r="H30" s="1072">
        <v>1.3438238843289665</v>
      </c>
      <c r="I30" s="1072">
        <v>1.3438238843289665</v>
      </c>
      <c r="J30" s="1072">
        <v>1.3438238843289665</v>
      </c>
      <c r="K30" s="1072">
        <v>1.3438238843289665</v>
      </c>
      <c r="L30" s="1072">
        <v>1.3438238843289665</v>
      </c>
      <c r="M30" s="1072">
        <v>1.3438238843289665</v>
      </c>
      <c r="N30" s="968">
        <f>1.27*($C$30)</f>
        <v>1.5382876898489906</v>
      </c>
      <c r="O30" s="968">
        <f>1.27*($C$30)</f>
        <v>1.5382876898489906</v>
      </c>
      <c r="P30" s="968">
        <f>1.28*($C$30)</f>
        <v>1.5504001913438645</v>
      </c>
      <c r="Q30" s="968">
        <f>1.32*($C$30)</f>
        <v>1.5988501973233604</v>
      </c>
      <c r="R30" s="968">
        <f>1.32*($C$30)</f>
        <v>1.5988501973233604</v>
      </c>
      <c r="S30" s="968">
        <f>1.34*($C$30)</f>
        <v>1.6230752003131084</v>
      </c>
      <c r="T30" s="968">
        <f>1.34*($C$30)</f>
        <v>1.6230752003131084</v>
      </c>
      <c r="U30" s="968">
        <f>1.36*($C$30)</f>
        <v>1.6473002033028561</v>
      </c>
      <c r="V30" s="968">
        <f>1.36*($C$30)</f>
        <v>1.6473002033028561</v>
      </c>
      <c r="W30" s="968">
        <f>1.38*($C$30)</f>
        <v>1.6715252062926038</v>
      </c>
      <c r="X30" s="968">
        <f>1.4*($C$30)</f>
        <v>1.6957502092823518</v>
      </c>
      <c r="Y30" s="968">
        <f>1.46*($C$30)</f>
        <v>1.7684252182515954</v>
      </c>
      <c r="Z30" s="968">
        <f>1.48*($C$30)</f>
        <v>1.7926502212413433</v>
      </c>
      <c r="AA30" s="968">
        <f>1.48*($C$30)</f>
        <v>1.7926502212413433</v>
      </c>
      <c r="AB30" s="968">
        <f>1.51*($C$30)</f>
        <v>1.8289877257259652</v>
      </c>
      <c r="AC30" s="968">
        <f>1.52*($C$30)</f>
        <v>1.8411002272208392</v>
      </c>
      <c r="AD30" s="968">
        <f>1.62*($C$30)</f>
        <v>1.9622252421695787</v>
      </c>
      <c r="AE30" s="968">
        <f>1.72*($C$30)</f>
        <v>2.083350257118318</v>
      </c>
      <c r="AF30" s="968">
        <f>1.82*($C$30)</f>
        <v>2.2044752720670573</v>
      </c>
      <c r="AG30" s="968">
        <f>1.91*($C$30)</f>
        <v>2.3134877855209228</v>
      </c>
      <c r="AH30" s="968">
        <f>2.01*($C$30)</f>
        <v>2.4346128004696621</v>
      </c>
      <c r="AI30" s="968">
        <f>2.11*($C$30)</f>
        <v>2.5557378154184014</v>
      </c>
      <c r="AJ30" s="968">
        <f>2.2*($C$30)</f>
        <v>2.6647503288722674</v>
      </c>
      <c r="AK30" s="968">
        <f>2.3*($C$30)</f>
        <v>2.7858753438210062</v>
      </c>
      <c r="AL30" s="968">
        <f>2.4*($C$30)</f>
        <v>2.9070003587697459</v>
      </c>
      <c r="AM30" s="968">
        <f>2.5*($C$30)</f>
        <v>3.0281253737184857</v>
      </c>
      <c r="AN30" s="968">
        <f>2.57*($C$30)</f>
        <v>3.1129128841826028</v>
      </c>
      <c r="AO30" s="968">
        <f>2.64*($C$30)</f>
        <v>3.1977003946467208</v>
      </c>
      <c r="AP30" s="968">
        <f>2.71*($C$30)</f>
        <v>3.282487905110838</v>
      </c>
      <c r="AQ30" s="968">
        <f>2.78*($C$30)</f>
        <v>3.3672754155749556</v>
      </c>
      <c r="AR30" s="968">
        <f>2.85*($C$30)</f>
        <v>3.4520629260390736</v>
      </c>
      <c r="AS30" s="968">
        <f>2.92*($C$30)</f>
        <v>3.5368504365031908</v>
      </c>
      <c r="AT30" s="968">
        <f>2.99*($C$30)</f>
        <v>3.6216379469673088</v>
      </c>
      <c r="AU30" s="968">
        <f>3.07*($C$30)</f>
        <v>3.7185379589263001</v>
      </c>
      <c r="AV30" s="968">
        <f>3.14*($C$30)</f>
        <v>3.8033254693904177</v>
      </c>
      <c r="AW30" s="968">
        <f>3.21*($C$30)</f>
        <v>3.8881129798545353</v>
      </c>
      <c r="AX30" s="968">
        <f>3.28*($C$30)</f>
        <v>3.9729004903186529</v>
      </c>
      <c r="AY30" s="968">
        <f>3.35*($C$30)</f>
        <v>4.0576880007827709</v>
      </c>
      <c r="AZ30" s="968">
        <f>3.42*($C$30)</f>
        <v>4.1424755112468876</v>
      </c>
      <c r="BA30" s="968">
        <f>3.49*($C$30)</f>
        <v>4.2272630217110061</v>
      </c>
      <c r="BB30" s="968">
        <f>3.56*($C$30)</f>
        <v>4.3120505321751237</v>
      </c>
      <c r="BC30" s="968">
        <f>3.64*($C$30)</f>
        <v>4.4089505441341146</v>
      </c>
      <c r="BD30" s="968">
        <f>3.71*($C$30)</f>
        <v>4.4937380545982322</v>
      </c>
      <c r="BE30" s="968">
        <f>3.78*($C$30)</f>
        <v>4.5785255650623498</v>
      </c>
      <c r="BF30" s="968">
        <f>3.85*($C$30)</f>
        <v>4.6633130755264673</v>
      </c>
      <c r="BG30" s="968">
        <f>3.92*($C$30)</f>
        <v>4.7481005859905849</v>
      </c>
      <c r="BH30" s="968">
        <f>3.99*($C$30)</f>
        <v>4.8328880964547034</v>
      </c>
      <c r="BI30" s="968">
        <f>4.06*($C$30)</f>
        <v>4.9176756069188201</v>
      </c>
      <c r="BJ30" s="968">
        <f>4.14*($C$30)</f>
        <v>5.0145756188778119</v>
      </c>
      <c r="BK30" s="968">
        <f>4.21*($C$30)</f>
        <v>5.0993631293419295</v>
      </c>
      <c r="BL30" s="968">
        <f>4.28*($C$30)</f>
        <v>5.1841506398060471</v>
      </c>
      <c r="BM30" s="968">
        <f>4.35*($C$30)</f>
        <v>5.2689381502701647</v>
      </c>
      <c r="BN30" s="968">
        <f>4.42*($C$30)</f>
        <v>5.3537256607342822</v>
      </c>
      <c r="BO30" s="968">
        <f>4.49*($C$30)</f>
        <v>5.4385131711983998</v>
      </c>
      <c r="BP30" s="968">
        <f>4.56*($C$30)</f>
        <v>5.5233006816625174</v>
      </c>
      <c r="BQ30" s="968">
        <f>4.63*($C$30)</f>
        <v>5.608088192126635</v>
      </c>
      <c r="BR30" s="968">
        <f>4.71*($C$30)</f>
        <v>5.7049882040856268</v>
      </c>
      <c r="BS30" s="968">
        <f>4.78*($C$30)</f>
        <v>5.7897757145497444</v>
      </c>
      <c r="BT30" s="968">
        <f>4.85*($C$30)</f>
        <v>5.8745632250138611</v>
      </c>
      <c r="BU30" s="968">
        <f>4.92*($C$30)</f>
        <v>5.9593507354779796</v>
      </c>
      <c r="BV30" s="969">
        <f>4.99*($C$30)</f>
        <v>6.0441382459420971</v>
      </c>
      <c r="BW30" s="1400">
        <f>+BV30*BW$137/BV$137</f>
        <v>6.0586659764672328</v>
      </c>
      <c r="BX30" s="1400">
        <f t="shared" ref="BX30:CZ30" si="109">+BW30*BX$137/BW$137</f>
        <v>6.0732286259412112</v>
      </c>
      <c r="BY30" s="1400">
        <f t="shared" si="109"/>
        <v>6.0878262782954495</v>
      </c>
      <c r="BZ30" s="1400">
        <f t="shared" si="109"/>
        <v>6.1024590176630999</v>
      </c>
      <c r="CA30" s="1400">
        <f t="shared" si="109"/>
        <v>6.1171269283795393</v>
      </c>
      <c r="CB30" s="1400">
        <f t="shared" si="109"/>
        <v>6.1299667153690152</v>
      </c>
      <c r="CC30" s="1400">
        <f t="shared" si="109"/>
        <v>6.1428334529403346</v>
      </c>
      <c r="CD30" s="1400">
        <f t="shared" si="109"/>
        <v>6.155727197662495</v>
      </c>
      <c r="CE30" s="1400">
        <f t="shared" si="109"/>
        <v>6.1686480062232301</v>
      </c>
      <c r="CF30" s="1400">
        <f t="shared" si="109"/>
        <v>6.18159593542926</v>
      </c>
      <c r="CG30" s="1400">
        <f t="shared" si="109"/>
        <v>6.197524392005751</v>
      </c>
      <c r="CH30" s="1400">
        <f t="shared" si="109"/>
        <v>6.2134938923080965</v>
      </c>
      <c r="CI30" s="1400">
        <f t="shared" si="109"/>
        <v>6.229504542095909</v>
      </c>
      <c r="CJ30" s="1400">
        <f t="shared" si="109"/>
        <v>6.245556447401321</v>
      </c>
      <c r="CK30" s="1400">
        <f t="shared" si="109"/>
        <v>6.2616497145296828</v>
      </c>
      <c r="CL30" s="1400">
        <f t="shared" si="109"/>
        <v>6.2750522655841658</v>
      </c>
      <c r="CM30" s="1400">
        <f t="shared" si="109"/>
        <v>6.2884835037072264</v>
      </c>
      <c r="CN30" s="1400">
        <f t="shared" si="109"/>
        <v>6.3019434903011975</v>
      </c>
      <c r="CO30" s="1400">
        <f t="shared" si="109"/>
        <v>6.3154322868998385</v>
      </c>
      <c r="CP30" s="1400">
        <f t="shared" si="109"/>
        <v>6.3289499551686168</v>
      </c>
      <c r="CQ30" s="1400">
        <f t="shared" si="109"/>
        <v>6.3413225489579119</v>
      </c>
      <c r="CR30" s="1400">
        <f t="shared" si="109"/>
        <v>6.3537193301840116</v>
      </c>
      <c r="CS30" s="1400">
        <f t="shared" si="109"/>
        <v>6.3661403461314299</v>
      </c>
      <c r="CT30" s="1400">
        <f t="shared" si="109"/>
        <v>6.3785856441771198</v>
      </c>
      <c r="CU30" s="1400">
        <f t="shared" si="109"/>
        <v>6.3910552717906537</v>
      </c>
      <c r="CV30" s="1400">
        <f t="shared" si="109"/>
        <v>6.4057772391562917</v>
      </c>
      <c r="CW30" s="1400">
        <f t="shared" si="109"/>
        <v>6.4205331189689208</v>
      </c>
      <c r="CX30" s="1400">
        <f t="shared" si="109"/>
        <v>6.4353229893467718</v>
      </c>
      <c r="CY30" s="1400">
        <f t="shared" si="109"/>
        <v>6.4501469285880244</v>
      </c>
      <c r="CZ30" s="1400">
        <f t="shared" si="109"/>
        <v>6.4650050151712186</v>
      </c>
    </row>
    <row r="31" spans="1:104" ht="13" x14ac:dyDescent="0.3">
      <c r="A31" s="967" t="str">
        <f>'HyARC Physical Property Data'!$A$87</f>
        <v>Woody Biomass MYPP</v>
      </c>
      <c r="B31" s="264">
        <v>2007</v>
      </c>
      <c r="C31" s="877">
        <f>VLOOKUP(ref_year,DeflatorTable,2,FALSE)/VLOOKUP(B31,DeflatorTable,2,FALSE)</f>
        <v>1.1446359956438654</v>
      </c>
      <c r="D31" s="1262" t="str">
        <f>+'HyARC Physical Property Data'!$H$87</f>
        <v>kg</v>
      </c>
      <c r="E31" s="904" t="s">
        <v>1052</v>
      </c>
      <c r="F31" s="264">
        <v>18.608000000000001</v>
      </c>
      <c r="G31" s="264"/>
      <c r="H31" s="1071">
        <v>4.4443250214961303</v>
      </c>
      <c r="I31" s="1071">
        <v>4.4443250214961303</v>
      </c>
      <c r="J31" s="1071">
        <v>4.4443250214961303</v>
      </c>
      <c r="K31" s="1071">
        <v>4.4443250214961303</v>
      </c>
      <c r="L31" s="1071">
        <v>4.4443250214961303</v>
      </c>
      <c r="M31" s="1071">
        <v>4.4443250214961303</v>
      </c>
      <c r="N31" s="264">
        <f>4.44432502149613*$C$31</f>
        <v>5.0871343959451663</v>
      </c>
      <c r="O31" s="968">
        <f t="shared" ref="O31:T31" si="110">N31-($N$31-$U$31)/7</f>
        <v>4.9664808197552768</v>
      </c>
      <c r="P31" s="968">
        <f t="shared" si="110"/>
        <v>4.8458272435653873</v>
      </c>
      <c r="Q31" s="968">
        <f t="shared" si="110"/>
        <v>4.7251736673754978</v>
      </c>
      <c r="R31" s="968">
        <f t="shared" si="110"/>
        <v>4.6045200911856083</v>
      </c>
      <c r="S31" s="968">
        <f t="shared" si="110"/>
        <v>4.4838665149957189</v>
      </c>
      <c r="T31" s="968">
        <f t="shared" si="110"/>
        <v>4.3632129388058294</v>
      </c>
      <c r="U31" s="968">
        <f>3.70647033533964*$C$31</f>
        <v>4.2425593626159408</v>
      </c>
      <c r="V31" s="968">
        <f t="shared" ref="V31:BV31" si="111">3.70647033533964*$C$31</f>
        <v>4.2425593626159408</v>
      </c>
      <c r="W31" s="968">
        <f t="shared" si="111"/>
        <v>4.2425593626159408</v>
      </c>
      <c r="X31" s="968">
        <f t="shared" si="111"/>
        <v>4.2425593626159408</v>
      </c>
      <c r="Y31" s="968">
        <f t="shared" si="111"/>
        <v>4.2425593626159408</v>
      </c>
      <c r="Z31" s="968">
        <f t="shared" si="111"/>
        <v>4.2425593626159408</v>
      </c>
      <c r="AA31" s="968">
        <f t="shared" si="111"/>
        <v>4.2425593626159408</v>
      </c>
      <c r="AB31" s="968">
        <f t="shared" si="111"/>
        <v>4.2425593626159408</v>
      </c>
      <c r="AC31" s="968">
        <f t="shared" si="111"/>
        <v>4.2425593626159408</v>
      </c>
      <c r="AD31" s="968">
        <f t="shared" si="111"/>
        <v>4.2425593626159408</v>
      </c>
      <c r="AE31" s="968">
        <f t="shared" si="111"/>
        <v>4.2425593626159408</v>
      </c>
      <c r="AF31" s="968">
        <f t="shared" si="111"/>
        <v>4.2425593626159408</v>
      </c>
      <c r="AG31" s="968">
        <f t="shared" si="111"/>
        <v>4.2425593626159408</v>
      </c>
      <c r="AH31" s="968">
        <f t="shared" si="111"/>
        <v>4.2425593626159408</v>
      </c>
      <c r="AI31" s="968">
        <f t="shared" si="111"/>
        <v>4.2425593626159408</v>
      </c>
      <c r="AJ31" s="968">
        <f t="shared" si="111"/>
        <v>4.2425593626159408</v>
      </c>
      <c r="AK31" s="968">
        <f t="shared" si="111"/>
        <v>4.2425593626159408</v>
      </c>
      <c r="AL31" s="968">
        <f t="shared" si="111"/>
        <v>4.2425593626159408</v>
      </c>
      <c r="AM31" s="968">
        <f t="shared" si="111"/>
        <v>4.2425593626159408</v>
      </c>
      <c r="AN31" s="968">
        <f t="shared" si="111"/>
        <v>4.2425593626159408</v>
      </c>
      <c r="AO31" s="968">
        <f t="shared" si="111"/>
        <v>4.2425593626159408</v>
      </c>
      <c r="AP31" s="968">
        <f t="shared" si="111"/>
        <v>4.2425593626159408</v>
      </c>
      <c r="AQ31" s="968">
        <f t="shared" si="111"/>
        <v>4.2425593626159408</v>
      </c>
      <c r="AR31" s="968">
        <f t="shared" si="111"/>
        <v>4.2425593626159408</v>
      </c>
      <c r="AS31" s="968">
        <f t="shared" si="111"/>
        <v>4.2425593626159408</v>
      </c>
      <c r="AT31" s="968">
        <f t="shared" si="111"/>
        <v>4.2425593626159408</v>
      </c>
      <c r="AU31" s="968">
        <f t="shared" si="111"/>
        <v>4.2425593626159408</v>
      </c>
      <c r="AV31" s="968">
        <f t="shared" si="111"/>
        <v>4.2425593626159408</v>
      </c>
      <c r="AW31" s="968">
        <f t="shared" si="111"/>
        <v>4.2425593626159408</v>
      </c>
      <c r="AX31" s="968">
        <f t="shared" si="111"/>
        <v>4.2425593626159408</v>
      </c>
      <c r="AY31" s="968">
        <f t="shared" si="111"/>
        <v>4.2425593626159408</v>
      </c>
      <c r="AZ31" s="968">
        <f t="shared" si="111"/>
        <v>4.2425593626159408</v>
      </c>
      <c r="BA31" s="968">
        <f t="shared" si="111"/>
        <v>4.2425593626159408</v>
      </c>
      <c r="BB31" s="968">
        <f t="shared" si="111"/>
        <v>4.2425593626159408</v>
      </c>
      <c r="BC31" s="968">
        <f t="shared" si="111"/>
        <v>4.2425593626159408</v>
      </c>
      <c r="BD31" s="968">
        <f t="shared" si="111"/>
        <v>4.2425593626159408</v>
      </c>
      <c r="BE31" s="968">
        <f t="shared" si="111"/>
        <v>4.2425593626159408</v>
      </c>
      <c r="BF31" s="968">
        <f t="shared" si="111"/>
        <v>4.2425593626159408</v>
      </c>
      <c r="BG31" s="968">
        <f t="shared" si="111"/>
        <v>4.2425593626159408</v>
      </c>
      <c r="BH31" s="968">
        <f t="shared" si="111"/>
        <v>4.2425593626159408</v>
      </c>
      <c r="BI31" s="968">
        <f t="shared" si="111"/>
        <v>4.2425593626159408</v>
      </c>
      <c r="BJ31" s="968">
        <f t="shared" si="111"/>
        <v>4.2425593626159408</v>
      </c>
      <c r="BK31" s="968">
        <f t="shared" si="111"/>
        <v>4.2425593626159408</v>
      </c>
      <c r="BL31" s="968">
        <f t="shared" si="111"/>
        <v>4.2425593626159408</v>
      </c>
      <c r="BM31" s="968">
        <f t="shared" si="111"/>
        <v>4.2425593626159408</v>
      </c>
      <c r="BN31" s="968">
        <f t="shared" si="111"/>
        <v>4.2425593626159408</v>
      </c>
      <c r="BO31" s="968">
        <f t="shared" si="111"/>
        <v>4.2425593626159408</v>
      </c>
      <c r="BP31" s="968">
        <f t="shared" si="111"/>
        <v>4.2425593626159408</v>
      </c>
      <c r="BQ31" s="968">
        <f t="shared" si="111"/>
        <v>4.2425593626159408</v>
      </c>
      <c r="BR31" s="968">
        <f t="shared" si="111"/>
        <v>4.2425593626159408</v>
      </c>
      <c r="BS31" s="968">
        <f t="shared" si="111"/>
        <v>4.2425593626159408</v>
      </c>
      <c r="BT31" s="968">
        <f t="shared" si="111"/>
        <v>4.2425593626159408</v>
      </c>
      <c r="BU31" s="968">
        <f t="shared" si="111"/>
        <v>4.2425593626159408</v>
      </c>
      <c r="BV31" s="968">
        <f t="shared" si="111"/>
        <v>4.2425593626159408</v>
      </c>
      <c r="BW31" s="1400">
        <f>+BV31*BW$137/BV$137</f>
        <v>4.2527568062628252</v>
      </c>
      <c r="BX31" s="1400">
        <f t="shared" ref="BX31:CZ31" si="112">+BW31*BX$137/BW$137</f>
        <v>4.2629787605524712</v>
      </c>
      <c r="BY31" s="1400">
        <f t="shared" si="112"/>
        <v>4.2732252843988219</v>
      </c>
      <c r="BZ31" s="1400">
        <f t="shared" si="112"/>
        <v>4.2834964368574244</v>
      </c>
      <c r="CA31" s="1400">
        <f t="shared" si="112"/>
        <v>4.2937922771257746</v>
      </c>
      <c r="CB31" s="1400">
        <f t="shared" si="112"/>
        <v>4.302804903291757</v>
      </c>
      <c r="CC31" s="1400">
        <f t="shared" si="112"/>
        <v>4.3118364468680763</v>
      </c>
      <c r="CD31" s="1400">
        <f t="shared" si="112"/>
        <v>4.3208869475621841</v>
      </c>
      <c r="CE31" s="1400">
        <f t="shared" si="112"/>
        <v>4.3299564451648767</v>
      </c>
      <c r="CF31" s="1400">
        <f t="shared" si="112"/>
        <v>4.3390449795504713</v>
      </c>
      <c r="CG31" s="1400">
        <f t="shared" si="112"/>
        <v>4.3502256342328796</v>
      </c>
      <c r="CH31" s="1400">
        <f t="shared" si="112"/>
        <v>4.361435098720146</v>
      </c>
      <c r="CI31" s="1400">
        <f t="shared" si="112"/>
        <v>4.3726734472480695</v>
      </c>
      <c r="CJ31" s="1400">
        <f t="shared" si="112"/>
        <v>4.3839407542437394</v>
      </c>
      <c r="CK31" s="1400">
        <f t="shared" si="112"/>
        <v>4.3952370943260251</v>
      </c>
      <c r="CL31" s="1400">
        <f t="shared" si="112"/>
        <v>4.4046447412304142</v>
      </c>
      <c r="CM31" s="1400">
        <f t="shared" si="112"/>
        <v>4.4140725244365262</v>
      </c>
      <c r="CN31" s="1400">
        <f t="shared" si="112"/>
        <v>4.4235204870444758</v>
      </c>
      <c r="CO31" s="1400">
        <f t="shared" si="112"/>
        <v>4.4329886722466272</v>
      </c>
      <c r="CP31" s="1400">
        <f t="shared" si="112"/>
        <v>4.4424771233277953</v>
      </c>
      <c r="CQ31" s="1400">
        <f t="shared" si="112"/>
        <v>4.4511618127714661</v>
      </c>
      <c r="CR31" s="1400">
        <f t="shared" si="112"/>
        <v>4.4598634800922632</v>
      </c>
      <c r="CS31" s="1400">
        <f t="shared" si="112"/>
        <v>4.4685821584805847</v>
      </c>
      <c r="CT31" s="1400">
        <f t="shared" si="112"/>
        <v>4.4773178811917154</v>
      </c>
      <c r="CU31" s="1400">
        <f t="shared" si="112"/>
        <v>4.486070681545951</v>
      </c>
      <c r="CV31" s="1400">
        <f t="shared" si="112"/>
        <v>4.4964044657748525</v>
      </c>
      <c r="CW31" s="1400">
        <f t="shared" si="112"/>
        <v>4.5067620541531026</v>
      </c>
      <c r="CX31" s="1400">
        <f t="shared" si="112"/>
        <v>4.5171435015141972</v>
      </c>
      <c r="CY31" s="1400">
        <f t="shared" si="112"/>
        <v>4.5275488628179446</v>
      </c>
      <c r="CZ31" s="1400">
        <f t="shared" si="112"/>
        <v>4.537978193150753</v>
      </c>
    </row>
    <row r="32" spans="1:104" ht="13" x14ac:dyDescent="0.3">
      <c r="A32" s="973" t="str">
        <f>'HyARC Physical Property Data'!A79</f>
        <v>Electric Utility Steam Coal</v>
      </c>
      <c r="B32" s="264">
        <v>2011</v>
      </c>
      <c r="C32" s="877">
        <f>VLOOKUP(ref_year,DeflatorTable,2,FALSE)/VLOOKUP(B32,DeflatorTable,2,FALSE)</f>
        <v>1.0784554773635862</v>
      </c>
      <c r="D32" s="1262" t="str">
        <f>+'HyARC Physical Property Data'!$H$79</f>
        <v>kg</v>
      </c>
      <c r="E32" s="904" t="s">
        <v>1052</v>
      </c>
      <c r="F32" s="264">
        <f>'HyARC Physical Property Data'!E42</f>
        <v>22.7322030001394</v>
      </c>
      <c r="G32" s="264">
        <f>'HyARC Physical Property Data'!I42</f>
        <v>23.967615189707661</v>
      </c>
      <c r="H32" s="1071">
        <v>1.7344499599167666</v>
      </c>
      <c r="I32" s="1071">
        <v>1.7344499599167666</v>
      </c>
      <c r="J32" s="1071">
        <v>1.7344499599167666</v>
      </c>
      <c r="K32" s="1071">
        <v>1.7788973636542149</v>
      </c>
      <c r="L32" s="1071">
        <v>1.9298772179141501</v>
      </c>
      <c r="M32" s="1071">
        <v>1.9810774561110811</v>
      </c>
      <c r="N32" s="264">
        <f t="shared" ref="N32:AR32" si="113">N50*($C32/mmBTU_to_GJ*$G32/$F32)</f>
        <v>2.4767433408545654</v>
      </c>
      <c r="O32" s="264">
        <f t="shared" si="113"/>
        <v>2.5651337544408896</v>
      </c>
      <c r="P32" s="264">
        <f t="shared" si="113"/>
        <v>2.592373750453385</v>
      </c>
      <c r="Q32" s="264">
        <f t="shared" si="113"/>
        <v>2.5186929778253004</v>
      </c>
      <c r="R32" s="264">
        <f t="shared" si="113"/>
        <v>2.5813167306269946</v>
      </c>
      <c r="S32" s="264">
        <f t="shared" si="113"/>
        <v>2.582493674349621</v>
      </c>
      <c r="T32" s="264">
        <f t="shared" si="113"/>
        <v>2.6495298883238707</v>
      </c>
      <c r="U32" s="264">
        <f t="shared" si="113"/>
        <v>2.6645951990883976</v>
      </c>
      <c r="V32" s="264">
        <f t="shared" si="113"/>
        <v>2.6731948638895253</v>
      </c>
      <c r="W32" s="264">
        <f t="shared" si="113"/>
        <v>2.6770339422228524</v>
      </c>
      <c r="X32" s="264">
        <f t="shared" si="113"/>
        <v>2.7117742599988581</v>
      </c>
      <c r="Y32" s="264">
        <f t="shared" si="113"/>
        <v>2.7445379158817356</v>
      </c>
      <c r="Z32" s="264">
        <f t="shared" si="113"/>
        <v>2.7930415773737955</v>
      </c>
      <c r="AA32" s="264">
        <f t="shared" si="113"/>
        <v>2.8325090702115565</v>
      </c>
      <c r="AB32" s="264">
        <f t="shared" si="113"/>
        <v>2.8662642904028734</v>
      </c>
      <c r="AC32" s="264">
        <f t="shared" si="113"/>
        <v>2.9010186194136725</v>
      </c>
      <c r="AD32" s="264">
        <f t="shared" si="113"/>
        <v>2.940829926397512</v>
      </c>
      <c r="AE32" s="264">
        <f t="shared" si="113"/>
        <v>2.9767170098519729</v>
      </c>
      <c r="AF32" s="264">
        <f t="shared" si="113"/>
        <v>3.0091724185694009</v>
      </c>
      <c r="AG32" s="264">
        <f t="shared" si="113"/>
        <v>3.0482659192169139</v>
      </c>
      <c r="AH32" s="264">
        <f t="shared" si="113"/>
        <v>3.0901131663949291</v>
      </c>
      <c r="AI32" s="264">
        <f t="shared" si="113"/>
        <v>3.1223497842921248</v>
      </c>
      <c r="AJ32" s="264">
        <f t="shared" si="113"/>
        <v>3.1512808285654264</v>
      </c>
      <c r="AK32" s="264">
        <f t="shared" si="113"/>
        <v>3.1840250842770517</v>
      </c>
      <c r="AL32" s="264">
        <f t="shared" si="113"/>
        <v>3.2199865350546464</v>
      </c>
      <c r="AM32" s="264">
        <f t="shared" si="113"/>
        <v>3.2659164404939314</v>
      </c>
      <c r="AN32" s="264">
        <f t="shared" si="113"/>
        <v>3.3055854795552553</v>
      </c>
      <c r="AO32" s="264">
        <f t="shared" si="113"/>
        <v>3.3425050832352436</v>
      </c>
      <c r="AP32" s="264">
        <f t="shared" si="113"/>
        <v>3.3788577707997551</v>
      </c>
      <c r="AQ32" s="264">
        <f t="shared" si="113"/>
        <v>3.4165792482248296</v>
      </c>
      <c r="AR32" s="264">
        <f t="shared" si="113"/>
        <v>3.4505834372805482</v>
      </c>
      <c r="AS32" s="264">
        <f t="shared" ref="AS32:BA32" si="114">($BB32-$AR32)/10+AR32</f>
        <v>3.4478678685678643</v>
      </c>
      <c r="AT32" s="264">
        <f t="shared" si="114"/>
        <v>3.44515229985518</v>
      </c>
      <c r="AU32" s="264">
        <f t="shared" si="114"/>
        <v>3.4424367311424957</v>
      </c>
      <c r="AV32" s="264">
        <f t="shared" si="114"/>
        <v>3.4397211624298114</v>
      </c>
      <c r="AW32" s="264">
        <f t="shared" si="114"/>
        <v>3.4370055937171271</v>
      </c>
      <c r="AX32" s="264">
        <f t="shared" si="114"/>
        <v>3.4342900250044428</v>
      </c>
      <c r="AY32" s="264">
        <f t="shared" si="114"/>
        <v>3.4315744562917585</v>
      </c>
      <c r="AZ32" s="264">
        <f t="shared" si="114"/>
        <v>3.4288588875790742</v>
      </c>
      <c r="BA32" s="264">
        <f t="shared" si="114"/>
        <v>3.4261433188663899</v>
      </c>
      <c r="BB32" s="942">
        <f>('AEO Data'!$B$28*AM32)</f>
        <v>3.4234277501537074</v>
      </c>
      <c r="BC32" s="264">
        <f>(($BQ$32-$BB$32)/15+BB32)</f>
        <v>3.435442052510095</v>
      </c>
      <c r="BD32" s="264">
        <f t="shared" ref="BD32:BP32" si="115">(($BQ$32-$BB$32)/15+BC32)</f>
        <v>3.4474563548664827</v>
      </c>
      <c r="BE32" s="264">
        <f t="shared" si="115"/>
        <v>3.4594706572228704</v>
      </c>
      <c r="BF32" s="264">
        <f t="shared" si="115"/>
        <v>3.4714849595792581</v>
      </c>
      <c r="BG32" s="264">
        <f t="shared" si="115"/>
        <v>3.4834992619356457</v>
      </c>
      <c r="BH32" s="264">
        <f t="shared" si="115"/>
        <v>3.4955135642920334</v>
      </c>
      <c r="BI32" s="264">
        <f t="shared" si="115"/>
        <v>3.5075278666484211</v>
      </c>
      <c r="BJ32" s="264">
        <f t="shared" si="115"/>
        <v>3.5195421690048088</v>
      </c>
      <c r="BK32" s="264">
        <f t="shared" si="115"/>
        <v>3.5315564713611964</v>
      </c>
      <c r="BL32" s="264">
        <f t="shared" si="115"/>
        <v>3.5435707737175841</v>
      </c>
      <c r="BM32" s="264">
        <f t="shared" si="115"/>
        <v>3.5555850760739718</v>
      </c>
      <c r="BN32" s="264">
        <f t="shared" si="115"/>
        <v>3.5675993784303595</v>
      </c>
      <c r="BO32" s="264">
        <f t="shared" si="115"/>
        <v>3.5796136807867471</v>
      </c>
      <c r="BP32" s="264">
        <f t="shared" si="115"/>
        <v>3.5916279831431348</v>
      </c>
      <c r="BQ32" s="942">
        <f>('AEO Data'!$C$28*BB32)</f>
        <v>3.6036422854995251</v>
      </c>
      <c r="BR32" s="264">
        <f>(($BV$32-$BQ$32)/5+BQ32)</f>
        <v>3.6151952056451568</v>
      </c>
      <c r="BS32" s="264">
        <f>(($BV$32-$BQ$32)/5+BR32)</f>
        <v>3.6267481257907885</v>
      </c>
      <c r="BT32" s="264">
        <f>(($BV$32-$BQ$32)/5+BS32)</f>
        <v>3.6383010459364202</v>
      </c>
      <c r="BU32" s="264">
        <f>(($BV$32-$BQ$32)/5+BT32)</f>
        <v>3.6498539660820519</v>
      </c>
      <c r="BV32" s="966">
        <f>('AEO Data'!$D$28*BQ32)</f>
        <v>3.6614068862276832</v>
      </c>
      <c r="BW32" s="1400">
        <f>+BV32*BW$138/BV$138</f>
        <v>3.6737859390461725</v>
      </c>
      <c r="BX32" s="1400">
        <f t="shared" ref="BX32:CZ32" si="116">+BW32*BX$138/BW$138</f>
        <v>3.6862068448882255</v>
      </c>
      <c r="BY32" s="1400">
        <f t="shared" si="116"/>
        <v>3.6986697452570407</v>
      </c>
      <c r="BZ32" s="1400">
        <f t="shared" si="116"/>
        <v>3.7111747821342336</v>
      </c>
      <c r="CA32" s="1400">
        <f t="shared" si="116"/>
        <v>3.7237220979814545</v>
      </c>
      <c r="CB32" s="1400">
        <f t="shared" si="116"/>
        <v>3.7343836989714818</v>
      </c>
      <c r="CC32" s="1400">
        <f t="shared" si="116"/>
        <v>3.7450758257990131</v>
      </c>
      <c r="CD32" s="1400">
        <f t="shared" si="116"/>
        <v>3.7557985658643127</v>
      </c>
      <c r="CE32" s="1400">
        <f t="shared" si="116"/>
        <v>3.766552006817887</v>
      </c>
      <c r="CF32" s="1400">
        <f t="shared" si="116"/>
        <v>3.7773362365611991</v>
      </c>
      <c r="CG32" s="1400">
        <f t="shared" si="116"/>
        <v>3.7855700072018039</v>
      </c>
      <c r="CH32" s="1400">
        <f t="shared" si="116"/>
        <v>3.7938217256698499</v>
      </c>
      <c r="CI32" s="1400">
        <f t="shared" si="116"/>
        <v>3.8020914310876934</v>
      </c>
      <c r="CJ32" s="1400">
        <f t="shared" si="116"/>
        <v>3.8103791626629699</v>
      </c>
      <c r="CK32" s="1400">
        <f t="shared" si="116"/>
        <v>3.818684959688778</v>
      </c>
      <c r="CL32" s="1400">
        <f t="shared" si="116"/>
        <v>3.8243155975254672</v>
      </c>
      <c r="CM32" s="1400">
        <f t="shared" si="116"/>
        <v>3.8299545377182778</v>
      </c>
      <c r="CN32" s="1400">
        <f t="shared" si="116"/>
        <v>3.8356017925090047</v>
      </c>
      <c r="CO32" s="1400">
        <f t="shared" si="116"/>
        <v>3.841257374157494</v>
      </c>
      <c r="CP32" s="1400">
        <f t="shared" si="116"/>
        <v>3.846921294941668</v>
      </c>
      <c r="CQ32" s="1400">
        <f t="shared" si="116"/>
        <v>3.8488180534393406</v>
      </c>
      <c r="CR32" s="1400">
        <f t="shared" si="116"/>
        <v>3.8507157471505309</v>
      </c>
      <c r="CS32" s="1400">
        <f t="shared" si="116"/>
        <v>3.852614376536355</v>
      </c>
      <c r="CT32" s="1400">
        <f t="shared" si="116"/>
        <v>3.8545139420581549</v>
      </c>
      <c r="CU32" s="1400">
        <f t="shared" si="116"/>
        <v>3.8564144441775015</v>
      </c>
      <c r="CV32" s="1400">
        <f t="shared" si="116"/>
        <v>3.853683012772128</v>
      </c>
      <c r="CW32" s="1400">
        <f t="shared" si="116"/>
        <v>3.8509535159922028</v>
      </c>
      <c r="CX32" s="1400">
        <f t="shared" si="116"/>
        <v>3.8482259524674642</v>
      </c>
      <c r="CY32" s="1400">
        <f t="shared" si="116"/>
        <v>3.8455003208286209</v>
      </c>
      <c r="CZ32" s="1400">
        <f t="shared" si="116"/>
        <v>3.8427766197073518</v>
      </c>
    </row>
    <row r="33" spans="1:106" ht="13" x14ac:dyDescent="0.3">
      <c r="A33" s="967" t="str">
        <f>'HyARC Physical Property Data'!A76</f>
        <v>Commercial Electricity</v>
      </c>
      <c r="B33" s="264">
        <v>2011</v>
      </c>
      <c r="C33" s="877">
        <f t="shared" si="99"/>
        <v>1.0784554773635862</v>
      </c>
      <c r="D33" s="1262" t="str">
        <f>'HyARC Physical Property Data'!$H$76</f>
        <v>kWh</v>
      </c>
      <c r="E33" s="877" t="s">
        <v>1071</v>
      </c>
      <c r="F33" s="877"/>
      <c r="G33" s="877"/>
      <c r="H33" s="1071">
        <v>26.896922396257633</v>
      </c>
      <c r="I33" s="1071">
        <v>26.896922396257633</v>
      </c>
      <c r="J33" s="1071">
        <v>26.896922396257633</v>
      </c>
      <c r="K33" s="1071">
        <v>26.568469730033652</v>
      </c>
      <c r="L33" s="1071">
        <v>27.542479456318485</v>
      </c>
      <c r="M33" s="1071">
        <v>26.167555894896875</v>
      </c>
      <c r="N33" s="264">
        <f t="shared" ref="N33:AR33" si="117">(N51/(mmBTU_to_GJ))*($C33)</f>
        <v>31.170510750229255</v>
      </c>
      <c r="O33" s="264">
        <f t="shared" si="117"/>
        <v>30.647202241072566</v>
      </c>
      <c r="P33" s="264">
        <f t="shared" si="117"/>
        <v>29.096288196984492</v>
      </c>
      <c r="Q33" s="264">
        <f t="shared" si="117"/>
        <v>28.387905483352725</v>
      </c>
      <c r="R33" s="264">
        <f t="shared" si="117"/>
        <v>28.463304343594306</v>
      </c>
      <c r="S33" s="264">
        <f t="shared" si="117"/>
        <v>28.350595012766668</v>
      </c>
      <c r="T33" s="264">
        <f t="shared" si="117"/>
        <v>28.857908647179944</v>
      </c>
      <c r="U33" s="264">
        <f t="shared" si="117"/>
        <v>29.151791342575894</v>
      </c>
      <c r="V33" s="264">
        <f t="shared" si="117"/>
        <v>29.281852050913265</v>
      </c>
      <c r="W33" s="264">
        <f t="shared" si="117"/>
        <v>29.2121521378625</v>
      </c>
      <c r="X33" s="264">
        <f t="shared" si="117"/>
        <v>29.201670163962135</v>
      </c>
      <c r="Y33" s="264">
        <f t="shared" si="117"/>
        <v>29.313283661356845</v>
      </c>
      <c r="Z33" s="264">
        <f t="shared" si="117"/>
        <v>29.301901100465429</v>
      </c>
      <c r="AA33" s="264">
        <f t="shared" si="117"/>
        <v>29.26493001112912</v>
      </c>
      <c r="AB33" s="264">
        <f t="shared" si="117"/>
        <v>29.269341967375848</v>
      </c>
      <c r="AC33" s="264">
        <f t="shared" si="117"/>
        <v>29.119158608733361</v>
      </c>
      <c r="AD33" s="264">
        <f t="shared" si="117"/>
        <v>29.009605932421458</v>
      </c>
      <c r="AE33" s="264">
        <f t="shared" si="117"/>
        <v>29.000424238490005</v>
      </c>
      <c r="AF33" s="264">
        <f t="shared" si="117"/>
        <v>29.116216623080415</v>
      </c>
      <c r="AG33" s="264">
        <f t="shared" si="117"/>
        <v>29.212683698856079</v>
      </c>
      <c r="AH33" s="264">
        <f t="shared" si="117"/>
        <v>29.289319460640414</v>
      </c>
      <c r="AI33" s="264">
        <f t="shared" si="117"/>
        <v>29.420953385072249</v>
      </c>
      <c r="AJ33" s="264">
        <f t="shared" si="117"/>
        <v>29.555370849091627</v>
      </c>
      <c r="AK33" s="264">
        <f t="shared" si="117"/>
        <v>29.728290707001914</v>
      </c>
      <c r="AL33" s="264">
        <f t="shared" si="117"/>
        <v>29.921887265329854</v>
      </c>
      <c r="AM33" s="264">
        <f t="shared" si="117"/>
        <v>30.317863405172005</v>
      </c>
      <c r="AN33" s="264">
        <f t="shared" si="117"/>
        <v>30.770945551447749</v>
      </c>
      <c r="AO33" s="264">
        <f t="shared" si="117"/>
        <v>31.181233971042094</v>
      </c>
      <c r="AP33" s="264">
        <f t="shared" si="117"/>
        <v>31.632038582906873</v>
      </c>
      <c r="AQ33" s="264">
        <f t="shared" si="117"/>
        <v>32.176370329359735</v>
      </c>
      <c r="AR33" s="264">
        <f t="shared" si="117"/>
        <v>32.452971159068191</v>
      </c>
      <c r="AS33" s="264">
        <f t="shared" ref="AS33:BA33" si="118">($BB33-$AR33)/10+AR33</f>
        <v>32.16388259843756</v>
      </c>
      <c r="AT33" s="264">
        <f t="shared" si="118"/>
        <v>31.874794037806929</v>
      </c>
      <c r="AU33" s="264">
        <f t="shared" si="118"/>
        <v>31.585705477176298</v>
      </c>
      <c r="AV33" s="264">
        <f t="shared" si="118"/>
        <v>31.296616916545666</v>
      </c>
      <c r="AW33" s="264">
        <f t="shared" si="118"/>
        <v>31.007528355915035</v>
      </c>
      <c r="AX33" s="264">
        <f t="shared" si="118"/>
        <v>30.718439795284404</v>
      </c>
      <c r="AY33" s="264">
        <f t="shared" si="118"/>
        <v>30.429351234653772</v>
      </c>
      <c r="AZ33" s="264">
        <f t="shared" si="118"/>
        <v>30.140262674023141</v>
      </c>
      <c r="BA33" s="264">
        <f t="shared" si="118"/>
        <v>29.85117411339251</v>
      </c>
      <c r="BB33" s="942">
        <f>'AEO Data'!$B$33*AM33</f>
        <v>29.562085552761868</v>
      </c>
      <c r="BC33" s="264">
        <f t="shared" ref="BC33:BP33" si="119">($BQ33-$BB33)/15+BB33</f>
        <v>29.579309127727463</v>
      </c>
      <c r="BD33" s="264">
        <f t="shared" si="119"/>
        <v>29.596532702693057</v>
      </c>
      <c r="BE33" s="264">
        <f t="shared" si="119"/>
        <v>29.613756277658652</v>
      </c>
      <c r="BF33" s="264">
        <f t="shared" si="119"/>
        <v>29.630979852624247</v>
      </c>
      <c r="BG33" s="264">
        <f t="shared" si="119"/>
        <v>29.648203427589841</v>
      </c>
      <c r="BH33" s="264">
        <f t="shared" si="119"/>
        <v>29.665427002555436</v>
      </c>
      <c r="BI33" s="264">
        <f t="shared" si="119"/>
        <v>29.682650577521031</v>
      </c>
      <c r="BJ33" s="264">
        <f t="shared" si="119"/>
        <v>29.699874152486625</v>
      </c>
      <c r="BK33" s="264">
        <f t="shared" si="119"/>
        <v>29.71709772745222</v>
      </c>
      <c r="BL33" s="264">
        <f t="shared" si="119"/>
        <v>29.734321302417815</v>
      </c>
      <c r="BM33" s="264">
        <f t="shared" si="119"/>
        <v>29.751544877383409</v>
      </c>
      <c r="BN33" s="264">
        <f t="shared" si="119"/>
        <v>29.768768452349004</v>
      </c>
      <c r="BO33" s="264">
        <f t="shared" si="119"/>
        <v>29.785992027314599</v>
      </c>
      <c r="BP33" s="264">
        <f t="shared" si="119"/>
        <v>29.803215602280194</v>
      </c>
      <c r="BQ33" s="942">
        <f>'AEO Data'!$C$33*BB33</f>
        <v>29.82043917724577</v>
      </c>
      <c r="BR33" s="264">
        <f t="shared" ref="BR33:BU35" si="120">($BV33-$BQ33)/5+BQ33</f>
        <v>29.800359578005001</v>
      </c>
      <c r="BS33" s="264">
        <f t="shared" si="120"/>
        <v>29.780279978764231</v>
      </c>
      <c r="BT33" s="264">
        <f t="shared" si="120"/>
        <v>29.760200379523461</v>
      </c>
      <c r="BU33" s="264">
        <f t="shared" si="120"/>
        <v>29.740120780282691</v>
      </c>
      <c r="BV33" s="966">
        <f>'AEO Data'!$D$33*BQ33</f>
        <v>29.720041181041928</v>
      </c>
      <c r="BW33" s="1400">
        <f>+BV33*BW$139/BV$139</f>
        <v>29.706955334848292</v>
      </c>
      <c r="BX33" s="1400">
        <f t="shared" ref="BX33:CZ33" si="121">+BW33*BX$139/BW$139</f>
        <v>29.693875250402076</v>
      </c>
      <c r="BY33" s="1400">
        <f t="shared" si="121"/>
        <v>29.680800925166359</v>
      </c>
      <c r="BZ33" s="1400">
        <f t="shared" si="121"/>
        <v>29.667732356605345</v>
      </c>
      <c r="CA33" s="1400">
        <f t="shared" si="121"/>
        <v>29.654669542184347</v>
      </c>
      <c r="CB33" s="1400">
        <f t="shared" si="121"/>
        <v>29.630916614985676</v>
      </c>
      <c r="CC33" s="1400">
        <f t="shared" si="121"/>
        <v>29.607182713510749</v>
      </c>
      <c r="CD33" s="1400">
        <f t="shared" si="121"/>
        <v>29.583467822520262</v>
      </c>
      <c r="CE33" s="1400">
        <f t="shared" si="121"/>
        <v>29.559771926787111</v>
      </c>
      <c r="CF33" s="1400">
        <f t="shared" si="121"/>
        <v>29.536095011096396</v>
      </c>
      <c r="CG33" s="1400">
        <f t="shared" si="121"/>
        <v>29.503478732865982</v>
      </c>
      <c r="CH33" s="1400">
        <f t="shared" si="121"/>
        <v>29.470898472315131</v>
      </c>
      <c r="CI33" s="1400">
        <f t="shared" si="121"/>
        <v>29.438354189670047</v>
      </c>
      <c r="CJ33" s="1400">
        <f t="shared" si="121"/>
        <v>29.405845845200851</v>
      </c>
      <c r="CK33" s="1400">
        <f t="shared" si="121"/>
        <v>29.373373399221538</v>
      </c>
      <c r="CL33" s="1400">
        <f t="shared" si="121"/>
        <v>29.33797049714088</v>
      </c>
      <c r="CM33" s="1400">
        <f t="shared" si="121"/>
        <v>29.302610265183901</v>
      </c>
      <c r="CN33" s="1400">
        <f t="shared" si="121"/>
        <v>29.267292651921498</v>
      </c>
      <c r="CO33" s="1400">
        <f t="shared" si="121"/>
        <v>29.232017605986552</v>
      </c>
      <c r="CP33" s="1400">
        <f t="shared" si="121"/>
        <v>29.196785076073859</v>
      </c>
      <c r="CQ33" s="1400">
        <f t="shared" si="121"/>
        <v>29.155976606392862</v>
      </c>
      <c r="CR33" s="1400">
        <f t="shared" si="121"/>
        <v>29.115225174882106</v>
      </c>
      <c r="CS33" s="1400">
        <f t="shared" si="121"/>
        <v>29.074530701819103</v>
      </c>
      <c r="CT33" s="1400">
        <f t="shared" si="121"/>
        <v>29.033893107592792</v>
      </c>
      <c r="CU33" s="1400">
        <f t="shared" si="121"/>
        <v>28.993312312703377</v>
      </c>
      <c r="CV33" s="1400">
        <f t="shared" si="121"/>
        <v>28.95369823223389</v>
      </c>
      <c r="CW33" s="1400">
        <f t="shared" si="121"/>
        <v>28.914138277190098</v>
      </c>
      <c r="CX33" s="1400">
        <f t="shared" si="121"/>
        <v>28.874632373619477</v>
      </c>
      <c r="CY33" s="1400">
        <f t="shared" si="121"/>
        <v>28.835180447670528</v>
      </c>
      <c r="CZ33" s="1400">
        <f t="shared" si="121"/>
        <v>28.795782425592659</v>
      </c>
    </row>
    <row r="34" spans="1:106" ht="13" x14ac:dyDescent="0.3">
      <c r="A34" s="967" t="str">
        <f>'HyARC Physical Property Data'!A77</f>
        <v>Industrial Electricity</v>
      </c>
      <c r="B34" s="264">
        <v>2011</v>
      </c>
      <c r="C34" s="877">
        <f t="shared" si="99"/>
        <v>1.0784554773635862</v>
      </c>
      <c r="D34" s="1250" t="str">
        <f>'HyARC Physical Property Data'!$H$77</f>
        <v>kWh</v>
      </c>
      <c r="E34" s="877" t="s">
        <v>1071</v>
      </c>
      <c r="F34" s="877"/>
      <c r="G34" s="877"/>
      <c r="H34" s="1071">
        <v>17.44160584363896</v>
      </c>
      <c r="I34" s="1071">
        <v>17.44160584363896</v>
      </c>
      <c r="J34" s="1071">
        <v>17.44160584363896</v>
      </c>
      <c r="K34" s="1071">
        <v>17.651840860809763</v>
      </c>
      <c r="L34" s="1071">
        <v>19.274322003549859</v>
      </c>
      <c r="M34" s="1071">
        <v>18.160650967421709</v>
      </c>
      <c r="N34" s="264">
        <f t="shared" ref="N34:AR34" si="122">(N52/(mmBTU_to_GJ))*($C34)</f>
        <v>20.71088694517794</v>
      </c>
      <c r="O34" s="264">
        <f t="shared" si="122"/>
        <v>20.419854234493727</v>
      </c>
      <c r="P34" s="264">
        <f t="shared" si="122"/>
        <v>18.84589804356655</v>
      </c>
      <c r="Q34" s="264">
        <f t="shared" si="122"/>
        <v>18.546331734469991</v>
      </c>
      <c r="R34" s="264">
        <f t="shared" si="122"/>
        <v>18.447325432717289</v>
      </c>
      <c r="S34" s="264">
        <f t="shared" si="122"/>
        <v>18.282111164748592</v>
      </c>
      <c r="T34" s="264">
        <f t="shared" si="122"/>
        <v>18.776485377898855</v>
      </c>
      <c r="U34" s="264">
        <f t="shared" si="122"/>
        <v>19.0506124045218</v>
      </c>
      <c r="V34" s="264">
        <f t="shared" si="122"/>
        <v>19.200702739990415</v>
      </c>
      <c r="W34" s="264">
        <f t="shared" si="122"/>
        <v>19.143487354660063</v>
      </c>
      <c r="X34" s="264">
        <f t="shared" si="122"/>
        <v>19.136493238663739</v>
      </c>
      <c r="Y34" s="264">
        <f t="shared" si="122"/>
        <v>19.273625752681113</v>
      </c>
      <c r="Z34" s="264">
        <f t="shared" si="122"/>
        <v>19.383161051037455</v>
      </c>
      <c r="AA34" s="264">
        <f t="shared" si="122"/>
        <v>19.514271592337145</v>
      </c>
      <c r="AB34" s="264">
        <f t="shared" si="122"/>
        <v>19.584716713011606</v>
      </c>
      <c r="AC34" s="264">
        <f t="shared" si="122"/>
        <v>19.608427400023405</v>
      </c>
      <c r="AD34" s="264">
        <f t="shared" si="122"/>
        <v>19.702865343929336</v>
      </c>
      <c r="AE34" s="264">
        <f t="shared" si="122"/>
        <v>19.792952665549336</v>
      </c>
      <c r="AF34" s="264">
        <f t="shared" si="122"/>
        <v>19.899804603120767</v>
      </c>
      <c r="AG34" s="264">
        <f t="shared" si="122"/>
        <v>20.04636516914546</v>
      </c>
      <c r="AH34" s="264">
        <f t="shared" si="122"/>
        <v>20.164927804298578</v>
      </c>
      <c r="AI34" s="264">
        <f t="shared" si="122"/>
        <v>20.308580118348768</v>
      </c>
      <c r="AJ34" s="264">
        <f t="shared" si="122"/>
        <v>20.474707240100674</v>
      </c>
      <c r="AK34" s="264">
        <f t="shared" si="122"/>
        <v>20.654018096726102</v>
      </c>
      <c r="AL34" s="264">
        <f t="shared" si="122"/>
        <v>20.882864304557295</v>
      </c>
      <c r="AM34" s="264">
        <f t="shared" si="122"/>
        <v>21.257348002303171</v>
      </c>
      <c r="AN34" s="264">
        <f t="shared" si="122"/>
        <v>21.736726062038347</v>
      </c>
      <c r="AO34" s="264">
        <f t="shared" si="122"/>
        <v>22.152611205555505</v>
      </c>
      <c r="AP34" s="264">
        <f t="shared" si="122"/>
        <v>22.558073664667731</v>
      </c>
      <c r="AQ34" s="264">
        <f t="shared" si="122"/>
        <v>22.988629891607754</v>
      </c>
      <c r="AR34" s="264">
        <f t="shared" si="122"/>
        <v>23.250100655420045</v>
      </c>
      <c r="AS34" s="264">
        <f t="shared" ref="AS34:BA34" si="123">($BB34-$AR34)/10+AR34</f>
        <v>22.997834080640374</v>
      </c>
      <c r="AT34" s="264">
        <f t="shared" si="123"/>
        <v>22.745567505860702</v>
      </c>
      <c r="AU34" s="264">
        <f t="shared" si="123"/>
        <v>22.493300931081031</v>
      </c>
      <c r="AV34" s="264">
        <f t="shared" si="123"/>
        <v>22.241034356301359</v>
      </c>
      <c r="AW34" s="264">
        <f t="shared" si="123"/>
        <v>21.988767781521688</v>
      </c>
      <c r="AX34" s="264">
        <f t="shared" si="123"/>
        <v>21.736501206742016</v>
      </c>
      <c r="AY34" s="264">
        <f t="shared" si="123"/>
        <v>21.484234631962345</v>
      </c>
      <c r="AZ34" s="264">
        <f t="shared" si="123"/>
        <v>21.231968057182673</v>
      </c>
      <c r="BA34" s="264">
        <f t="shared" si="123"/>
        <v>20.979701482403001</v>
      </c>
      <c r="BB34" s="942">
        <f>'AEO Data'!$B$33*AM34</f>
        <v>20.727434907623323</v>
      </c>
      <c r="BC34" s="264">
        <f t="shared" ref="BC34:BP34" si="124">($BQ34-$BB34)/15+BB34</f>
        <v>20.739511204755296</v>
      </c>
      <c r="BD34" s="264">
        <f t="shared" si="124"/>
        <v>20.751587501887268</v>
      </c>
      <c r="BE34" s="264">
        <f t="shared" si="124"/>
        <v>20.763663799019241</v>
      </c>
      <c r="BF34" s="264">
        <f t="shared" si="124"/>
        <v>20.775740096151214</v>
      </c>
      <c r="BG34" s="264">
        <f t="shared" si="124"/>
        <v>20.787816393283187</v>
      </c>
      <c r="BH34" s="264">
        <f t="shared" si="124"/>
        <v>20.79989269041516</v>
      </c>
      <c r="BI34" s="264">
        <f t="shared" si="124"/>
        <v>20.811968987547132</v>
      </c>
      <c r="BJ34" s="264">
        <f t="shared" si="124"/>
        <v>20.824045284679105</v>
      </c>
      <c r="BK34" s="264">
        <f t="shared" si="124"/>
        <v>20.836121581811078</v>
      </c>
      <c r="BL34" s="264">
        <f t="shared" si="124"/>
        <v>20.848197878943051</v>
      </c>
      <c r="BM34" s="264">
        <f t="shared" si="124"/>
        <v>20.860274176075023</v>
      </c>
      <c r="BN34" s="264">
        <f t="shared" si="124"/>
        <v>20.872350473206996</v>
      </c>
      <c r="BO34" s="264">
        <f t="shared" si="124"/>
        <v>20.884426770338969</v>
      </c>
      <c r="BP34" s="264">
        <f t="shared" si="124"/>
        <v>20.896503067470942</v>
      </c>
      <c r="BQ34" s="942">
        <f>'AEO Data'!$C$33*BB34</f>
        <v>20.908579364602893</v>
      </c>
      <c r="BR34" s="264">
        <f t="shared" si="120"/>
        <v>20.894500568115706</v>
      </c>
      <c r="BS34" s="264">
        <f t="shared" si="120"/>
        <v>20.880421771628519</v>
      </c>
      <c r="BT34" s="264">
        <f t="shared" si="120"/>
        <v>20.866342975141333</v>
      </c>
      <c r="BU34" s="264">
        <f t="shared" si="120"/>
        <v>20.852264178654146</v>
      </c>
      <c r="BV34" s="966">
        <f>'AEO Data'!$D$33*BQ34</f>
        <v>20.838185382166952</v>
      </c>
      <c r="BW34" s="1400">
        <f>+BV34*BW$140/BV$140</f>
        <v>20.844481841022439</v>
      </c>
      <c r="BX34" s="1400">
        <f t="shared" ref="BX34:CZ34" si="125">+BW34*BX$140/BW$140</f>
        <v>20.850780202413748</v>
      </c>
      <c r="BY34" s="1400">
        <f t="shared" si="125"/>
        <v>20.857080466915747</v>
      </c>
      <c r="BZ34" s="1400">
        <f t="shared" si="125"/>
        <v>20.863382635103481</v>
      </c>
      <c r="CA34" s="1400">
        <f t="shared" si="125"/>
        <v>20.869686707552159</v>
      </c>
      <c r="CB34" s="1400">
        <f t="shared" si="125"/>
        <v>20.867326506359717</v>
      </c>
      <c r="CC34" s="1400">
        <f t="shared" si="125"/>
        <v>20.864966572087891</v>
      </c>
      <c r="CD34" s="1400">
        <f t="shared" si="125"/>
        <v>20.862606904706492</v>
      </c>
      <c r="CE34" s="1400">
        <f t="shared" si="125"/>
        <v>20.860247504185345</v>
      </c>
      <c r="CF34" s="1400">
        <f t="shared" si="125"/>
        <v>20.857888370494265</v>
      </c>
      <c r="CG34" s="1400">
        <f t="shared" si="125"/>
        <v>20.848427047697971</v>
      </c>
      <c r="CH34" s="1400">
        <f t="shared" si="125"/>
        <v>20.838970016641447</v>
      </c>
      <c r="CI34" s="1400">
        <f t="shared" si="125"/>
        <v>20.829517275377921</v>
      </c>
      <c r="CJ34" s="1400">
        <f t="shared" si="125"/>
        <v>20.82006882196151</v>
      </c>
      <c r="CK34" s="1400">
        <f t="shared" si="125"/>
        <v>20.810624654447203</v>
      </c>
      <c r="CL34" s="1400">
        <f t="shared" si="125"/>
        <v>20.799038600799683</v>
      </c>
      <c r="CM34" s="1400">
        <f t="shared" si="125"/>
        <v>20.787458997541872</v>
      </c>
      <c r="CN34" s="1400">
        <f t="shared" si="125"/>
        <v>20.775885841082598</v>
      </c>
      <c r="CO34" s="1400">
        <f t="shared" si="125"/>
        <v>20.764319127832685</v>
      </c>
      <c r="CP34" s="1400">
        <f t="shared" si="125"/>
        <v>20.752758854204956</v>
      </c>
      <c r="CQ34" s="1400">
        <f t="shared" si="125"/>
        <v>20.736920704111466</v>
      </c>
      <c r="CR34" s="1400">
        <f t="shared" si="125"/>
        <v>20.721094641422845</v>
      </c>
      <c r="CS34" s="1400">
        <f t="shared" si="125"/>
        <v>20.705280656914191</v>
      </c>
      <c r="CT34" s="1400">
        <f t="shared" si="125"/>
        <v>20.689478741367644</v>
      </c>
      <c r="CU34" s="1400">
        <f t="shared" si="125"/>
        <v>20.673688885572378</v>
      </c>
      <c r="CV34" s="1400">
        <f t="shared" si="125"/>
        <v>20.658843427163145</v>
      </c>
      <c r="CW34" s="1400">
        <f t="shared" si="125"/>
        <v>20.644008629049544</v>
      </c>
      <c r="CX34" s="1400">
        <f t="shared" si="125"/>
        <v>20.629184483576587</v>
      </c>
      <c r="CY34" s="1400">
        <f t="shared" si="125"/>
        <v>20.614370983094769</v>
      </c>
      <c r="CZ34" s="1400">
        <f t="shared" si="125"/>
        <v>20.59956811996009</v>
      </c>
    </row>
    <row r="35" spans="1:106" ht="13.5" thickBot="1" x14ac:dyDescent="0.35">
      <c r="A35" s="970" t="str">
        <f>'HyARC Physical Property Data'!A78</f>
        <v>Residential Electricity</v>
      </c>
      <c r="B35" s="883">
        <v>2011</v>
      </c>
      <c r="C35" s="884">
        <f t="shared" si="99"/>
        <v>1.0784554773635862</v>
      </c>
      <c r="D35" s="1251" t="str">
        <f>'HyARC Physical Property Data'!$H$78</f>
        <v>kWh</v>
      </c>
      <c r="E35" s="884" t="s">
        <v>1071</v>
      </c>
      <c r="F35" s="883"/>
      <c r="G35" s="883"/>
      <c r="H35" s="1073">
        <v>29.579885763014694</v>
      </c>
      <c r="I35" s="1073">
        <v>29.579885763014694</v>
      </c>
      <c r="J35" s="1073">
        <v>29.579885763014694</v>
      </c>
      <c r="K35" s="1073">
        <v>29.556357578078675</v>
      </c>
      <c r="L35" s="1073">
        <v>30.116416605727963</v>
      </c>
      <c r="M35" s="1073">
        <v>29.134443020933652</v>
      </c>
      <c r="N35" s="883">
        <f t="shared" ref="N35:AR35" si="126">(N53/(mmBTU_to_GJ))*($C35)</f>
        <v>35.290357875264071</v>
      </c>
      <c r="O35" s="883">
        <f t="shared" si="126"/>
        <v>35.099254542442559</v>
      </c>
      <c r="P35" s="883">
        <f t="shared" si="126"/>
        <v>34.006324250330664</v>
      </c>
      <c r="Q35" s="883">
        <f t="shared" si="126"/>
        <v>33.273068571129983</v>
      </c>
      <c r="R35" s="883">
        <f t="shared" si="126"/>
        <v>33.741332917168577</v>
      </c>
      <c r="S35" s="883">
        <f t="shared" si="126"/>
        <v>33.797427935481679</v>
      </c>
      <c r="T35" s="883">
        <f t="shared" si="126"/>
        <v>34.324839686615753</v>
      </c>
      <c r="U35" s="883">
        <f t="shared" si="126"/>
        <v>34.578308413009267</v>
      </c>
      <c r="V35" s="883">
        <f t="shared" si="126"/>
        <v>34.586867567238613</v>
      </c>
      <c r="W35" s="883">
        <f t="shared" si="126"/>
        <v>34.390554936680012</v>
      </c>
      <c r="X35" s="883">
        <f t="shared" si="126"/>
        <v>34.362805408349665</v>
      </c>
      <c r="Y35" s="883">
        <f t="shared" si="126"/>
        <v>34.407138617447096</v>
      </c>
      <c r="Z35" s="883">
        <f t="shared" si="126"/>
        <v>34.440296778887124</v>
      </c>
      <c r="AA35" s="883">
        <f t="shared" si="126"/>
        <v>34.452805840191871</v>
      </c>
      <c r="AB35" s="883">
        <f t="shared" si="126"/>
        <v>34.592323223051601</v>
      </c>
      <c r="AC35" s="883">
        <f t="shared" si="126"/>
        <v>34.714384960668241</v>
      </c>
      <c r="AD35" s="883">
        <f t="shared" si="126"/>
        <v>34.884790126185806</v>
      </c>
      <c r="AE35" s="883">
        <f t="shared" si="126"/>
        <v>35.027523453056702</v>
      </c>
      <c r="AF35" s="883">
        <f t="shared" si="126"/>
        <v>35.17875868912688</v>
      </c>
      <c r="AG35" s="883">
        <f t="shared" si="126"/>
        <v>35.278238284610403</v>
      </c>
      <c r="AH35" s="883">
        <f t="shared" si="126"/>
        <v>35.329988814033648</v>
      </c>
      <c r="AI35" s="883">
        <f t="shared" si="126"/>
        <v>35.457572652587459</v>
      </c>
      <c r="AJ35" s="883">
        <f t="shared" si="126"/>
        <v>35.581268940259363</v>
      </c>
      <c r="AK35" s="883">
        <f t="shared" si="126"/>
        <v>35.700168912196872</v>
      </c>
      <c r="AL35" s="883">
        <f t="shared" si="126"/>
        <v>35.86250559517147</v>
      </c>
      <c r="AM35" s="883">
        <f t="shared" si="126"/>
        <v>36.208798160069257</v>
      </c>
      <c r="AN35" s="883">
        <f t="shared" si="126"/>
        <v>36.632705785658793</v>
      </c>
      <c r="AO35" s="883">
        <f t="shared" si="126"/>
        <v>36.980264896847054</v>
      </c>
      <c r="AP35" s="883">
        <f t="shared" si="126"/>
        <v>37.31435507024409</v>
      </c>
      <c r="AQ35" s="883">
        <f t="shared" si="126"/>
        <v>37.726607198816652</v>
      </c>
      <c r="AR35" s="883">
        <f t="shared" si="126"/>
        <v>37.92339618980413</v>
      </c>
      <c r="AS35" s="883">
        <f t="shared" ref="AS35:BA35" si="127">($BB35-$AR35)/10+AR35</f>
        <v>37.661673404423048</v>
      </c>
      <c r="AT35" s="883">
        <f t="shared" si="127"/>
        <v>37.399950619041967</v>
      </c>
      <c r="AU35" s="883">
        <f t="shared" si="127"/>
        <v>37.138227833660885</v>
      </c>
      <c r="AV35" s="883">
        <f t="shared" si="127"/>
        <v>36.876505048279803</v>
      </c>
      <c r="AW35" s="883">
        <f t="shared" si="127"/>
        <v>36.614782262898721</v>
      </c>
      <c r="AX35" s="883">
        <f t="shared" si="127"/>
        <v>36.35305947751764</v>
      </c>
      <c r="AY35" s="883">
        <f t="shared" si="127"/>
        <v>36.091336692136558</v>
      </c>
      <c r="AZ35" s="883">
        <f t="shared" si="127"/>
        <v>35.829613906755476</v>
      </c>
      <c r="BA35" s="883">
        <f t="shared" si="127"/>
        <v>35.567891121374394</v>
      </c>
      <c r="BB35" s="971">
        <f>'AEO Data'!$B$33*AM35</f>
        <v>35.306168335993306</v>
      </c>
      <c r="BC35" s="883">
        <f t="shared" ref="BC35:BP35" si="128">($BQ35-$BB35)/15+BB35</f>
        <v>35.326738550364603</v>
      </c>
      <c r="BD35" s="883">
        <f t="shared" si="128"/>
        <v>35.347308764735899</v>
      </c>
      <c r="BE35" s="883">
        <f t="shared" si="128"/>
        <v>35.367878979107196</v>
      </c>
      <c r="BF35" s="883">
        <f t="shared" si="128"/>
        <v>35.388449193478493</v>
      </c>
      <c r="BG35" s="883">
        <f t="shared" si="128"/>
        <v>35.40901940784979</v>
      </c>
      <c r="BH35" s="883">
        <f t="shared" si="128"/>
        <v>35.429589622221087</v>
      </c>
      <c r="BI35" s="883">
        <f t="shared" si="128"/>
        <v>35.450159836592384</v>
      </c>
      <c r="BJ35" s="883">
        <f t="shared" si="128"/>
        <v>35.470730050963681</v>
      </c>
      <c r="BK35" s="883">
        <f t="shared" si="128"/>
        <v>35.491300265334978</v>
      </c>
      <c r="BL35" s="883">
        <f t="shared" si="128"/>
        <v>35.511870479706275</v>
      </c>
      <c r="BM35" s="883">
        <f t="shared" si="128"/>
        <v>35.532440694077572</v>
      </c>
      <c r="BN35" s="883">
        <f t="shared" si="128"/>
        <v>35.553010908448869</v>
      </c>
      <c r="BO35" s="883">
        <f t="shared" si="128"/>
        <v>35.573581122820165</v>
      </c>
      <c r="BP35" s="883">
        <f t="shared" si="128"/>
        <v>35.594151337191462</v>
      </c>
      <c r="BQ35" s="971">
        <f>'AEO Data'!$C$33*BB35</f>
        <v>35.614721551562717</v>
      </c>
      <c r="BR35" s="883">
        <f t="shared" si="120"/>
        <v>35.590740371018178</v>
      </c>
      <c r="BS35" s="883">
        <f t="shared" si="120"/>
        <v>35.56675919047364</v>
      </c>
      <c r="BT35" s="883">
        <f t="shared" si="120"/>
        <v>35.542778009929101</v>
      </c>
      <c r="BU35" s="883">
        <f t="shared" si="120"/>
        <v>35.518796829384563</v>
      </c>
      <c r="BV35" s="972">
        <f>'AEO Data'!$D$33*BQ35</f>
        <v>35.494815648840024</v>
      </c>
      <c r="BW35" s="1400">
        <f>+BV35*BW$141/BV$141</f>
        <v>35.479187147674004</v>
      </c>
      <c r="BX35" s="1400">
        <f t="shared" ref="BX35:CZ35" si="129">+BW35*BX$141/BW$141</f>
        <v>35.463565527795978</v>
      </c>
      <c r="BY35" s="1400">
        <f t="shared" si="129"/>
        <v>35.447950786176087</v>
      </c>
      <c r="BZ35" s="1400">
        <f t="shared" si="129"/>
        <v>35.432342919785803</v>
      </c>
      <c r="CA35" s="1400">
        <f t="shared" si="129"/>
        <v>35.41674192559794</v>
      </c>
      <c r="CB35" s="1400">
        <f t="shared" si="129"/>
        <v>35.388373668404036</v>
      </c>
      <c r="CC35" s="1400">
        <f t="shared" si="129"/>
        <v>35.360028133741132</v>
      </c>
      <c r="CD35" s="1400">
        <f t="shared" si="129"/>
        <v>35.331705303408839</v>
      </c>
      <c r="CE35" s="1400">
        <f t="shared" si="129"/>
        <v>35.303405159221327</v>
      </c>
      <c r="CF35" s="1400">
        <f t="shared" si="129"/>
        <v>35.275127683007355</v>
      </c>
      <c r="CG35" s="1400">
        <f t="shared" si="129"/>
        <v>35.236173874838393</v>
      </c>
      <c r="CH35" s="1400">
        <f t="shared" si="129"/>
        <v>35.197263082790727</v>
      </c>
      <c r="CI35" s="1400">
        <f t="shared" si="129"/>
        <v>35.158395259362273</v>
      </c>
      <c r="CJ35" s="1400">
        <f t="shared" si="129"/>
        <v>35.119570357103413</v>
      </c>
      <c r="CK35" s="1400">
        <f t="shared" si="129"/>
        <v>35.080788328616926</v>
      </c>
      <c r="CL35" s="1400">
        <f t="shared" si="129"/>
        <v>35.03850643960029</v>
      </c>
      <c r="CM35" s="1400">
        <f t="shared" si="129"/>
        <v>34.996275511757105</v>
      </c>
      <c r="CN35" s="1400">
        <f t="shared" si="129"/>
        <v>34.954095483665299</v>
      </c>
      <c r="CO35" s="1400">
        <f t="shared" si="129"/>
        <v>34.911966293976825</v>
      </c>
      <c r="CP35" s="1400">
        <f t="shared" si="129"/>
        <v>34.869887881417597</v>
      </c>
      <c r="CQ35" s="1400">
        <f t="shared" si="129"/>
        <v>34.82115009201096</v>
      </c>
      <c r="CR35" s="1400">
        <f t="shared" si="129"/>
        <v>34.772480423618198</v>
      </c>
      <c r="CS35" s="1400">
        <f t="shared" si="129"/>
        <v>34.723878781026279</v>
      </c>
      <c r="CT35" s="1400">
        <f t="shared" si="129"/>
        <v>34.675345069155263</v>
      </c>
      <c r="CU35" s="1400">
        <f t="shared" si="129"/>
        <v>34.626879193058095</v>
      </c>
      <c r="CV35" s="1400">
        <f t="shared" si="129"/>
        <v>34.579567869537456</v>
      </c>
      <c r="CW35" s="1400">
        <f t="shared" si="129"/>
        <v>34.532321188323188</v>
      </c>
      <c r="CX35" s="1400">
        <f t="shared" si="129"/>
        <v>34.485139061093349</v>
      </c>
      <c r="CY35" s="1400">
        <f t="shared" si="129"/>
        <v>34.438021399646672</v>
      </c>
      <c r="CZ35" s="1400">
        <f t="shared" si="129"/>
        <v>34.39096811590241</v>
      </c>
    </row>
    <row r="36" spans="1:106" ht="13" thickTop="1" x14ac:dyDescent="0.25">
      <c r="A36" s="880"/>
      <c r="B36" s="264"/>
      <c r="C36" s="877"/>
      <c r="D36" s="1252"/>
      <c r="E36" s="877"/>
      <c r="F36" s="264"/>
      <c r="G36" s="264"/>
      <c r="H36" s="264"/>
      <c r="I36" s="264"/>
      <c r="J36" s="264"/>
      <c r="K36" s="264"/>
      <c r="L36" s="264"/>
      <c r="M36" s="264"/>
      <c r="N36" s="264"/>
      <c r="O36" s="264"/>
      <c r="P36" s="264"/>
      <c r="Q36" s="264"/>
      <c r="R36" s="264"/>
      <c r="S36" s="264"/>
      <c r="T36" s="264"/>
      <c r="U36" s="264"/>
      <c r="V36" s="264"/>
      <c r="W36" s="264"/>
      <c r="X36" s="264"/>
      <c r="Y36" s="264"/>
      <c r="Z36" s="264"/>
      <c r="AA36" s="264"/>
      <c r="AB36" s="264"/>
      <c r="AC36" s="264"/>
      <c r="AD36" s="264"/>
      <c r="AE36" s="264"/>
      <c r="AF36" s="264"/>
      <c r="AG36" s="264"/>
      <c r="AH36" s="264"/>
      <c r="AI36" s="264"/>
      <c r="AJ36" s="264"/>
      <c r="AK36" s="264"/>
      <c r="AL36" s="264"/>
      <c r="AM36" s="264"/>
      <c r="AN36" s="264"/>
      <c r="AO36" s="264"/>
      <c r="AP36" s="264"/>
      <c r="AQ36" s="264"/>
      <c r="AR36" s="264"/>
      <c r="AS36" s="264"/>
      <c r="AT36" s="264"/>
      <c r="AU36" s="264"/>
      <c r="AV36" s="264"/>
      <c r="AW36" s="264"/>
      <c r="AX36" s="264"/>
      <c r="AY36" s="264"/>
      <c r="AZ36" s="264"/>
      <c r="BA36" s="264"/>
      <c r="BB36" s="264"/>
      <c r="BC36" s="264"/>
      <c r="BD36" s="264"/>
      <c r="BE36" s="264"/>
      <c r="BF36" s="264"/>
      <c r="BG36" s="264"/>
      <c r="BH36" s="264"/>
      <c r="BI36" s="264"/>
      <c r="BJ36" s="264"/>
      <c r="BK36" s="264"/>
      <c r="BL36" s="264"/>
      <c r="BM36" s="264"/>
      <c r="BN36" s="264"/>
      <c r="BO36" s="264"/>
      <c r="BP36" s="264"/>
      <c r="BQ36" s="264"/>
      <c r="BR36" s="264"/>
      <c r="BS36" s="264"/>
      <c r="BT36" s="264"/>
      <c r="BU36" s="264"/>
      <c r="BV36" s="264"/>
      <c r="BW36" s="264"/>
      <c r="BX36" s="264"/>
      <c r="BY36" s="264"/>
      <c r="BZ36" s="264"/>
      <c r="CA36" s="264"/>
      <c r="CB36" s="264"/>
      <c r="CC36" s="264"/>
      <c r="CD36" s="264"/>
      <c r="CE36" s="264"/>
      <c r="CF36" s="264"/>
      <c r="CG36" s="264"/>
      <c r="CH36" s="264"/>
      <c r="CI36" s="264"/>
      <c r="CJ36" s="264"/>
      <c r="CK36" s="264"/>
      <c r="CL36" s="264"/>
      <c r="CM36" s="264"/>
      <c r="CN36" s="264"/>
      <c r="CO36" s="264"/>
      <c r="CP36" s="264"/>
      <c r="CQ36" s="264"/>
      <c r="CR36" s="264"/>
      <c r="CS36" s="264"/>
      <c r="CT36" s="264"/>
      <c r="CU36" s="264"/>
      <c r="CV36" s="264"/>
      <c r="CW36" s="264"/>
      <c r="CX36" s="264"/>
      <c r="CY36" s="264"/>
      <c r="CZ36" s="264"/>
      <c r="DA36" s="264"/>
      <c r="DB36" s="264"/>
    </row>
    <row r="37" spans="1:106" x14ac:dyDescent="0.25">
      <c r="A37" s="880"/>
      <c r="B37" s="264"/>
      <c r="C37" s="877"/>
      <c r="D37" s="1253"/>
      <c r="E37" s="877"/>
      <c r="F37" s="264"/>
      <c r="G37" s="264"/>
      <c r="H37" s="264"/>
      <c r="I37" s="264"/>
      <c r="J37" s="264"/>
      <c r="K37" s="264"/>
      <c r="L37" s="264"/>
      <c r="M37" s="264"/>
      <c r="N37" s="264"/>
      <c r="O37" s="264"/>
      <c r="P37" s="264"/>
      <c r="Q37" s="264"/>
      <c r="R37" s="264"/>
      <c r="S37" s="264"/>
      <c r="T37" s="264"/>
      <c r="U37" s="264"/>
      <c r="V37" s="264"/>
      <c r="W37" s="264"/>
      <c r="X37" s="264"/>
      <c r="Y37" s="264"/>
      <c r="Z37" s="264"/>
      <c r="AA37" s="264"/>
      <c r="AB37" s="264"/>
      <c r="AC37" s="264"/>
      <c r="AD37" s="264"/>
      <c r="AE37" s="264"/>
      <c r="AF37" s="264"/>
      <c r="AG37" s="264"/>
      <c r="AH37" s="264"/>
      <c r="AI37" s="264"/>
      <c r="AJ37" s="264"/>
      <c r="AK37" s="264"/>
      <c r="AL37" s="264"/>
      <c r="AM37" s="264"/>
      <c r="AN37" s="264"/>
      <c r="AO37" s="264"/>
      <c r="AP37" s="264"/>
      <c r="AQ37" s="264"/>
      <c r="AR37" s="264"/>
      <c r="AS37" s="264"/>
      <c r="AT37" s="264"/>
      <c r="AU37" s="264"/>
      <c r="AV37" s="264"/>
      <c r="AW37" s="264"/>
      <c r="AX37" s="264"/>
      <c r="AY37" s="264"/>
      <c r="AZ37" s="264"/>
      <c r="BA37" s="264"/>
      <c r="BB37" s="264"/>
      <c r="BC37" s="264"/>
      <c r="BD37" s="264"/>
      <c r="BE37" s="264"/>
      <c r="BF37" s="264"/>
      <c r="BG37" s="264"/>
      <c r="BH37" s="264"/>
      <c r="BI37" s="264"/>
      <c r="BJ37" s="264"/>
      <c r="BK37" s="264"/>
      <c r="BL37" s="264"/>
      <c r="BM37" s="264"/>
      <c r="BN37" s="264"/>
      <c r="BO37" s="264"/>
      <c r="BP37" s="264"/>
      <c r="BQ37" s="264"/>
      <c r="BR37" s="264"/>
      <c r="BS37" s="264"/>
      <c r="BT37" s="264"/>
      <c r="BU37" s="264"/>
      <c r="BV37" s="264"/>
    </row>
    <row r="38" spans="1:106" ht="13" thickBot="1" x14ac:dyDescent="0.3">
      <c r="A38" s="980"/>
      <c r="B38" s="264"/>
      <c r="C38" s="877"/>
      <c r="D38" s="1253"/>
      <c r="E38" s="877"/>
      <c r="F38" s="264"/>
      <c r="G38" s="264"/>
      <c r="H38" s="264"/>
      <c r="I38" s="264"/>
      <c r="J38" s="264"/>
      <c r="K38" s="264"/>
      <c r="L38" s="264"/>
      <c r="M38" s="264"/>
      <c r="N38" s="264"/>
      <c r="O38" s="264"/>
      <c r="P38" s="264"/>
      <c r="Q38" s="264"/>
      <c r="R38" s="264"/>
      <c r="S38" s="264"/>
      <c r="T38" s="264"/>
      <c r="U38" s="264"/>
      <c r="V38" s="264"/>
      <c r="W38" s="264"/>
      <c r="X38" s="264"/>
      <c r="Y38" s="264"/>
      <c r="Z38" s="264"/>
      <c r="AA38" s="264"/>
      <c r="AB38" s="264"/>
      <c r="AC38" s="264"/>
      <c r="AD38" s="264"/>
      <c r="AE38" s="264"/>
      <c r="AF38" s="264"/>
      <c r="AG38" s="264"/>
      <c r="AH38" s="264"/>
      <c r="AI38" s="264"/>
      <c r="AJ38" s="264"/>
      <c r="AK38" s="264"/>
      <c r="AL38" s="264"/>
      <c r="AM38" s="264"/>
      <c r="AN38" s="264"/>
      <c r="AO38" s="264"/>
      <c r="AP38" s="264"/>
      <c r="AQ38" s="264"/>
      <c r="AR38" s="264"/>
      <c r="AS38" s="264"/>
      <c r="AT38" s="264"/>
      <c r="AU38" s="264"/>
      <c r="AV38" s="264"/>
      <c r="AW38" s="264"/>
      <c r="AX38" s="264"/>
      <c r="AY38" s="264"/>
      <c r="AZ38" s="264"/>
      <c r="BA38" s="264"/>
      <c r="BB38" s="264"/>
      <c r="BC38" s="264"/>
      <c r="BD38" s="264"/>
      <c r="BE38" s="264"/>
      <c r="BF38" s="264"/>
      <c r="BG38" s="264"/>
      <c r="BH38" s="264"/>
      <c r="BI38" s="264"/>
      <c r="BJ38" s="264"/>
      <c r="BK38" s="264"/>
      <c r="BL38" s="264"/>
      <c r="BM38" s="264"/>
      <c r="BN38" s="264"/>
      <c r="BO38" s="264"/>
      <c r="BP38" s="264"/>
      <c r="BQ38" s="264"/>
      <c r="BR38" s="264"/>
      <c r="BS38" s="264"/>
      <c r="BT38" s="264"/>
      <c r="BU38" s="264"/>
      <c r="BV38" s="264"/>
    </row>
    <row r="39" spans="1:106" s="1055" customFormat="1" ht="13" x14ac:dyDescent="0.3">
      <c r="A39" s="1051" t="s">
        <v>1108</v>
      </c>
      <c r="B39" s="1052"/>
      <c r="C39" s="1053"/>
      <c r="D39" s="1254"/>
      <c r="E39" s="1053"/>
      <c r="F39" s="1052"/>
      <c r="G39" s="1052"/>
      <c r="H39" s="1052"/>
      <c r="I39" s="1052"/>
      <c r="J39" s="1052"/>
      <c r="K39" s="1052"/>
      <c r="L39" s="1052"/>
      <c r="M39" s="1052"/>
      <c r="N39" s="1052"/>
      <c r="O39" s="1052"/>
      <c r="P39" s="1052"/>
      <c r="Q39" s="1052"/>
      <c r="R39" s="1052"/>
      <c r="S39" s="1052"/>
      <c r="T39" s="1052"/>
      <c r="U39" s="1052"/>
      <c r="V39" s="1052"/>
      <c r="W39" s="1052"/>
      <c r="X39" s="1052"/>
      <c r="Y39" s="1052"/>
      <c r="Z39" s="1052"/>
      <c r="AA39" s="1052"/>
      <c r="AB39" s="1052"/>
      <c r="AC39" s="1052"/>
      <c r="AD39" s="1052"/>
      <c r="AE39" s="1052"/>
      <c r="AF39" s="1052"/>
      <c r="AG39" s="1052"/>
      <c r="AH39" s="1052"/>
      <c r="AI39" s="1052"/>
      <c r="AJ39" s="1052"/>
      <c r="AK39" s="1052"/>
      <c r="AL39" s="1052"/>
      <c r="AM39" s="1052"/>
      <c r="AN39" s="1052"/>
      <c r="AO39" s="1052"/>
      <c r="AP39" s="1052"/>
      <c r="AQ39" s="1052"/>
      <c r="AR39" s="1052"/>
      <c r="AS39" s="1052"/>
      <c r="AT39" s="1052"/>
      <c r="AU39" s="1052"/>
      <c r="AV39" s="1052"/>
      <c r="AW39" s="1052"/>
      <c r="AX39" s="1052"/>
      <c r="AY39" s="1052"/>
      <c r="AZ39" s="1052"/>
      <c r="BA39" s="1052"/>
      <c r="BB39" s="1052"/>
      <c r="BC39" s="1052"/>
      <c r="BD39" s="1052"/>
      <c r="BE39" s="1052"/>
      <c r="BF39" s="1052"/>
      <c r="BG39" s="1052"/>
      <c r="BH39" s="1052"/>
      <c r="BI39" s="1052"/>
      <c r="BJ39" s="1052"/>
      <c r="BK39" s="1052"/>
      <c r="BL39" s="1052"/>
      <c r="BM39" s="1052"/>
      <c r="BN39" s="1052"/>
      <c r="BO39" s="1052"/>
      <c r="BP39" s="1052"/>
      <c r="BQ39" s="1052"/>
      <c r="BR39" s="1052"/>
      <c r="BS39" s="1052"/>
      <c r="BT39" s="1052"/>
      <c r="BU39" s="1052"/>
      <c r="BV39" s="1054"/>
    </row>
    <row r="40" spans="1:106" s="1055" customFormat="1" ht="13" x14ac:dyDescent="0.3">
      <c r="A40" s="1056" t="s">
        <v>1109</v>
      </c>
      <c r="B40" s="1057"/>
      <c r="C40" s="1058"/>
      <c r="D40" s="1255"/>
      <c r="E40" s="1058"/>
      <c r="F40" s="1057"/>
      <c r="G40" s="1057"/>
      <c r="H40" s="1057"/>
      <c r="I40" s="1057"/>
      <c r="J40" s="1057"/>
      <c r="K40" s="1057"/>
      <c r="L40" s="1057"/>
      <c r="M40" s="1057"/>
      <c r="N40" s="1057"/>
      <c r="O40" s="1057"/>
      <c r="P40" s="1057"/>
      <c r="Q40" s="1057"/>
      <c r="R40" s="1057"/>
      <c r="S40" s="1057"/>
      <c r="T40" s="1057"/>
      <c r="U40" s="1057"/>
      <c r="V40" s="1057"/>
      <c r="W40" s="1057"/>
      <c r="X40" s="1057"/>
      <c r="Y40" s="1057"/>
      <c r="Z40" s="1057"/>
      <c r="AA40" s="1057"/>
      <c r="AB40" s="1057"/>
      <c r="AC40" s="1057"/>
      <c r="AD40" s="1057"/>
      <c r="AE40" s="1057"/>
      <c r="AF40" s="1057"/>
      <c r="AG40" s="1057"/>
      <c r="AH40" s="1057"/>
      <c r="AI40" s="1057"/>
      <c r="AJ40" s="1057"/>
      <c r="AK40" s="1057"/>
      <c r="AL40" s="1057"/>
      <c r="AM40" s="1057"/>
      <c r="AN40" s="1057"/>
      <c r="AO40" s="1057"/>
      <c r="AP40" s="1057"/>
      <c r="AQ40" s="1057"/>
      <c r="AR40" s="1057"/>
      <c r="AS40" s="1057"/>
      <c r="AT40" s="1057"/>
      <c r="AU40" s="1057"/>
      <c r="AV40" s="1057"/>
      <c r="AW40" s="1057"/>
      <c r="AX40" s="1057"/>
      <c r="AY40" s="1057"/>
      <c r="AZ40" s="1057"/>
      <c r="BA40" s="1057"/>
      <c r="BB40" s="1057"/>
      <c r="BC40" s="1057"/>
      <c r="BD40" s="1057"/>
      <c r="BE40" s="1057"/>
      <c r="BF40" s="1057"/>
      <c r="BG40" s="1057"/>
      <c r="BH40" s="1057"/>
      <c r="BI40" s="1057"/>
      <c r="BJ40" s="1057"/>
      <c r="BK40" s="1057"/>
      <c r="BL40" s="1057"/>
      <c r="BM40" s="1057"/>
      <c r="BN40" s="1057"/>
      <c r="BO40" s="1057"/>
      <c r="BP40" s="1057"/>
      <c r="BQ40" s="1057"/>
      <c r="BR40" s="1057"/>
      <c r="BS40" s="1057"/>
      <c r="BT40" s="1057"/>
      <c r="BU40" s="1057"/>
      <c r="BV40" s="1059"/>
    </row>
    <row r="41" spans="1:106" s="1055" customFormat="1" x14ac:dyDescent="0.25">
      <c r="A41" s="1060"/>
      <c r="B41" s="1057"/>
      <c r="C41" s="1058"/>
      <c r="D41" s="1255"/>
      <c r="E41" s="1058"/>
      <c r="F41" s="1057"/>
      <c r="G41" s="1057"/>
      <c r="H41" s="1057"/>
      <c r="I41" s="1057"/>
      <c r="J41" s="1057"/>
      <c r="K41" s="1057"/>
      <c r="L41" s="1057"/>
      <c r="M41" s="1057"/>
      <c r="N41" s="1057"/>
      <c r="O41" s="1057"/>
      <c r="P41" s="1057"/>
      <c r="Q41" s="1057"/>
      <c r="R41" s="1057"/>
      <c r="S41" s="1057"/>
      <c r="T41" s="1057"/>
      <c r="U41" s="1057"/>
      <c r="V41" s="1057"/>
      <c r="W41" s="1057"/>
      <c r="X41" s="1057"/>
      <c r="Y41" s="1057"/>
      <c r="Z41" s="1057"/>
      <c r="AA41" s="1057"/>
      <c r="AB41" s="1057"/>
      <c r="AC41" s="1057"/>
      <c r="AD41" s="1057"/>
      <c r="AE41" s="1057"/>
      <c r="AF41" s="1057"/>
      <c r="AG41" s="1057"/>
      <c r="AH41" s="1057"/>
      <c r="AI41" s="1057"/>
      <c r="AJ41" s="1057"/>
      <c r="AK41" s="1057"/>
      <c r="AL41" s="1057"/>
      <c r="AM41" s="1057"/>
      <c r="AN41" s="1057"/>
      <c r="AO41" s="1057"/>
      <c r="AP41" s="1057"/>
      <c r="AQ41" s="1057"/>
      <c r="AR41" s="1057"/>
      <c r="AS41" s="1057"/>
      <c r="AT41" s="1057"/>
      <c r="AU41" s="1057"/>
      <c r="AV41" s="1057"/>
      <c r="AW41" s="1057"/>
      <c r="AX41" s="1057"/>
      <c r="AY41" s="1057"/>
      <c r="AZ41" s="1057"/>
      <c r="BA41" s="1057"/>
      <c r="BB41" s="1057"/>
      <c r="BC41" s="1057"/>
      <c r="BD41" s="1057"/>
      <c r="BE41" s="1057"/>
      <c r="BF41" s="1057"/>
      <c r="BG41" s="1057"/>
      <c r="BH41" s="1057"/>
      <c r="BI41" s="1057"/>
      <c r="BJ41" s="1057"/>
      <c r="BK41" s="1057"/>
      <c r="BL41" s="1057"/>
      <c r="BM41" s="1057"/>
      <c r="BN41" s="1057"/>
      <c r="BO41" s="1057"/>
      <c r="BP41" s="1057"/>
      <c r="BQ41" s="1057"/>
      <c r="BR41" s="1057"/>
      <c r="BS41" s="1057"/>
      <c r="BT41" s="1057"/>
      <c r="BU41" s="1057"/>
      <c r="BV41" s="1059"/>
    </row>
    <row r="42" spans="1:106" s="1055" customFormat="1" x14ac:dyDescent="0.25">
      <c r="A42" s="1060" t="s">
        <v>681</v>
      </c>
      <c r="B42" s="1057"/>
      <c r="C42" s="1058"/>
      <c r="D42" s="1255"/>
      <c r="E42" s="1058"/>
      <c r="F42" s="1057"/>
      <c r="G42" s="1057"/>
      <c r="H42" s="1057"/>
      <c r="I42" s="1057"/>
      <c r="J42" s="1057"/>
      <c r="K42" s="1057"/>
      <c r="L42" s="1057"/>
      <c r="M42" s="1057"/>
      <c r="N42" s="1061">
        <v>11.359373</v>
      </c>
      <c r="O42" s="1061">
        <v>10.802343</v>
      </c>
      <c r="P42" s="1061">
        <v>10.464380999999999</v>
      </c>
      <c r="Q42" s="1061">
        <v>10.477905</v>
      </c>
      <c r="R42" s="1061">
        <v>10.253485</v>
      </c>
      <c r="S42" s="1061">
        <v>10.156079999999999</v>
      </c>
      <c r="T42" s="1061">
        <v>10.662777999999999</v>
      </c>
      <c r="U42" s="1061">
        <v>10.990506</v>
      </c>
      <c r="V42" s="1061">
        <v>11.397518</v>
      </c>
      <c r="W42" s="1061">
        <v>11.624905</v>
      </c>
      <c r="X42" s="1061">
        <v>11.776242999999999</v>
      </c>
      <c r="Y42" s="1061">
        <v>11.960003</v>
      </c>
      <c r="Z42" s="1061">
        <v>12.203179</v>
      </c>
      <c r="AA42" s="1061">
        <v>12.432268000000001</v>
      </c>
      <c r="AB42" s="1061">
        <v>12.584531</v>
      </c>
      <c r="AC42" s="1061">
        <v>12.674325</v>
      </c>
      <c r="AD42" s="1061">
        <v>12.841908</v>
      </c>
      <c r="AE42" s="1061">
        <v>12.933384999999999</v>
      </c>
      <c r="AF42" s="1061">
        <v>13.085578999999999</v>
      </c>
      <c r="AG42" s="1061">
        <v>13.234385</v>
      </c>
      <c r="AH42" s="1061">
        <v>13.368997999999999</v>
      </c>
      <c r="AI42" s="1061">
        <v>13.547089</v>
      </c>
      <c r="AJ42" s="1061">
        <v>13.721807</v>
      </c>
      <c r="AK42" s="1061">
        <v>13.935895</v>
      </c>
      <c r="AL42" s="1061">
        <v>14.248931000000001</v>
      </c>
      <c r="AM42" s="1061">
        <v>14.598827</v>
      </c>
      <c r="AN42" s="1061">
        <v>15.023702999999999</v>
      </c>
      <c r="AO42" s="1061">
        <v>15.415895000000001</v>
      </c>
      <c r="AP42" s="1061">
        <v>15.842275000000001</v>
      </c>
      <c r="AQ42" s="1061">
        <v>16.055761</v>
      </c>
      <c r="AR42" s="1061">
        <v>16.363073</v>
      </c>
      <c r="AS42" s="1057"/>
      <c r="AT42" s="1057"/>
      <c r="AU42" s="1057"/>
      <c r="AV42" s="1057"/>
      <c r="AW42" s="1057"/>
      <c r="AX42" s="1057"/>
      <c r="AY42" s="1057"/>
      <c r="AZ42" s="1057"/>
      <c r="BA42" s="1057"/>
      <c r="BB42" s="1057"/>
      <c r="BC42" s="1057"/>
      <c r="BD42" s="1057"/>
      <c r="BE42" s="1057"/>
      <c r="BF42" s="1057"/>
      <c r="BG42" s="1057"/>
      <c r="BH42" s="1057"/>
      <c r="BI42" s="1057"/>
      <c r="BJ42" s="1057"/>
      <c r="BK42" s="1057"/>
      <c r="BL42" s="1057"/>
      <c r="BM42" s="1057"/>
      <c r="BN42" s="1057"/>
      <c r="BO42" s="1057"/>
      <c r="BP42" s="1057"/>
      <c r="BQ42" s="1057"/>
      <c r="BR42" s="1057"/>
      <c r="BS42" s="1057"/>
      <c r="BT42" s="1057"/>
      <c r="BU42" s="1057"/>
      <c r="BV42" s="1059"/>
    </row>
    <row r="43" spans="1:106" s="1055" customFormat="1" x14ac:dyDescent="0.25">
      <c r="A43" s="1060" t="s">
        <v>1085</v>
      </c>
      <c r="B43" s="1057"/>
      <c r="C43" s="1058"/>
      <c r="D43" s="1255"/>
      <c r="E43" s="1058"/>
      <c r="F43" s="1057"/>
      <c r="G43" s="1057"/>
      <c r="H43" s="1057"/>
      <c r="I43" s="1057"/>
      <c r="J43" s="1057"/>
      <c r="K43" s="1057"/>
      <c r="L43" s="1057"/>
      <c r="M43" s="1057"/>
      <c r="N43" s="1061">
        <v>9.3969749999999994</v>
      </c>
      <c r="O43" s="1061">
        <v>8.8368610000000007</v>
      </c>
      <c r="P43" s="1061">
        <v>8.0727960000000003</v>
      </c>
      <c r="Q43" s="1061">
        <v>8.4627339999999993</v>
      </c>
      <c r="R43" s="1061">
        <v>8.2352620000000005</v>
      </c>
      <c r="S43" s="1061">
        <v>8.1043620000000001</v>
      </c>
      <c r="T43" s="1061">
        <v>8.5610389999999992</v>
      </c>
      <c r="U43" s="1061">
        <v>8.8247909999999994</v>
      </c>
      <c r="V43" s="1061">
        <v>9.1722800000000007</v>
      </c>
      <c r="W43" s="1061">
        <v>9.3508150000000008</v>
      </c>
      <c r="X43" s="1061">
        <v>9.4680210000000002</v>
      </c>
      <c r="Y43" s="1061">
        <v>9.6109419999999997</v>
      </c>
      <c r="Z43" s="1061">
        <v>9.8191819999999996</v>
      </c>
      <c r="AA43" s="1061">
        <v>10.011597999999999</v>
      </c>
      <c r="AB43" s="1061">
        <v>10.133018</v>
      </c>
      <c r="AC43" s="1061">
        <v>10.193654</v>
      </c>
      <c r="AD43" s="1061">
        <v>10.33554</v>
      </c>
      <c r="AE43" s="1061">
        <v>10.388019</v>
      </c>
      <c r="AF43" s="1061">
        <v>10.500005</v>
      </c>
      <c r="AG43" s="1061">
        <v>10.605323</v>
      </c>
      <c r="AH43" s="1061">
        <v>10.697221000000001</v>
      </c>
      <c r="AI43" s="1061">
        <v>10.832411</v>
      </c>
      <c r="AJ43" s="1061">
        <v>10.954602</v>
      </c>
      <c r="AK43" s="1061">
        <v>11.11848</v>
      </c>
      <c r="AL43" s="1061">
        <v>11.383407</v>
      </c>
      <c r="AM43" s="1061">
        <v>11.681657</v>
      </c>
      <c r="AN43" s="1061">
        <v>12.061093</v>
      </c>
      <c r="AO43" s="1061">
        <v>12.401303</v>
      </c>
      <c r="AP43" s="1061">
        <v>12.781521</v>
      </c>
      <c r="AQ43" s="1061">
        <v>12.948893999999999</v>
      </c>
      <c r="AR43" s="1061">
        <v>13.212922000000001</v>
      </c>
      <c r="AS43" s="1057"/>
      <c r="AT43" s="1057"/>
      <c r="AU43" s="1057"/>
      <c r="AV43" s="1057"/>
      <c r="AW43" s="1057"/>
      <c r="AX43" s="1057"/>
      <c r="AY43" s="1057"/>
      <c r="AZ43" s="1057"/>
      <c r="BA43" s="1057"/>
      <c r="BB43" s="1057"/>
      <c r="BC43" s="1057"/>
      <c r="BD43" s="1057"/>
      <c r="BE43" s="1057"/>
      <c r="BF43" s="1057"/>
      <c r="BG43" s="1057"/>
      <c r="BH43" s="1057"/>
      <c r="BI43" s="1057"/>
      <c r="BJ43" s="1057"/>
      <c r="BK43" s="1057"/>
      <c r="BL43" s="1057"/>
      <c r="BM43" s="1057"/>
      <c r="BN43" s="1057"/>
      <c r="BO43" s="1057"/>
      <c r="BP43" s="1057"/>
      <c r="BQ43" s="1057"/>
      <c r="BR43" s="1057"/>
      <c r="BS43" s="1057"/>
      <c r="BT43" s="1057"/>
      <c r="BU43" s="1057"/>
      <c r="BV43" s="1059"/>
    </row>
    <row r="44" spans="1:106" s="1055" customFormat="1" x14ac:dyDescent="0.25">
      <c r="A44" s="1060" t="s">
        <v>283</v>
      </c>
      <c r="B44" s="1057"/>
      <c r="C44" s="1058"/>
      <c r="D44" s="1255"/>
      <c r="E44" s="1058"/>
      <c r="F44" s="1057"/>
      <c r="G44" s="1057"/>
      <c r="H44" s="1057"/>
      <c r="I44" s="1057"/>
      <c r="J44" s="1057"/>
      <c r="K44" s="1057"/>
      <c r="L44" s="1057"/>
      <c r="M44" s="1057"/>
      <c r="N44" s="1061">
        <v>5.4839599999999997</v>
      </c>
      <c r="O44" s="1061">
        <v>4.8898130000000002</v>
      </c>
      <c r="P44" s="1061">
        <v>3.7596859999999999</v>
      </c>
      <c r="Q44" s="1061">
        <v>4.3339879999999997</v>
      </c>
      <c r="R44" s="1061">
        <v>4.3750520000000002</v>
      </c>
      <c r="S44" s="1061">
        <v>4.4225349999999999</v>
      </c>
      <c r="T44" s="1061">
        <v>4.8660360000000003</v>
      </c>
      <c r="U44" s="1061">
        <v>5.0679410000000003</v>
      </c>
      <c r="V44" s="1061">
        <v>5.3212570000000001</v>
      </c>
      <c r="W44" s="1061">
        <v>5.4497980000000004</v>
      </c>
      <c r="X44" s="1061">
        <v>5.5294119999999998</v>
      </c>
      <c r="Y44" s="1061">
        <v>5.6406840000000003</v>
      </c>
      <c r="Z44" s="1061">
        <v>5.8277749999999999</v>
      </c>
      <c r="AA44" s="1061">
        <v>6.0107049999999997</v>
      </c>
      <c r="AB44" s="1061">
        <v>6.1100089999999998</v>
      </c>
      <c r="AC44" s="1061">
        <v>6.1511990000000001</v>
      </c>
      <c r="AD44" s="1061">
        <v>6.2557600000000004</v>
      </c>
      <c r="AE44" s="1061">
        <v>6.2949159999999997</v>
      </c>
      <c r="AF44" s="1061">
        <v>6.396782</v>
      </c>
      <c r="AG44" s="1061">
        <v>6.4862520000000004</v>
      </c>
      <c r="AH44" s="1061">
        <v>6.561483</v>
      </c>
      <c r="AI44" s="1061">
        <v>6.6766310000000004</v>
      </c>
      <c r="AJ44" s="1061">
        <v>6.771134</v>
      </c>
      <c r="AK44" s="1061">
        <v>6.9159920000000001</v>
      </c>
      <c r="AL44" s="1061">
        <v>7.1687539999999998</v>
      </c>
      <c r="AM44" s="1061">
        <v>7.4454149999999997</v>
      </c>
      <c r="AN44" s="1061">
        <v>7.813205</v>
      </c>
      <c r="AO44" s="1061">
        <v>8.1536600000000004</v>
      </c>
      <c r="AP44" s="1061">
        <v>8.4989190000000008</v>
      </c>
      <c r="AQ44" s="1061">
        <v>8.6393810000000002</v>
      </c>
      <c r="AR44" s="1061">
        <v>8.8810929999999999</v>
      </c>
      <c r="AS44" s="1057"/>
      <c r="AT44" s="1057"/>
      <c r="AU44" s="1057"/>
      <c r="AV44" s="1057"/>
      <c r="AW44" s="1057"/>
      <c r="AX44" s="1057"/>
      <c r="AY44" s="1057"/>
      <c r="AZ44" s="1057"/>
      <c r="BA44" s="1057"/>
      <c r="BB44" s="1057"/>
      <c r="BC44" s="1057"/>
      <c r="BD44" s="1057"/>
      <c r="BE44" s="1057"/>
      <c r="BF44" s="1057"/>
      <c r="BG44" s="1057"/>
      <c r="BH44" s="1057"/>
      <c r="BI44" s="1057"/>
      <c r="BJ44" s="1057"/>
      <c r="BK44" s="1057"/>
      <c r="BL44" s="1057"/>
      <c r="BM44" s="1057"/>
      <c r="BN44" s="1057"/>
      <c r="BO44" s="1057"/>
      <c r="BP44" s="1057"/>
      <c r="BQ44" s="1057"/>
      <c r="BR44" s="1057"/>
      <c r="BS44" s="1057"/>
      <c r="BT44" s="1057"/>
      <c r="BU44" s="1057"/>
      <c r="BV44" s="1059"/>
    </row>
    <row r="45" spans="1:106" s="1055" customFormat="1" x14ac:dyDescent="0.25">
      <c r="A45" s="1062" t="str">
        <f>'HyARC Physical Property Data'!$A$74</f>
        <v>Electric Utility Natural Gas</v>
      </c>
      <c r="B45" s="1057"/>
      <c r="C45" s="1058"/>
      <c r="D45" s="1255"/>
      <c r="E45" s="1058"/>
      <c r="F45" s="1057"/>
      <c r="G45" s="1057"/>
      <c r="H45" s="1057"/>
      <c r="I45" s="1057"/>
      <c r="J45" s="1057"/>
      <c r="K45" s="1057"/>
      <c r="L45" s="1057"/>
      <c r="M45" s="1057"/>
      <c r="N45" s="1061">
        <v>5.258165</v>
      </c>
      <c r="O45" s="1061">
        <v>4.7747140000000003</v>
      </c>
      <c r="P45" s="1061">
        <v>3.3217560000000002</v>
      </c>
      <c r="Q45" s="1061">
        <v>3.7155300000000002</v>
      </c>
      <c r="R45" s="1061">
        <v>3.758219</v>
      </c>
      <c r="S45" s="1061">
        <v>3.8420709999999998</v>
      </c>
      <c r="T45" s="1061">
        <v>4.2826180000000003</v>
      </c>
      <c r="U45" s="1061">
        <v>4.4486730000000003</v>
      </c>
      <c r="V45" s="1061">
        <v>4.7026110000000001</v>
      </c>
      <c r="W45" s="1061">
        <v>4.8222319999999996</v>
      </c>
      <c r="X45" s="1061">
        <v>4.8967590000000003</v>
      </c>
      <c r="Y45" s="1061">
        <v>5.0074189999999996</v>
      </c>
      <c r="Z45" s="1061">
        <v>5.20235</v>
      </c>
      <c r="AA45" s="1061">
        <v>5.388776</v>
      </c>
      <c r="AB45" s="1061">
        <v>5.5179349999999996</v>
      </c>
      <c r="AC45" s="1061">
        <v>5.5779610000000002</v>
      </c>
      <c r="AD45" s="1061">
        <v>5.7088080000000003</v>
      </c>
      <c r="AE45" s="1061">
        <v>5.7607720000000002</v>
      </c>
      <c r="AF45" s="1061">
        <v>5.8668440000000004</v>
      </c>
      <c r="AG45" s="1061">
        <v>5.9650189999999998</v>
      </c>
      <c r="AH45" s="1061">
        <v>6.0528500000000003</v>
      </c>
      <c r="AI45" s="1061">
        <v>6.1836820000000001</v>
      </c>
      <c r="AJ45" s="1061">
        <v>6.2931780000000002</v>
      </c>
      <c r="AK45" s="1061">
        <v>6.4458729999999997</v>
      </c>
      <c r="AL45" s="1061">
        <v>6.6983480000000002</v>
      </c>
      <c r="AM45" s="1061">
        <v>6.9804459999999997</v>
      </c>
      <c r="AN45" s="1061">
        <v>7.345173</v>
      </c>
      <c r="AO45" s="1061">
        <v>7.6749489999999998</v>
      </c>
      <c r="AP45" s="1061">
        <v>8.0219799999999992</v>
      </c>
      <c r="AQ45" s="1061">
        <v>8.1549879999999995</v>
      </c>
      <c r="AR45" s="1061">
        <v>8.3777830000000009</v>
      </c>
      <c r="AS45" s="1057"/>
      <c r="AT45" s="1057"/>
      <c r="AU45" s="1057"/>
      <c r="AV45" s="1057"/>
      <c r="AW45" s="1057"/>
      <c r="AX45" s="1057"/>
      <c r="AY45" s="1057"/>
      <c r="AZ45" s="1057"/>
      <c r="BA45" s="1057"/>
      <c r="BB45" s="1057"/>
      <c r="BC45" s="1057"/>
      <c r="BD45" s="1057"/>
      <c r="BE45" s="1057"/>
      <c r="BF45" s="1057"/>
      <c r="BG45" s="1057"/>
      <c r="BH45" s="1057"/>
      <c r="BI45" s="1057"/>
      <c r="BJ45" s="1057"/>
      <c r="BK45" s="1057"/>
      <c r="BL45" s="1057"/>
      <c r="BM45" s="1057"/>
      <c r="BN45" s="1057"/>
      <c r="BO45" s="1057"/>
      <c r="BP45" s="1057"/>
      <c r="BQ45" s="1057"/>
      <c r="BR45" s="1057"/>
      <c r="BS45" s="1057"/>
      <c r="BT45" s="1057"/>
      <c r="BU45" s="1057"/>
      <c r="BV45" s="1059"/>
    </row>
    <row r="46" spans="1:106" s="1055" customFormat="1" x14ac:dyDescent="0.25">
      <c r="A46" s="1060" t="str">
        <f>'HyARC Physical Property Data'!$A$85</f>
        <v>Woody Biomass</v>
      </c>
      <c r="B46" s="1057"/>
      <c r="C46" s="1058"/>
      <c r="D46" s="1255"/>
      <c r="E46" s="1058"/>
      <c r="F46" s="1057"/>
      <c r="G46" s="1057"/>
      <c r="H46" s="1057"/>
      <c r="I46" s="1057"/>
      <c r="J46" s="1057"/>
      <c r="K46" s="1057"/>
      <c r="L46" s="1057"/>
      <c r="M46" s="1057"/>
      <c r="N46" s="1061"/>
      <c r="O46" s="1061"/>
      <c r="P46" s="1061"/>
      <c r="Q46" s="1061"/>
      <c r="R46" s="1061"/>
      <c r="S46" s="1061"/>
      <c r="T46" s="1061"/>
      <c r="U46" s="1061"/>
      <c r="V46" s="1061"/>
      <c r="W46" s="1061"/>
      <c r="X46" s="1061"/>
      <c r="Y46" s="1061"/>
      <c r="Z46" s="1061"/>
      <c r="AA46" s="1061"/>
      <c r="AB46" s="1061"/>
      <c r="AC46" s="1061"/>
      <c r="AD46" s="1061"/>
      <c r="AE46" s="1061"/>
      <c r="AF46" s="1061"/>
      <c r="AG46" s="1061"/>
      <c r="AH46" s="1061"/>
      <c r="AI46" s="1061"/>
      <c r="AJ46" s="1061"/>
      <c r="AK46" s="1061"/>
      <c r="AL46" s="1061"/>
      <c r="AM46" s="1061"/>
      <c r="AN46" s="1061"/>
      <c r="AO46" s="1061"/>
      <c r="AP46" s="1061"/>
      <c r="AQ46" s="1061"/>
      <c r="AR46" s="1061"/>
      <c r="AS46" s="1057"/>
      <c r="AT46" s="1057"/>
      <c r="AU46" s="1057"/>
      <c r="AV46" s="1057"/>
      <c r="AW46" s="1057"/>
      <c r="AX46" s="1057"/>
      <c r="AY46" s="1057"/>
      <c r="AZ46" s="1057"/>
      <c r="BA46" s="1057"/>
      <c r="BB46" s="1057"/>
      <c r="BC46" s="1057"/>
      <c r="BD46" s="1057"/>
      <c r="BE46" s="1057"/>
      <c r="BF46" s="1057"/>
      <c r="BG46" s="1057"/>
      <c r="BH46" s="1057"/>
      <c r="BI46" s="1057"/>
      <c r="BJ46" s="1057"/>
      <c r="BK46" s="1057"/>
      <c r="BL46" s="1057"/>
      <c r="BM46" s="1057"/>
      <c r="BN46" s="1057"/>
      <c r="BO46" s="1057"/>
      <c r="BP46" s="1057"/>
      <c r="BQ46" s="1057"/>
      <c r="BR46" s="1057"/>
      <c r="BS46" s="1057"/>
      <c r="BT46" s="1057"/>
      <c r="BU46" s="1057"/>
      <c r="BV46" s="1059"/>
    </row>
    <row r="47" spans="1:106" s="1055" customFormat="1" x14ac:dyDescent="0.25">
      <c r="A47" s="1060" t="s">
        <v>1110</v>
      </c>
      <c r="B47" s="1057"/>
      <c r="C47" s="1058"/>
      <c r="D47" s="1255"/>
      <c r="E47" s="1058"/>
      <c r="F47" s="1057"/>
      <c r="G47" s="1057"/>
      <c r="H47" s="1057"/>
      <c r="I47" s="1057"/>
      <c r="J47" s="1057"/>
      <c r="K47" s="1057"/>
      <c r="L47" s="1057"/>
      <c r="M47" s="1057"/>
      <c r="N47" s="1061">
        <v>13.6</v>
      </c>
      <c r="O47" s="1061">
        <v>13.6</v>
      </c>
      <c r="P47" s="1061">
        <v>13.6</v>
      </c>
      <c r="Q47" s="1061">
        <v>13.6</v>
      </c>
      <c r="R47" s="1061">
        <v>13.6</v>
      </c>
      <c r="S47" s="1061">
        <v>13.6</v>
      </c>
      <c r="T47" s="1061">
        <v>13.6</v>
      </c>
      <c r="U47" s="1061">
        <v>14.11</v>
      </c>
      <c r="V47" s="1061">
        <v>14.11</v>
      </c>
      <c r="W47" s="1061">
        <v>14.11</v>
      </c>
      <c r="X47" s="1061">
        <v>14.11</v>
      </c>
      <c r="Y47" s="1061">
        <v>14.11</v>
      </c>
      <c r="Z47" s="1061">
        <v>14.11</v>
      </c>
      <c r="AA47" s="1061">
        <v>14.11</v>
      </c>
      <c r="AB47" s="1061">
        <v>14.11</v>
      </c>
      <c r="AC47" s="1061">
        <v>14.11</v>
      </c>
      <c r="AD47" s="1061">
        <v>14.11</v>
      </c>
      <c r="AE47" s="1061">
        <v>14.11</v>
      </c>
      <c r="AF47" s="1061">
        <v>14.11</v>
      </c>
      <c r="AG47" s="1061">
        <v>14.11</v>
      </c>
      <c r="AH47" s="1061">
        <v>14.11</v>
      </c>
      <c r="AI47" s="1061">
        <v>14.11</v>
      </c>
      <c r="AJ47" s="1061">
        <v>14.11</v>
      </c>
      <c r="AK47" s="1061">
        <v>14.11</v>
      </c>
      <c r="AL47" s="1061">
        <v>14.11</v>
      </c>
      <c r="AM47" s="1061">
        <v>14.11</v>
      </c>
      <c r="AN47" s="1061">
        <v>14.11</v>
      </c>
      <c r="AO47" s="1061">
        <v>14.11</v>
      </c>
      <c r="AP47" s="1061">
        <v>14.11</v>
      </c>
      <c r="AQ47" s="1061">
        <v>14.11</v>
      </c>
      <c r="AR47" s="1061">
        <v>14.11</v>
      </c>
      <c r="AS47" s="1061">
        <v>14.11</v>
      </c>
      <c r="AT47" s="1061">
        <v>14.11</v>
      </c>
      <c r="AU47" s="1061">
        <v>14.11</v>
      </c>
      <c r="AV47" s="1061">
        <v>14.11</v>
      </c>
      <c r="AW47" s="1061">
        <v>14.11</v>
      </c>
      <c r="AX47" s="1061">
        <v>14.11</v>
      </c>
      <c r="AY47" s="1061">
        <v>14.11</v>
      </c>
      <c r="AZ47" s="1061">
        <v>14.11</v>
      </c>
      <c r="BA47" s="1061">
        <v>14.11</v>
      </c>
      <c r="BB47" s="1061">
        <v>14.11</v>
      </c>
      <c r="BC47" s="1061">
        <v>14.11</v>
      </c>
      <c r="BD47" s="1061">
        <v>14.11</v>
      </c>
      <c r="BE47" s="1061">
        <v>14.11</v>
      </c>
      <c r="BF47" s="1061">
        <v>14.11</v>
      </c>
      <c r="BG47" s="1061">
        <v>14.11</v>
      </c>
      <c r="BH47" s="1061">
        <v>14.11</v>
      </c>
      <c r="BI47" s="1061">
        <v>14.11</v>
      </c>
      <c r="BJ47" s="1061">
        <v>14.11</v>
      </c>
      <c r="BK47" s="1061">
        <v>14.11</v>
      </c>
      <c r="BL47" s="1061">
        <v>14.11</v>
      </c>
      <c r="BM47" s="1061">
        <v>14.11</v>
      </c>
      <c r="BN47" s="1061">
        <v>14.11</v>
      </c>
      <c r="BO47" s="1061">
        <v>14.11</v>
      </c>
      <c r="BP47" s="1061">
        <v>14.11</v>
      </c>
      <c r="BQ47" s="1061">
        <v>14.11</v>
      </c>
      <c r="BR47" s="1061">
        <v>14.11</v>
      </c>
      <c r="BS47" s="1061">
        <v>14.11</v>
      </c>
      <c r="BT47" s="1061">
        <v>14.11</v>
      </c>
      <c r="BU47" s="1061">
        <v>14.11</v>
      </c>
      <c r="BV47" s="1063">
        <v>14.11</v>
      </c>
    </row>
    <row r="48" spans="1:106" s="1055" customFormat="1" x14ac:dyDescent="0.25">
      <c r="A48" s="1060" t="s">
        <v>311</v>
      </c>
      <c r="B48" s="1057"/>
      <c r="C48" s="1058"/>
      <c r="D48" s="1255"/>
      <c r="E48" s="1058"/>
      <c r="F48" s="1057"/>
      <c r="G48" s="1057"/>
      <c r="H48" s="1057"/>
      <c r="I48" s="1057"/>
      <c r="J48" s="1057"/>
      <c r="K48" s="1057"/>
      <c r="L48" s="1057"/>
      <c r="M48" s="1057"/>
      <c r="N48" s="1061">
        <v>23.6</v>
      </c>
      <c r="O48" s="1061">
        <v>23.6</v>
      </c>
      <c r="P48" s="1061">
        <v>23.6</v>
      </c>
      <c r="Q48" s="1061">
        <v>23.6</v>
      </c>
      <c r="R48" s="1061">
        <v>23.6</v>
      </c>
      <c r="S48" s="1061">
        <v>23.6</v>
      </c>
      <c r="T48" s="1061">
        <v>23.6</v>
      </c>
      <c r="U48" s="1061">
        <v>23.6</v>
      </c>
      <c r="V48" s="1061">
        <v>23.6</v>
      </c>
      <c r="W48" s="1061">
        <v>23.6</v>
      </c>
      <c r="X48" s="1061">
        <v>23.6</v>
      </c>
      <c r="Y48" s="1061">
        <v>23.6</v>
      </c>
      <c r="Z48" s="1061">
        <v>23.6</v>
      </c>
      <c r="AA48" s="1061">
        <v>23.6</v>
      </c>
      <c r="AB48" s="1061">
        <v>23.6</v>
      </c>
      <c r="AC48" s="1061">
        <v>23.6</v>
      </c>
      <c r="AD48" s="1061">
        <v>23.6</v>
      </c>
      <c r="AE48" s="1061">
        <v>23.6</v>
      </c>
      <c r="AF48" s="1061">
        <v>23.6</v>
      </c>
      <c r="AG48" s="1061">
        <v>23.6</v>
      </c>
      <c r="AH48" s="1061">
        <v>23.6</v>
      </c>
      <c r="AI48" s="1061">
        <v>23.6</v>
      </c>
      <c r="AJ48" s="1061">
        <v>23.6</v>
      </c>
      <c r="AK48" s="1061">
        <v>23.6</v>
      </c>
      <c r="AL48" s="1061">
        <v>23.6</v>
      </c>
      <c r="AM48" s="1061">
        <v>23.6</v>
      </c>
      <c r="AN48" s="1061">
        <v>23.6</v>
      </c>
      <c r="AO48" s="1061">
        <v>23.6</v>
      </c>
      <c r="AP48" s="1061">
        <v>23.6</v>
      </c>
      <c r="AQ48" s="1061">
        <v>23.6</v>
      </c>
      <c r="AR48" s="1061">
        <v>23.6</v>
      </c>
      <c r="AS48" s="1061">
        <v>23.6</v>
      </c>
      <c r="AT48" s="1061">
        <v>23.6</v>
      </c>
      <c r="AU48" s="1061">
        <v>23.6</v>
      </c>
      <c r="AV48" s="1061">
        <v>23.6</v>
      </c>
      <c r="AW48" s="1061">
        <v>23.6</v>
      </c>
      <c r="AX48" s="1061">
        <v>23.6</v>
      </c>
      <c r="AY48" s="1061">
        <v>23.6</v>
      </c>
      <c r="AZ48" s="1061">
        <v>23.6</v>
      </c>
      <c r="BA48" s="1061">
        <v>23.6</v>
      </c>
      <c r="BB48" s="1061">
        <v>23.6</v>
      </c>
      <c r="BC48" s="1061">
        <v>23.6</v>
      </c>
      <c r="BD48" s="1061">
        <v>23.6</v>
      </c>
      <c r="BE48" s="1061">
        <v>23.6</v>
      </c>
      <c r="BF48" s="1061">
        <v>23.6</v>
      </c>
      <c r="BG48" s="1061">
        <v>23.6</v>
      </c>
      <c r="BH48" s="1061">
        <v>23.6</v>
      </c>
      <c r="BI48" s="1061">
        <v>23.6</v>
      </c>
      <c r="BJ48" s="1061">
        <v>23.6</v>
      </c>
      <c r="BK48" s="1061">
        <v>23.6</v>
      </c>
      <c r="BL48" s="1061">
        <v>23.6</v>
      </c>
      <c r="BM48" s="1061">
        <v>23.6</v>
      </c>
      <c r="BN48" s="1061">
        <v>23.6</v>
      </c>
      <c r="BO48" s="1061">
        <v>23.6</v>
      </c>
      <c r="BP48" s="1061">
        <v>23.6</v>
      </c>
      <c r="BQ48" s="1061">
        <v>23.6</v>
      </c>
      <c r="BR48" s="1061">
        <v>23.6</v>
      </c>
      <c r="BS48" s="1061">
        <v>23.6</v>
      </c>
      <c r="BT48" s="1061">
        <v>23.6</v>
      </c>
      <c r="BU48" s="1061">
        <v>23.6</v>
      </c>
      <c r="BV48" s="1063">
        <v>23.6</v>
      </c>
    </row>
    <row r="49" spans="1:104" s="1055" customFormat="1" x14ac:dyDescent="0.25">
      <c r="A49" s="1062" t="s">
        <v>1111</v>
      </c>
      <c r="B49" s="1057"/>
      <c r="C49" s="1058"/>
      <c r="D49" s="1255"/>
      <c r="E49" s="1058"/>
      <c r="F49" s="1057"/>
      <c r="G49" s="1057"/>
      <c r="H49" s="1057"/>
      <c r="I49" s="1057"/>
      <c r="J49" s="1057"/>
      <c r="K49" s="1057"/>
      <c r="L49" s="1057"/>
      <c r="M49" s="1057"/>
      <c r="N49" s="1061">
        <v>25.561684</v>
      </c>
      <c r="O49" s="1061">
        <v>25.303816000000001</v>
      </c>
      <c r="P49" s="1061">
        <v>33.642014000000003</v>
      </c>
      <c r="Q49" s="1061">
        <v>31.120284999999999</v>
      </c>
      <c r="R49" s="1061">
        <v>24.805427999999999</v>
      </c>
      <c r="S49" s="1061">
        <v>24.941547</v>
      </c>
      <c r="T49" s="1061">
        <v>24.510408000000002</v>
      </c>
      <c r="U49" s="1061">
        <v>24.773121</v>
      </c>
      <c r="V49" s="1061">
        <v>25.840997999999999</v>
      </c>
      <c r="W49" s="1061">
        <v>26.808551999999999</v>
      </c>
      <c r="X49" s="1061">
        <v>29.644617</v>
      </c>
      <c r="Y49" s="1061">
        <v>29.383793000000001</v>
      </c>
      <c r="Z49" s="1061">
        <v>28.224442</v>
      </c>
      <c r="AA49" s="1061">
        <v>28.253482999999999</v>
      </c>
      <c r="AB49" s="1061">
        <v>27.145426</v>
      </c>
      <c r="AC49" s="1061">
        <v>27.272445999999999</v>
      </c>
      <c r="AD49" s="1061">
        <v>27.519344</v>
      </c>
      <c r="AE49" s="1061">
        <v>26.363682000000001</v>
      </c>
      <c r="AF49" s="1061">
        <v>26.241467</v>
      </c>
      <c r="AG49" s="1061">
        <v>26.599018000000001</v>
      </c>
      <c r="AH49" s="1061">
        <v>26.941008</v>
      </c>
      <c r="AI49" s="1061">
        <v>27.294556</v>
      </c>
      <c r="AJ49" s="1061">
        <v>27.667862</v>
      </c>
      <c r="AK49" s="1061">
        <v>28.194492</v>
      </c>
      <c r="AL49" s="1061">
        <v>28.632065000000001</v>
      </c>
      <c r="AM49" s="1061">
        <v>29.186733</v>
      </c>
      <c r="AN49" s="1061">
        <v>29.790071000000001</v>
      </c>
      <c r="AO49" s="1061">
        <v>30.397635000000001</v>
      </c>
      <c r="AP49" s="1061">
        <v>30.990224999999999</v>
      </c>
      <c r="AQ49" s="1061">
        <v>31.671036000000001</v>
      </c>
      <c r="AR49" s="1061">
        <v>30.576360999999999</v>
      </c>
      <c r="AS49" s="1057"/>
      <c r="AT49" s="1057"/>
      <c r="AU49" s="1057"/>
      <c r="AV49" s="1057"/>
      <c r="AW49" s="1057"/>
      <c r="AX49" s="1057"/>
      <c r="AY49" s="1057"/>
      <c r="AZ49" s="1057"/>
      <c r="BA49" s="1057"/>
      <c r="BB49" s="1057"/>
      <c r="BC49" s="1057"/>
      <c r="BD49" s="1057"/>
      <c r="BE49" s="1057"/>
      <c r="BF49" s="1057"/>
      <c r="BG49" s="1057"/>
      <c r="BH49" s="1057"/>
      <c r="BI49" s="1057"/>
      <c r="BJ49" s="1057"/>
      <c r="BK49" s="1057"/>
      <c r="BL49" s="1057"/>
      <c r="BM49" s="1057"/>
      <c r="BN49" s="1057"/>
      <c r="BO49" s="1057"/>
      <c r="BP49" s="1057"/>
      <c r="BQ49" s="1057"/>
      <c r="BR49" s="1057"/>
      <c r="BS49" s="1057"/>
      <c r="BT49" s="1057"/>
      <c r="BU49" s="1057"/>
      <c r="BV49" s="1059"/>
    </row>
    <row r="50" spans="1:104" s="1055" customFormat="1" x14ac:dyDescent="0.25">
      <c r="A50" s="1060" t="s">
        <v>1087</v>
      </c>
      <c r="B50" s="1057"/>
      <c r="C50" s="1058"/>
      <c r="D50" s="1255"/>
      <c r="E50" s="1058"/>
      <c r="F50" s="1057"/>
      <c r="G50" s="1057"/>
      <c r="H50" s="1057"/>
      <c r="I50" s="1057"/>
      <c r="J50" s="1057"/>
      <c r="K50" s="1057"/>
      <c r="L50" s="1057"/>
      <c r="M50" s="1057"/>
      <c r="N50" s="1061">
        <v>2.2979889999999998</v>
      </c>
      <c r="O50" s="1061">
        <v>2.38</v>
      </c>
      <c r="P50" s="1061">
        <v>2.4052739999999999</v>
      </c>
      <c r="Q50" s="1061">
        <v>2.3369110000000002</v>
      </c>
      <c r="R50" s="1061">
        <v>2.3950149999999999</v>
      </c>
      <c r="S50" s="1061">
        <v>2.3961070000000002</v>
      </c>
      <c r="T50" s="1061">
        <v>2.4583050000000002</v>
      </c>
      <c r="U50" s="1061">
        <v>2.472283</v>
      </c>
      <c r="V50" s="1061">
        <v>2.4802620000000002</v>
      </c>
      <c r="W50" s="1061">
        <v>2.4838239999999998</v>
      </c>
      <c r="X50" s="1061">
        <v>2.516057</v>
      </c>
      <c r="Y50" s="1061">
        <v>2.5464560000000001</v>
      </c>
      <c r="Z50" s="1061">
        <v>2.591459</v>
      </c>
      <c r="AA50" s="1061">
        <v>2.6280779999999999</v>
      </c>
      <c r="AB50" s="1061">
        <v>2.6593969999999998</v>
      </c>
      <c r="AC50" s="1061">
        <v>2.691643</v>
      </c>
      <c r="AD50" s="1061">
        <v>2.7285810000000001</v>
      </c>
      <c r="AE50" s="1061">
        <v>2.7618779999999998</v>
      </c>
      <c r="AF50" s="1061">
        <v>2.7919909999999999</v>
      </c>
      <c r="AG50" s="1061">
        <v>2.8282630000000002</v>
      </c>
      <c r="AH50" s="1061">
        <v>2.8670900000000001</v>
      </c>
      <c r="AI50" s="1061">
        <v>2.8969999999999998</v>
      </c>
      <c r="AJ50" s="1061">
        <v>2.9238430000000002</v>
      </c>
      <c r="AK50" s="1061">
        <v>2.954224</v>
      </c>
      <c r="AL50" s="1061">
        <v>2.98759</v>
      </c>
      <c r="AM50" s="1061">
        <v>3.030205</v>
      </c>
      <c r="AN50" s="1061">
        <v>3.0670109999999999</v>
      </c>
      <c r="AO50" s="1061">
        <v>3.1012659999999999</v>
      </c>
      <c r="AP50" s="1061">
        <v>3.134995</v>
      </c>
      <c r="AQ50" s="1061">
        <v>3.169994</v>
      </c>
      <c r="AR50" s="1061">
        <v>3.2015440000000002</v>
      </c>
      <c r="AS50" s="1057"/>
      <c r="AT50" s="1057"/>
      <c r="AU50" s="1057"/>
      <c r="AV50" s="1057"/>
      <c r="AW50" s="1057"/>
      <c r="AX50" s="1057"/>
      <c r="AY50" s="1057"/>
      <c r="AZ50" s="1057"/>
      <c r="BA50" s="1057"/>
      <c r="BB50" s="1057"/>
      <c r="BC50" s="1057"/>
      <c r="BD50" s="1057"/>
      <c r="BE50" s="1057"/>
      <c r="BF50" s="1057"/>
      <c r="BG50" s="1057"/>
      <c r="BH50" s="1057"/>
      <c r="BI50" s="1057"/>
      <c r="BJ50" s="1057"/>
      <c r="BK50" s="1057"/>
      <c r="BL50" s="1057"/>
      <c r="BM50" s="1057"/>
      <c r="BN50" s="1057"/>
      <c r="BO50" s="1057"/>
      <c r="BP50" s="1057"/>
      <c r="BQ50" s="1057"/>
      <c r="BR50" s="1057"/>
      <c r="BS50" s="1057"/>
      <c r="BT50" s="1057"/>
      <c r="BU50" s="1057"/>
      <c r="BV50" s="1059"/>
    </row>
    <row r="51" spans="1:104" s="1055" customFormat="1" x14ac:dyDescent="0.25">
      <c r="A51" s="1060" t="s">
        <v>683</v>
      </c>
      <c r="B51" s="1057"/>
      <c r="C51" s="1058"/>
      <c r="D51" s="1255"/>
      <c r="E51" s="1058"/>
      <c r="F51" s="1057"/>
      <c r="G51" s="1057"/>
      <c r="H51" s="1057"/>
      <c r="I51" s="1057"/>
      <c r="J51" s="1057"/>
      <c r="K51" s="1057"/>
      <c r="L51" s="1057"/>
      <c r="M51" s="1057"/>
      <c r="N51" s="1061">
        <v>30.492578999999999</v>
      </c>
      <c r="O51" s="1061">
        <v>29.980651999999999</v>
      </c>
      <c r="P51" s="1061">
        <v>28.463469</v>
      </c>
      <c r="Q51" s="1061">
        <v>27.770492999999998</v>
      </c>
      <c r="R51" s="1061">
        <v>27.844252000000001</v>
      </c>
      <c r="S51" s="1061">
        <v>27.733993999999999</v>
      </c>
      <c r="T51" s="1061">
        <v>28.230274000000001</v>
      </c>
      <c r="U51" s="1061">
        <v>28.517765000000001</v>
      </c>
      <c r="V51" s="1061">
        <v>28.644997</v>
      </c>
      <c r="W51" s="1061">
        <v>28.576813000000001</v>
      </c>
      <c r="X51" s="1061">
        <v>28.566559000000002</v>
      </c>
      <c r="Y51" s="1061">
        <v>28.675744999999999</v>
      </c>
      <c r="Z51" s="1061">
        <v>28.66461</v>
      </c>
      <c r="AA51" s="1061">
        <v>28.628443000000001</v>
      </c>
      <c r="AB51" s="1061">
        <v>28.632759</v>
      </c>
      <c r="AC51" s="1061">
        <v>28.485842000000002</v>
      </c>
      <c r="AD51" s="1061">
        <v>28.378672000000002</v>
      </c>
      <c r="AE51" s="1061">
        <v>28.369689999999999</v>
      </c>
      <c r="AF51" s="1061">
        <v>28.482963999999999</v>
      </c>
      <c r="AG51" s="1061">
        <v>28.577332999999999</v>
      </c>
      <c r="AH51" s="1061">
        <v>28.652301999999999</v>
      </c>
      <c r="AI51" s="1061">
        <v>28.781072999999999</v>
      </c>
      <c r="AJ51" s="1061">
        <v>28.912566999999999</v>
      </c>
      <c r="AK51" s="1061">
        <v>29.081726</v>
      </c>
      <c r="AL51" s="1061">
        <v>29.271111999999999</v>
      </c>
      <c r="AM51" s="1061">
        <v>29.658476</v>
      </c>
      <c r="AN51" s="1061">
        <v>30.101704000000002</v>
      </c>
      <c r="AO51" s="1061">
        <v>30.503069</v>
      </c>
      <c r="AP51" s="1061">
        <v>30.944068999999999</v>
      </c>
      <c r="AQ51" s="1061">
        <v>31.476562000000001</v>
      </c>
      <c r="AR51" s="1061">
        <v>31.747146999999998</v>
      </c>
      <c r="AS51" s="1057"/>
      <c r="AT51" s="1057"/>
      <c r="AU51" s="1057"/>
      <c r="AV51" s="1057"/>
      <c r="AW51" s="1057"/>
      <c r="AX51" s="1057"/>
      <c r="AY51" s="1057"/>
      <c r="AZ51" s="1057"/>
      <c r="BA51" s="1057"/>
      <c r="BB51" s="1057"/>
      <c r="BC51" s="1057"/>
      <c r="BD51" s="1057"/>
      <c r="BE51" s="1057"/>
      <c r="BF51" s="1057"/>
      <c r="BG51" s="1057"/>
      <c r="BH51" s="1057"/>
      <c r="BI51" s="1057"/>
      <c r="BJ51" s="1057"/>
      <c r="BK51" s="1057"/>
      <c r="BL51" s="1057"/>
      <c r="BM51" s="1057"/>
      <c r="BN51" s="1057"/>
      <c r="BO51" s="1057"/>
      <c r="BP51" s="1057"/>
      <c r="BQ51" s="1057"/>
      <c r="BR51" s="1057"/>
      <c r="BS51" s="1057"/>
      <c r="BT51" s="1057"/>
      <c r="BU51" s="1057"/>
      <c r="BV51" s="1059"/>
    </row>
    <row r="52" spans="1:104" s="1055" customFormat="1" x14ac:dyDescent="0.25">
      <c r="A52" s="1060" t="s">
        <v>698</v>
      </c>
      <c r="B52" s="1057"/>
      <c r="C52" s="1058"/>
      <c r="D52" s="1255"/>
      <c r="E52" s="1058"/>
      <c r="F52" s="1057"/>
      <c r="G52" s="1057"/>
      <c r="H52" s="1057"/>
      <c r="I52" s="1057"/>
      <c r="J52" s="1057"/>
      <c r="K52" s="1057"/>
      <c r="L52" s="1057"/>
      <c r="M52" s="1057"/>
      <c r="N52" s="1061">
        <v>20.260442999999999</v>
      </c>
      <c r="O52" s="1061">
        <v>19.975739999999998</v>
      </c>
      <c r="P52" s="1061">
        <v>18.436015999999999</v>
      </c>
      <c r="Q52" s="1061">
        <v>18.142965</v>
      </c>
      <c r="R52" s="1061">
        <v>18.046112000000001</v>
      </c>
      <c r="S52" s="1061">
        <v>17.884491000000001</v>
      </c>
      <c r="T52" s="1061">
        <v>18.368113000000001</v>
      </c>
      <c r="U52" s="1061">
        <v>18.636278000000001</v>
      </c>
      <c r="V52" s="1061">
        <v>18.783104000000002</v>
      </c>
      <c r="W52" s="1061">
        <v>18.727132999999998</v>
      </c>
      <c r="X52" s="1061">
        <v>18.720291</v>
      </c>
      <c r="Y52" s="1061">
        <v>18.854441000000001</v>
      </c>
      <c r="Z52" s="1061">
        <v>18.961594000000002</v>
      </c>
      <c r="AA52" s="1061">
        <v>19.089853000000002</v>
      </c>
      <c r="AB52" s="1061">
        <v>19.158766</v>
      </c>
      <c r="AC52" s="1061">
        <v>19.181961000000001</v>
      </c>
      <c r="AD52" s="1061">
        <v>19.274345</v>
      </c>
      <c r="AE52" s="1061">
        <v>19.362473000000001</v>
      </c>
      <c r="AF52" s="1061">
        <v>19.467001</v>
      </c>
      <c r="AG52" s="1061">
        <v>19.610374</v>
      </c>
      <c r="AH52" s="1061">
        <v>19.726358000000001</v>
      </c>
      <c r="AI52" s="1061">
        <v>19.866886000000001</v>
      </c>
      <c r="AJ52" s="1061">
        <v>20.029399999999999</v>
      </c>
      <c r="AK52" s="1061">
        <v>20.204810999999999</v>
      </c>
      <c r="AL52" s="1061">
        <v>20.42868</v>
      </c>
      <c r="AM52" s="1061">
        <v>20.795019</v>
      </c>
      <c r="AN52" s="1061">
        <v>21.263971000000002</v>
      </c>
      <c r="AO52" s="1061">
        <v>21.670811</v>
      </c>
      <c r="AP52" s="1061">
        <v>22.067454999999999</v>
      </c>
      <c r="AQ52" s="1061">
        <v>22.488647</v>
      </c>
      <c r="AR52" s="1061">
        <v>22.744430999999999</v>
      </c>
      <c r="AS52" s="1057"/>
      <c r="AT52" s="1057"/>
      <c r="AU52" s="1057"/>
      <c r="AV52" s="1057"/>
      <c r="AW52" s="1057"/>
      <c r="AX52" s="1057"/>
      <c r="AY52" s="1057"/>
      <c r="AZ52" s="1057"/>
      <c r="BA52" s="1057"/>
      <c r="BB52" s="1057"/>
      <c r="BC52" s="1057"/>
      <c r="BD52" s="1057"/>
      <c r="BE52" s="1057"/>
      <c r="BF52" s="1057"/>
      <c r="BG52" s="1057"/>
      <c r="BH52" s="1057"/>
      <c r="BI52" s="1057"/>
      <c r="BJ52" s="1057"/>
      <c r="BK52" s="1057"/>
      <c r="BL52" s="1057"/>
      <c r="BM52" s="1057"/>
      <c r="BN52" s="1057"/>
      <c r="BO52" s="1057"/>
      <c r="BP52" s="1057"/>
      <c r="BQ52" s="1057"/>
      <c r="BR52" s="1057"/>
      <c r="BS52" s="1057"/>
      <c r="BT52" s="1057"/>
      <c r="BU52" s="1057"/>
      <c r="BV52" s="1059"/>
    </row>
    <row r="53" spans="1:104" s="1055" customFormat="1" ht="13" thickBot="1" x14ac:dyDescent="0.3">
      <c r="A53" s="1064" t="s">
        <v>684</v>
      </c>
      <c r="B53" s="1065"/>
      <c r="C53" s="1066"/>
      <c r="D53" s="1256"/>
      <c r="E53" s="1066"/>
      <c r="F53" s="1065"/>
      <c r="G53" s="1065"/>
      <c r="H53" s="1065"/>
      <c r="I53" s="1065"/>
      <c r="J53" s="1065"/>
      <c r="K53" s="1065"/>
      <c r="L53" s="1065"/>
      <c r="M53" s="1065"/>
      <c r="N53" s="1067">
        <v>34.522823000000002</v>
      </c>
      <c r="O53" s="1067">
        <v>34.335875999999999</v>
      </c>
      <c r="P53" s="1067">
        <v>33.266716000000002</v>
      </c>
      <c r="Q53" s="1067">
        <v>32.549408</v>
      </c>
      <c r="R53" s="1067">
        <v>33.007488000000002</v>
      </c>
      <c r="S53" s="1067">
        <v>33.062362999999998</v>
      </c>
      <c r="T53" s="1067">
        <v>33.578304000000003</v>
      </c>
      <c r="U53" s="1067">
        <v>33.826259999999998</v>
      </c>
      <c r="V53" s="1067">
        <v>33.834632999999997</v>
      </c>
      <c r="W53" s="1067">
        <v>33.642589999999998</v>
      </c>
      <c r="X53" s="1067">
        <v>33.615443999999997</v>
      </c>
      <c r="Y53" s="1067">
        <v>33.658813000000002</v>
      </c>
      <c r="Z53" s="1067">
        <v>33.691249999999997</v>
      </c>
      <c r="AA53" s="1067">
        <v>33.703487000000003</v>
      </c>
      <c r="AB53" s="1067">
        <v>33.839970000000001</v>
      </c>
      <c r="AC53" s="1067">
        <v>33.959377000000003</v>
      </c>
      <c r="AD53" s="1067">
        <v>34.126075999999998</v>
      </c>
      <c r="AE53" s="1067">
        <v>34.265704999999997</v>
      </c>
      <c r="AF53" s="1067">
        <v>34.413651000000002</v>
      </c>
      <c r="AG53" s="1067">
        <v>34.510967000000001</v>
      </c>
      <c r="AH53" s="1067">
        <v>34.561591999999997</v>
      </c>
      <c r="AI53" s="1067">
        <v>34.686400999999996</v>
      </c>
      <c r="AJ53" s="1067">
        <v>34.807406999999998</v>
      </c>
      <c r="AK53" s="1067">
        <v>34.923721</v>
      </c>
      <c r="AL53" s="1067">
        <v>35.082526999999999</v>
      </c>
      <c r="AM53" s="1067">
        <v>35.421287999999997</v>
      </c>
      <c r="AN53" s="1067">
        <v>35.835976000000002</v>
      </c>
      <c r="AO53" s="1067">
        <v>36.175975999999999</v>
      </c>
      <c r="AP53" s="1067">
        <v>36.502800000000001</v>
      </c>
      <c r="AQ53" s="1067">
        <v>36.906086000000002</v>
      </c>
      <c r="AR53" s="1067">
        <v>37.098595000000003</v>
      </c>
      <c r="AS53" s="1065"/>
      <c r="AT53" s="1065"/>
      <c r="AU53" s="1065"/>
      <c r="AV53" s="1065"/>
      <c r="AW53" s="1065"/>
      <c r="AX53" s="1065"/>
      <c r="AY53" s="1065"/>
      <c r="AZ53" s="1065"/>
      <c r="BA53" s="1065"/>
      <c r="BB53" s="1065"/>
      <c r="BC53" s="1065"/>
      <c r="BD53" s="1065"/>
      <c r="BE53" s="1065"/>
      <c r="BF53" s="1065"/>
      <c r="BG53" s="1065"/>
      <c r="BH53" s="1065"/>
      <c r="BI53" s="1065"/>
      <c r="BJ53" s="1065"/>
      <c r="BK53" s="1065"/>
      <c r="BL53" s="1065"/>
      <c r="BM53" s="1065"/>
      <c r="BN53" s="1065"/>
      <c r="BO53" s="1065"/>
      <c r="BP53" s="1065"/>
      <c r="BQ53" s="1065"/>
      <c r="BR53" s="1065"/>
      <c r="BS53" s="1065"/>
      <c r="BT53" s="1065"/>
      <c r="BU53" s="1065"/>
      <c r="BV53" s="1068"/>
    </row>
    <row r="54" spans="1:104" x14ac:dyDescent="0.25">
      <c r="A54" s="880"/>
      <c r="B54" s="264"/>
      <c r="C54" s="877"/>
      <c r="D54" s="1253"/>
      <c r="E54" s="877"/>
      <c r="F54" s="264"/>
      <c r="G54" s="264"/>
      <c r="H54" s="264"/>
      <c r="I54" s="264"/>
      <c r="J54" s="264"/>
      <c r="K54" s="264"/>
      <c r="L54" s="264"/>
      <c r="M54" s="264"/>
      <c r="N54" s="264"/>
      <c r="O54" s="264"/>
      <c r="P54" s="264"/>
      <c r="Q54" s="264"/>
      <c r="R54" s="264"/>
      <c r="S54" s="264"/>
      <c r="T54" s="264"/>
      <c r="U54" s="264"/>
      <c r="V54" s="264"/>
      <c r="W54" s="264"/>
      <c r="X54" s="264"/>
      <c r="Y54" s="264"/>
      <c r="Z54" s="264"/>
      <c r="AA54" s="264"/>
      <c r="AB54" s="264"/>
      <c r="AC54" s="264"/>
      <c r="AD54" s="264"/>
      <c r="AE54" s="264"/>
      <c r="AF54" s="264"/>
      <c r="AG54" s="264"/>
      <c r="AH54" s="264"/>
      <c r="AI54" s="264"/>
      <c r="AJ54" s="264"/>
      <c r="AK54" s="264"/>
      <c r="AL54" s="264"/>
      <c r="AM54" s="264"/>
      <c r="AN54" s="264"/>
      <c r="AO54" s="264"/>
      <c r="AP54" s="264"/>
      <c r="AQ54" s="264"/>
      <c r="AR54" s="264"/>
      <c r="AS54" s="264"/>
      <c r="AT54" s="264"/>
      <c r="AU54" s="264"/>
      <c r="AV54" s="264"/>
      <c r="AW54" s="264"/>
      <c r="AX54" s="264"/>
      <c r="AY54" s="264"/>
      <c r="AZ54" s="264"/>
      <c r="BA54" s="264"/>
      <c r="BB54" s="264"/>
      <c r="BC54" s="264"/>
      <c r="BD54" s="264"/>
      <c r="BE54" s="264"/>
      <c r="BF54" s="264"/>
      <c r="BG54" s="264"/>
      <c r="BH54" s="264"/>
      <c r="BI54" s="264"/>
      <c r="BJ54" s="264"/>
      <c r="BK54" s="264"/>
      <c r="BL54" s="264"/>
      <c r="BM54" s="264"/>
      <c r="BN54" s="264"/>
      <c r="BO54" s="264"/>
      <c r="BP54" s="264"/>
      <c r="BQ54" s="264"/>
      <c r="BR54" s="264"/>
      <c r="BS54" s="264"/>
      <c r="BT54" s="264"/>
      <c r="BU54" s="264"/>
      <c r="BV54" s="879"/>
    </row>
    <row r="55" spans="1:104" ht="13" thickBot="1" x14ac:dyDescent="0.3">
      <c r="A55" s="880"/>
      <c r="B55" s="264"/>
      <c r="C55" s="877"/>
      <c r="D55" s="1253"/>
      <c r="E55" s="884"/>
      <c r="F55" s="883"/>
      <c r="G55" s="264"/>
      <c r="H55" s="264"/>
      <c r="I55" s="264"/>
      <c r="J55" s="264"/>
      <c r="K55" s="264"/>
      <c r="L55" s="264"/>
      <c r="M55" s="264"/>
      <c r="N55" s="264"/>
      <c r="O55" s="264"/>
      <c r="P55" s="264"/>
      <c r="Q55" s="264"/>
      <c r="R55" s="264"/>
      <c r="S55" s="264"/>
      <c r="T55" s="264"/>
      <c r="U55" s="264"/>
      <c r="V55" s="264"/>
      <c r="W55" s="264"/>
      <c r="X55" s="264"/>
      <c r="Y55" s="264"/>
      <c r="Z55" s="264"/>
      <c r="AA55" s="264"/>
      <c r="AB55" s="264"/>
      <c r="AC55" s="264"/>
      <c r="AD55" s="264"/>
      <c r="AE55" s="264"/>
      <c r="AF55" s="264"/>
      <c r="AG55" s="264"/>
      <c r="AH55" s="264"/>
      <c r="AI55" s="264"/>
      <c r="AJ55" s="264"/>
      <c r="AK55" s="264"/>
      <c r="AL55" s="264"/>
      <c r="AM55" s="264"/>
      <c r="AN55" s="264"/>
      <c r="AO55" s="264"/>
      <c r="AP55" s="264"/>
      <c r="AQ55" s="264"/>
      <c r="AR55" s="264"/>
      <c r="AS55" s="264"/>
      <c r="AT55" s="264"/>
      <c r="AU55" s="264"/>
      <c r="AV55" s="264"/>
      <c r="AW55" s="264"/>
      <c r="AX55" s="264"/>
      <c r="AY55" s="264"/>
      <c r="AZ55" s="264"/>
      <c r="BA55" s="264"/>
      <c r="BB55" s="264"/>
      <c r="BC55" s="264"/>
      <c r="BD55" s="264"/>
      <c r="BE55" s="264"/>
      <c r="BF55" s="264"/>
      <c r="BG55" s="264"/>
      <c r="BH55" s="264"/>
      <c r="BI55" s="264"/>
      <c r="BJ55" s="264"/>
      <c r="BK55" s="264"/>
      <c r="BL55" s="264"/>
      <c r="BM55" s="264"/>
      <c r="BN55" s="264"/>
      <c r="BO55" s="264"/>
      <c r="BP55" s="264"/>
      <c r="BQ55" s="264"/>
      <c r="BR55" s="264"/>
      <c r="BS55" s="264"/>
      <c r="BT55" s="264"/>
      <c r="BU55" s="264"/>
      <c r="BV55" s="879"/>
    </row>
    <row r="56" spans="1:104" ht="13.5" thickTop="1" x14ac:dyDescent="0.3">
      <c r="A56" s="870" t="s">
        <v>1106</v>
      </c>
      <c r="B56" s="871" t="str">
        <f>"Prices are in $(" &amp; ref_year&amp;")/GJ LHV"</f>
        <v>Prices are in $(2016)/GJ LHV</v>
      </c>
      <c r="C56" s="871"/>
      <c r="D56" s="1257"/>
      <c r="E56" s="871"/>
      <c r="F56" s="872"/>
      <c r="G56" s="872"/>
      <c r="H56" s="872"/>
      <c r="I56" s="872"/>
      <c r="J56" s="872"/>
      <c r="K56" s="872"/>
      <c r="L56" s="872"/>
      <c r="M56" s="872"/>
      <c r="N56" s="872"/>
      <c r="O56" s="872"/>
      <c r="P56" s="872"/>
      <c r="Q56" s="872"/>
      <c r="R56" s="872"/>
      <c r="S56" s="872"/>
      <c r="T56" s="872"/>
      <c r="U56" s="872"/>
      <c r="V56" s="872"/>
      <c r="W56" s="872"/>
      <c r="X56" s="872"/>
      <c r="Y56" s="872"/>
      <c r="Z56" s="872"/>
      <c r="AA56" s="872"/>
      <c r="AB56" s="872"/>
      <c r="AC56" s="872"/>
      <c r="AD56" s="872"/>
      <c r="AE56" s="872"/>
      <c r="AF56" s="872"/>
      <c r="AG56" s="872"/>
      <c r="AH56" s="872"/>
      <c r="AI56" s="872"/>
      <c r="AJ56" s="872"/>
      <c r="AK56" s="872"/>
      <c r="AL56" s="872"/>
      <c r="AM56" s="872"/>
      <c r="AN56" s="872"/>
      <c r="AO56" s="872"/>
      <c r="AP56" s="872"/>
      <c r="AQ56" s="872"/>
      <c r="AR56" s="872"/>
      <c r="AS56" s="885" t="s">
        <v>772</v>
      </c>
      <c r="AT56" s="886"/>
      <c r="AU56" s="886"/>
      <c r="AV56" s="886"/>
      <c r="AW56" s="886"/>
      <c r="AX56" s="886"/>
      <c r="AY56" s="886"/>
      <c r="AZ56" s="886"/>
      <c r="BA56" s="886"/>
      <c r="BB56" s="886"/>
      <c r="BC56" s="886"/>
      <c r="BD56" s="886"/>
      <c r="BE56" s="886"/>
      <c r="BF56" s="886"/>
      <c r="BG56" s="886"/>
      <c r="BH56" s="886"/>
      <c r="BI56" s="886"/>
      <c r="BJ56" s="886"/>
      <c r="BK56" s="886"/>
      <c r="BL56" s="886"/>
      <c r="BM56" s="886"/>
      <c r="BN56" s="886"/>
      <c r="BO56" s="886"/>
      <c r="BP56" s="886"/>
      <c r="BQ56" s="886"/>
      <c r="BR56" s="886"/>
      <c r="BS56" s="886"/>
      <c r="BT56" s="886"/>
      <c r="BU56" s="886"/>
      <c r="BV56" s="887"/>
    </row>
    <row r="57" spans="1:104" ht="39.5" thickBot="1" x14ac:dyDescent="0.35">
      <c r="A57" s="1124" t="s">
        <v>1084</v>
      </c>
      <c r="B57" s="1125" t="s">
        <v>678</v>
      </c>
      <c r="C57" s="1125" t="s">
        <v>679</v>
      </c>
      <c r="D57" s="1258" t="s">
        <v>690</v>
      </c>
      <c r="E57" s="1125" t="s">
        <v>691</v>
      </c>
      <c r="F57" s="1126" t="s">
        <v>680</v>
      </c>
      <c r="G57" s="1126" t="s">
        <v>692</v>
      </c>
      <c r="H57" s="1069">
        <v>2004</v>
      </c>
      <c r="I57" s="1069">
        <v>2005</v>
      </c>
      <c r="J57" s="1069">
        <v>2006</v>
      </c>
      <c r="K57" s="1069">
        <v>2007</v>
      </c>
      <c r="L57" s="1069">
        <v>2008</v>
      </c>
      <c r="M57" s="1069">
        <v>2009</v>
      </c>
      <c r="N57" s="1126">
        <v>2010</v>
      </c>
      <c r="O57" s="1126">
        <v>2011</v>
      </c>
      <c r="P57" s="1126">
        <v>2012</v>
      </c>
      <c r="Q57" s="1126">
        <v>2013</v>
      </c>
      <c r="R57" s="1126">
        <v>2014</v>
      </c>
      <c r="S57" s="1126">
        <v>2015</v>
      </c>
      <c r="T57" s="1126">
        <v>2016</v>
      </c>
      <c r="U57" s="1126">
        <v>2017</v>
      </c>
      <c r="V57" s="1126">
        <v>2018</v>
      </c>
      <c r="W57" s="1126">
        <v>2019</v>
      </c>
      <c r="X57" s="1126">
        <v>2020</v>
      </c>
      <c r="Y57" s="1126">
        <v>2021</v>
      </c>
      <c r="Z57" s="1126">
        <v>2022</v>
      </c>
      <c r="AA57" s="1126">
        <v>2023</v>
      </c>
      <c r="AB57" s="1126">
        <v>2024</v>
      </c>
      <c r="AC57" s="1126">
        <v>2025</v>
      </c>
      <c r="AD57" s="1126">
        <v>2026</v>
      </c>
      <c r="AE57" s="1126">
        <v>2027</v>
      </c>
      <c r="AF57" s="1126">
        <v>2028</v>
      </c>
      <c r="AG57" s="1126">
        <v>2029</v>
      </c>
      <c r="AH57" s="1126">
        <v>2030</v>
      </c>
      <c r="AI57" s="1126">
        <v>2031</v>
      </c>
      <c r="AJ57" s="1126">
        <v>2032</v>
      </c>
      <c r="AK57" s="1126">
        <v>2033</v>
      </c>
      <c r="AL57" s="1126">
        <v>2034</v>
      </c>
      <c r="AM57" s="1126">
        <v>2035</v>
      </c>
      <c r="AN57" s="1126">
        <v>2036</v>
      </c>
      <c r="AO57" s="1126">
        <v>2037</v>
      </c>
      <c r="AP57" s="1126">
        <v>2038</v>
      </c>
      <c r="AQ57" s="1126">
        <v>2039</v>
      </c>
      <c r="AR57" s="1126">
        <v>2040</v>
      </c>
      <c r="AS57" s="1126">
        <v>2041</v>
      </c>
      <c r="AT57" s="1126">
        <v>2042</v>
      </c>
      <c r="AU57" s="1126">
        <v>2043</v>
      </c>
      <c r="AV57" s="1126">
        <v>2044</v>
      </c>
      <c r="AW57" s="1126">
        <v>2045</v>
      </c>
      <c r="AX57" s="1126">
        <v>2046</v>
      </c>
      <c r="AY57" s="1126">
        <v>2047</v>
      </c>
      <c r="AZ57" s="1126">
        <v>2048</v>
      </c>
      <c r="BA57" s="1126">
        <v>2049</v>
      </c>
      <c r="BB57" s="1126">
        <v>2050</v>
      </c>
      <c r="BC57" s="1126">
        <v>2051</v>
      </c>
      <c r="BD57" s="1126">
        <v>2052</v>
      </c>
      <c r="BE57" s="1126">
        <v>2053</v>
      </c>
      <c r="BF57" s="1126">
        <v>2054</v>
      </c>
      <c r="BG57" s="1126">
        <v>2055</v>
      </c>
      <c r="BH57" s="1126">
        <v>2056</v>
      </c>
      <c r="BI57" s="1126">
        <v>2057</v>
      </c>
      <c r="BJ57" s="1126">
        <v>2058</v>
      </c>
      <c r="BK57" s="1126">
        <v>2059</v>
      </c>
      <c r="BL57" s="1126">
        <v>2060</v>
      </c>
      <c r="BM57" s="1126">
        <v>2061</v>
      </c>
      <c r="BN57" s="1126">
        <v>2062</v>
      </c>
      <c r="BO57" s="1126">
        <v>2063</v>
      </c>
      <c r="BP57" s="1126">
        <v>2064</v>
      </c>
      <c r="BQ57" s="1126">
        <v>2065</v>
      </c>
      <c r="BR57" s="1126">
        <v>2066</v>
      </c>
      <c r="BS57" s="1126">
        <v>2067</v>
      </c>
      <c r="BT57" s="1126">
        <v>2068</v>
      </c>
      <c r="BU57" s="1126">
        <v>2069</v>
      </c>
      <c r="BV57" s="1127">
        <v>2070</v>
      </c>
      <c r="BW57" s="1401">
        <f t="shared" ref="BW57" si="130">+BV57+1</f>
        <v>2071</v>
      </c>
      <c r="BX57" s="1401">
        <f t="shared" ref="BX57" si="131">+BW57+1</f>
        <v>2072</v>
      </c>
      <c r="BY57" s="1401">
        <f t="shared" ref="BY57" si="132">+BX57+1</f>
        <v>2073</v>
      </c>
      <c r="BZ57" s="1401">
        <f t="shared" ref="BZ57" si="133">+BY57+1</f>
        <v>2074</v>
      </c>
      <c r="CA57" s="1401">
        <f t="shared" ref="CA57" si="134">+BZ57+1</f>
        <v>2075</v>
      </c>
      <c r="CB57" s="1401">
        <f t="shared" ref="CB57" si="135">+CA57+1</f>
        <v>2076</v>
      </c>
      <c r="CC57" s="1401">
        <f t="shared" ref="CC57" si="136">+CB57+1</f>
        <v>2077</v>
      </c>
      <c r="CD57" s="1401">
        <f t="shared" ref="CD57" si="137">+CC57+1</f>
        <v>2078</v>
      </c>
      <c r="CE57" s="1401">
        <f t="shared" ref="CE57" si="138">+CD57+1</f>
        <v>2079</v>
      </c>
      <c r="CF57" s="1401">
        <f t="shared" ref="CF57" si="139">+CE57+1</f>
        <v>2080</v>
      </c>
      <c r="CG57" s="1401">
        <f t="shared" ref="CG57" si="140">+CF57+1</f>
        <v>2081</v>
      </c>
      <c r="CH57" s="1401">
        <f t="shared" ref="CH57" si="141">+CG57+1</f>
        <v>2082</v>
      </c>
      <c r="CI57" s="1401">
        <f t="shared" ref="CI57" si="142">+CH57+1</f>
        <v>2083</v>
      </c>
      <c r="CJ57" s="1401">
        <f t="shared" ref="CJ57" si="143">+CI57+1</f>
        <v>2084</v>
      </c>
      <c r="CK57" s="1401">
        <f t="shared" ref="CK57" si="144">+CJ57+1</f>
        <v>2085</v>
      </c>
      <c r="CL57" s="1401">
        <f t="shared" ref="CL57" si="145">+CK57+1</f>
        <v>2086</v>
      </c>
      <c r="CM57" s="1401">
        <f t="shared" ref="CM57" si="146">+CL57+1</f>
        <v>2087</v>
      </c>
      <c r="CN57" s="1401">
        <f t="shared" ref="CN57" si="147">+CM57+1</f>
        <v>2088</v>
      </c>
      <c r="CO57" s="1401">
        <f t="shared" ref="CO57" si="148">+CN57+1</f>
        <v>2089</v>
      </c>
      <c r="CP57" s="1401">
        <f t="shared" ref="CP57" si="149">+CO57+1</f>
        <v>2090</v>
      </c>
      <c r="CQ57" s="1401">
        <f t="shared" ref="CQ57" si="150">+CP57+1</f>
        <v>2091</v>
      </c>
      <c r="CR57" s="1401">
        <f t="shared" ref="CR57" si="151">+CQ57+1</f>
        <v>2092</v>
      </c>
      <c r="CS57" s="1401">
        <f t="shared" ref="CS57" si="152">+CR57+1</f>
        <v>2093</v>
      </c>
      <c r="CT57" s="1401">
        <f t="shared" ref="CT57" si="153">+CS57+1</f>
        <v>2094</v>
      </c>
      <c r="CU57" s="1401">
        <f t="shared" ref="CU57" si="154">+CT57+1</f>
        <v>2095</v>
      </c>
      <c r="CV57" s="1401">
        <f t="shared" ref="CV57" si="155">+CU57+1</f>
        <v>2096</v>
      </c>
      <c r="CW57" s="1401">
        <f t="shared" ref="CW57" si="156">+CV57+1</f>
        <v>2097</v>
      </c>
      <c r="CX57" s="1401">
        <f t="shared" ref="CX57" si="157">+CW57+1</f>
        <v>2098</v>
      </c>
      <c r="CY57" s="1401">
        <f t="shared" ref="CY57" si="158">+CX57+1</f>
        <v>2099</v>
      </c>
      <c r="CZ57" s="1401">
        <f t="shared" ref="CZ57" si="159">+CY57+1</f>
        <v>2100</v>
      </c>
    </row>
    <row r="58" spans="1:104" ht="13" thickBot="1" x14ac:dyDescent="0.3">
      <c r="A58" s="873" t="s">
        <v>1090</v>
      </c>
      <c r="B58" s="874"/>
      <c r="C58" s="874"/>
      <c r="D58" s="1259"/>
      <c r="E58" s="874"/>
      <c r="F58" s="874"/>
      <c r="G58" s="874"/>
      <c r="H58" s="874"/>
      <c r="I58" s="874"/>
      <c r="J58" s="874"/>
      <c r="K58" s="874"/>
      <c r="L58" s="874"/>
      <c r="M58" s="874"/>
      <c r="N58" s="874"/>
      <c r="O58" s="874"/>
      <c r="P58" s="874"/>
      <c r="Q58" s="874"/>
      <c r="R58" s="874"/>
      <c r="S58" s="874"/>
      <c r="T58" s="874"/>
      <c r="U58" s="874"/>
      <c r="V58" s="874"/>
      <c r="W58" s="874"/>
      <c r="X58" s="874"/>
      <c r="Y58" s="874"/>
      <c r="Z58" s="874"/>
      <c r="AA58" s="874"/>
      <c r="AB58" s="874"/>
      <c r="AC58" s="874"/>
      <c r="AD58" s="874"/>
      <c r="AE58" s="874"/>
      <c r="AF58" s="874"/>
      <c r="AG58" s="874"/>
      <c r="AH58" s="874"/>
      <c r="AI58" s="874"/>
      <c r="AJ58" s="874"/>
      <c r="AK58" s="874"/>
      <c r="AL58" s="874"/>
      <c r="AM58" s="874"/>
      <c r="AN58" s="874"/>
      <c r="AO58" s="874"/>
      <c r="AP58" s="874"/>
      <c r="AQ58" s="874"/>
      <c r="AR58" s="874"/>
      <c r="AS58" s="874"/>
      <c r="AT58" s="874"/>
      <c r="AU58" s="874"/>
      <c r="AV58" s="874"/>
      <c r="AW58" s="874"/>
      <c r="AX58" s="874"/>
      <c r="AY58" s="874"/>
      <c r="AZ58" s="874"/>
      <c r="BA58" s="874"/>
      <c r="BB58" s="874"/>
      <c r="BC58" s="874"/>
      <c r="BD58" s="874"/>
      <c r="BE58" s="874"/>
      <c r="BF58" s="874"/>
      <c r="BG58" s="874"/>
      <c r="BH58" s="874"/>
      <c r="BI58" s="874"/>
      <c r="BJ58" s="874"/>
      <c r="BK58" s="874"/>
      <c r="BL58" s="874"/>
      <c r="BM58" s="874"/>
      <c r="BN58" s="874"/>
      <c r="BO58" s="874"/>
      <c r="BP58" s="874"/>
      <c r="BQ58" s="874"/>
      <c r="BR58" s="874"/>
      <c r="BS58" s="874"/>
      <c r="BT58" s="874"/>
      <c r="BU58" s="874"/>
      <c r="BV58" s="875"/>
    </row>
    <row r="59" spans="1:104" ht="13" x14ac:dyDescent="0.3">
      <c r="A59" s="876" t="str">
        <f>'HyARC Physical Property Data'!A73</f>
        <v>Residential Natural Gas</v>
      </c>
      <c r="B59" s="264">
        <v>2011</v>
      </c>
      <c r="C59" s="877">
        <f>VLOOKUP(ref_year,DeflatorTable,2,FALSE)/VLOOKUP(B59,DeflatorTable,2,FALSE)</f>
        <v>1.0784554773635862</v>
      </c>
      <c r="D59" s="1260" t="str">
        <f>'HyARC Physical Property Data'!H73</f>
        <v>mmBtu</v>
      </c>
      <c r="E59" s="877" t="s">
        <v>1058</v>
      </c>
      <c r="F59" s="264">
        <f>'HyARC Physical Property Data'!$E$6</f>
        <v>47.141269049911173</v>
      </c>
      <c r="G59" s="264">
        <f>'HyARC Physical Property Data'!$I$6</f>
        <v>52.224661236371581</v>
      </c>
      <c r="H59" s="1071">
        <v>13.568796522291001</v>
      </c>
      <c r="I59" s="1071">
        <v>13.568796522291001</v>
      </c>
      <c r="J59" s="1071">
        <v>13.568796522291001</v>
      </c>
      <c r="K59" s="1071">
        <v>12.569562315288914</v>
      </c>
      <c r="L59" s="1071">
        <v>12.891154499364562</v>
      </c>
      <c r="M59" s="1071">
        <v>11.574514296329017</v>
      </c>
      <c r="N59" s="264">
        <f t="shared" ref="N59:AR59" si="160">N74*(1/mmBTU_to_GJ*$C59*$G59/$F59)</f>
        <v>12.864072624231566</v>
      </c>
      <c r="O59" s="264">
        <f t="shared" si="160"/>
        <v>12.233256612302414</v>
      </c>
      <c r="P59" s="264">
        <f t="shared" si="160"/>
        <v>11.861152965490446</v>
      </c>
      <c r="Q59" s="264">
        <f t="shared" si="160"/>
        <v>11.893055588099742</v>
      </c>
      <c r="R59" s="264">
        <f t="shared" si="160"/>
        <v>11.702900284056764</v>
      </c>
      <c r="S59" s="264">
        <f t="shared" si="160"/>
        <v>11.584863638053182</v>
      </c>
      <c r="T59" s="264">
        <f t="shared" si="160"/>
        <v>12.172704934041207</v>
      </c>
      <c r="U59" s="264">
        <f t="shared" si="160"/>
        <v>12.561660766684307</v>
      </c>
      <c r="V59" s="264">
        <f t="shared" si="160"/>
        <v>13.040849007274005</v>
      </c>
      <c r="W59" s="264">
        <f t="shared" si="160"/>
        <v>13.334636024602869</v>
      </c>
      <c r="X59" s="264">
        <f t="shared" si="160"/>
        <v>13.585497021910953</v>
      </c>
      <c r="Y59" s="264">
        <f t="shared" si="160"/>
        <v>13.826832870705786</v>
      </c>
      <c r="Z59" s="264">
        <f t="shared" si="160"/>
        <v>14.133121150005612</v>
      </c>
      <c r="AA59" s="264">
        <f t="shared" si="160"/>
        <v>14.415523514141789</v>
      </c>
      <c r="AB59" s="264">
        <f t="shared" si="160"/>
        <v>14.555819858061962</v>
      </c>
      <c r="AC59" s="264">
        <f t="shared" si="160"/>
        <v>14.74260268650484</v>
      </c>
      <c r="AD59" s="264">
        <f t="shared" si="160"/>
        <v>14.962909824951016</v>
      </c>
      <c r="AE59" s="264">
        <f t="shared" si="160"/>
        <v>15.13708380741285</v>
      </c>
      <c r="AF59" s="264">
        <f t="shared" si="160"/>
        <v>15.40515937879654</v>
      </c>
      <c r="AG59" s="264">
        <f t="shared" si="160"/>
        <v>15.610444392046157</v>
      </c>
      <c r="AH59" s="264">
        <f t="shared" si="160"/>
        <v>15.844346751976293</v>
      </c>
      <c r="AI59" s="962">
        <f t="shared" si="160"/>
        <v>16.116906877885302</v>
      </c>
      <c r="AJ59" s="962">
        <f t="shared" si="160"/>
        <v>16.508795790382088</v>
      </c>
      <c r="AK59" s="962">
        <f t="shared" si="160"/>
        <v>16.937809113598334</v>
      </c>
      <c r="AL59" s="962">
        <f t="shared" si="160"/>
        <v>17.381004274269273</v>
      </c>
      <c r="AM59" s="962">
        <f t="shared" si="160"/>
        <v>17.788911879634913</v>
      </c>
      <c r="AN59" s="962">
        <f t="shared" si="160"/>
        <v>18.311687498791546</v>
      </c>
      <c r="AO59" s="962">
        <f t="shared" si="160"/>
        <v>18.65334373828842</v>
      </c>
      <c r="AP59" s="962">
        <f t="shared" si="160"/>
        <v>19.195162859691969</v>
      </c>
      <c r="AQ59" s="962">
        <f t="shared" si="160"/>
        <v>19.682735858288098</v>
      </c>
      <c r="AR59" s="962">
        <f t="shared" si="160"/>
        <v>20.015032288908259</v>
      </c>
      <c r="AS59" s="962">
        <f>($BB59-$AR59)/10+AR59</f>
        <v>20.01518684253227</v>
      </c>
      <c r="AT59" s="962">
        <f t="shared" ref="AT59:BA59" si="161">($BB59-$AR59)/10+AS59</f>
        <v>20.01534139615628</v>
      </c>
      <c r="AU59" s="962">
        <f t="shared" si="161"/>
        <v>20.015495949780291</v>
      </c>
      <c r="AV59" s="962">
        <f t="shared" si="161"/>
        <v>20.015650503404302</v>
      </c>
      <c r="AW59" s="962">
        <f t="shared" si="161"/>
        <v>20.015805057028313</v>
      </c>
      <c r="AX59" s="962">
        <f t="shared" si="161"/>
        <v>20.015959610652324</v>
      </c>
      <c r="AY59" s="962">
        <f t="shared" si="161"/>
        <v>20.016114164276335</v>
      </c>
      <c r="AZ59" s="962">
        <f t="shared" si="161"/>
        <v>20.016268717900346</v>
      </c>
      <c r="BA59" s="962">
        <f t="shared" si="161"/>
        <v>20.016423271524356</v>
      </c>
      <c r="BB59" s="964">
        <f>'AEO Data'!$B$30*AM59</f>
        <v>20.01657782514836</v>
      </c>
      <c r="BC59" s="962">
        <f>($BQ59-$BB59)/15+BB59</f>
        <v>20.179679524085394</v>
      </c>
      <c r="BD59" s="962">
        <f t="shared" ref="BD59:BP62" si="162">($BQ59-$BB59)/15+BC59</f>
        <v>20.342781223022428</v>
      </c>
      <c r="BE59" s="962">
        <f t="shared" si="162"/>
        <v>20.505882921959461</v>
      </c>
      <c r="BF59" s="962">
        <f t="shared" si="162"/>
        <v>20.668984620896495</v>
      </c>
      <c r="BG59" s="962">
        <f t="shared" si="162"/>
        <v>20.832086319833529</v>
      </c>
      <c r="BH59" s="962">
        <f t="shared" si="162"/>
        <v>20.995188018770563</v>
      </c>
      <c r="BI59" s="962">
        <f t="shared" si="162"/>
        <v>21.158289717707596</v>
      </c>
      <c r="BJ59" s="962">
        <f t="shared" si="162"/>
        <v>21.32139141664463</v>
      </c>
      <c r="BK59" s="962">
        <f t="shared" si="162"/>
        <v>21.484493115581664</v>
      </c>
      <c r="BL59" s="962">
        <f t="shared" si="162"/>
        <v>21.647594814518698</v>
      </c>
      <c r="BM59" s="962">
        <f t="shared" si="162"/>
        <v>21.810696513455731</v>
      </c>
      <c r="BN59" s="962">
        <f t="shared" si="162"/>
        <v>21.973798212392765</v>
      </c>
      <c r="BO59" s="962">
        <f t="shared" si="162"/>
        <v>22.136899911329799</v>
      </c>
      <c r="BP59" s="962">
        <f t="shared" si="162"/>
        <v>22.300001610266833</v>
      </c>
      <c r="BQ59" s="964">
        <f>'AEO Data'!$C$30*BB59</f>
        <v>22.463103309203859</v>
      </c>
      <c r="BR59" s="961">
        <f>($BV59-$BQ59)/5+BQ59</f>
        <v>22.591499473992489</v>
      </c>
      <c r="BS59" s="962">
        <f t="shared" ref="BS59:BU62" si="163">($BV59-$BQ59)/5+BR59</f>
        <v>22.719895638781118</v>
      </c>
      <c r="BT59" s="962">
        <f t="shared" si="163"/>
        <v>22.848291803569747</v>
      </c>
      <c r="BU59" s="962">
        <f t="shared" si="163"/>
        <v>22.976687968358377</v>
      </c>
      <c r="BV59" s="965">
        <f>'AEO Data'!$D$30*BQ59</f>
        <v>23.105084133146999</v>
      </c>
      <c r="BW59" s="1400">
        <f>+BV59*BW$133/BV$133</f>
        <v>23.181799806296944</v>
      </c>
      <c r="BX59" s="1400">
        <f t="shared" ref="BX59:CZ59" si="164">+BW59*BX$133/BW$133</f>
        <v>23.258770198039247</v>
      </c>
      <c r="BY59" s="1400">
        <f t="shared" si="164"/>
        <v>23.335996154114543</v>
      </c>
      <c r="BZ59" s="1400">
        <f t="shared" si="164"/>
        <v>23.413478523071561</v>
      </c>
      <c r="CA59" s="1400">
        <f t="shared" si="164"/>
        <v>23.491218156276457</v>
      </c>
      <c r="CB59" s="1400">
        <f t="shared" si="164"/>
        <v>23.541346730111329</v>
      </c>
      <c r="CC59" s="1400">
        <f t="shared" si="164"/>
        <v>23.591582274725578</v>
      </c>
      <c r="CD59" s="1400">
        <f t="shared" si="164"/>
        <v>23.641925018387173</v>
      </c>
      <c r="CE59" s="1400">
        <f t="shared" si="164"/>
        <v>23.692375189851191</v>
      </c>
      <c r="CF59" s="1400">
        <f t="shared" si="164"/>
        <v>23.742933018360848</v>
      </c>
      <c r="CG59" s="1400">
        <f t="shared" si="164"/>
        <v>23.759348824569351</v>
      </c>
      <c r="CH59" s="1400">
        <f t="shared" si="164"/>
        <v>23.775775980626385</v>
      </c>
      <c r="CI59" s="1400">
        <f t="shared" si="164"/>
        <v>23.792214494379209</v>
      </c>
      <c r="CJ59" s="1400">
        <f t="shared" si="164"/>
        <v>23.808664373680507</v>
      </c>
      <c r="CK59" s="1400">
        <f t="shared" si="164"/>
        <v>23.825125626388392</v>
      </c>
      <c r="CL59" s="1400">
        <f t="shared" si="164"/>
        <v>23.830705260336195</v>
      </c>
      <c r="CM59" s="1400">
        <f t="shared" si="164"/>
        <v>23.836286200984979</v>
      </c>
      <c r="CN59" s="1400">
        <f t="shared" si="164"/>
        <v>23.841868448640763</v>
      </c>
      <c r="CO59" s="1400">
        <f t="shared" si="164"/>
        <v>23.847452003609632</v>
      </c>
      <c r="CP59" s="1400">
        <f t="shared" si="164"/>
        <v>23.853036866197748</v>
      </c>
      <c r="CQ59" s="1400">
        <f t="shared" si="164"/>
        <v>23.861501261663879</v>
      </c>
      <c r="CR59" s="1400">
        <f t="shared" si="164"/>
        <v>23.869968660772315</v>
      </c>
      <c r="CS59" s="1400">
        <f t="shared" si="164"/>
        <v>23.878439064588914</v>
      </c>
      <c r="CT59" s="1400">
        <f t="shared" si="164"/>
        <v>23.886912474179919</v>
      </c>
      <c r="CU59" s="1400">
        <f t="shared" si="164"/>
        <v>23.89538889061194</v>
      </c>
      <c r="CV59" s="1400">
        <f t="shared" si="164"/>
        <v>23.908434131387597</v>
      </c>
      <c r="CW59" s="1400">
        <f t="shared" si="164"/>
        <v>23.921486493968537</v>
      </c>
      <c r="CX59" s="1400">
        <f t="shared" si="164"/>
        <v>23.934545982242778</v>
      </c>
      <c r="CY59" s="1400">
        <f t="shared" si="164"/>
        <v>23.947612600100459</v>
      </c>
      <c r="CZ59" s="1400">
        <f t="shared" si="164"/>
        <v>23.960686351433843</v>
      </c>
    </row>
    <row r="60" spans="1:104" ht="13" x14ac:dyDescent="0.3">
      <c r="A60" s="876" t="str">
        <f>'HyARC Physical Property Data'!A71</f>
        <v>Commercial Natural Gas</v>
      </c>
      <c r="B60" s="264">
        <v>2011</v>
      </c>
      <c r="C60" s="877">
        <f t="shared" ref="C60:C68" si="165">VLOOKUP(ref_year,DeflatorTable,2,FALSE)/VLOOKUP(B60,DeflatorTable,2,FALSE)</f>
        <v>1.0784554773635862</v>
      </c>
      <c r="D60" s="1260" t="str">
        <f>'HyARC Physical Property Data'!H71</f>
        <v>mmBtu</v>
      </c>
      <c r="E60" s="877" t="s">
        <v>1058</v>
      </c>
      <c r="F60" s="264">
        <f>'HyARC Physical Property Data'!$E$6</f>
        <v>47.141269049911173</v>
      </c>
      <c r="G60" s="264">
        <f>'HyARC Physical Property Data'!$I$6</f>
        <v>52.224661236371581</v>
      </c>
      <c r="H60" s="1071">
        <v>11.78211597551449</v>
      </c>
      <c r="I60" s="1071">
        <v>11.78211597551449</v>
      </c>
      <c r="J60" s="1071">
        <v>11.78211597551449</v>
      </c>
      <c r="K60" s="1071">
        <v>10.884547954455588</v>
      </c>
      <c r="L60" s="1071">
        <v>11.412186165255939</v>
      </c>
      <c r="M60" s="1071">
        <v>10.075756967258858</v>
      </c>
      <c r="N60" s="264">
        <f t="shared" ref="N60:AR60" si="166">N75*(1/mmBTU_to_GJ*$C60*$G60/$F60)</f>
        <v>10.64172897994356</v>
      </c>
      <c r="O60" s="264">
        <f t="shared" si="166"/>
        <v>10.007414788992003</v>
      </c>
      <c r="P60" s="264">
        <f t="shared" si="166"/>
        <v>9.1519429796830281</v>
      </c>
      <c r="Q60" s="264">
        <f t="shared" si="166"/>
        <v>9.6083607814240821</v>
      </c>
      <c r="R60" s="264">
        <f t="shared" si="166"/>
        <v>9.4170571596314385</v>
      </c>
      <c r="S60" s="264">
        <f t="shared" si="166"/>
        <v>9.2604963783141265</v>
      </c>
      <c r="T60" s="264">
        <f t="shared" si="166"/>
        <v>9.7880272107161694</v>
      </c>
      <c r="U60" s="264">
        <f t="shared" si="166"/>
        <v>10.102152135802671</v>
      </c>
      <c r="V60" s="264">
        <f t="shared" si="166"/>
        <v>10.510533110812647</v>
      </c>
      <c r="W60" s="264">
        <f t="shared" si="166"/>
        <v>10.749394527375706</v>
      </c>
      <c r="X60" s="264">
        <f t="shared" si="166"/>
        <v>10.957396319995588</v>
      </c>
      <c r="Y60" s="264">
        <f t="shared" si="166"/>
        <v>11.154595545540458</v>
      </c>
      <c r="Z60" s="264">
        <f t="shared" si="166"/>
        <v>11.419131036760978</v>
      </c>
      <c r="AA60" s="264">
        <f t="shared" si="166"/>
        <v>11.655986860883548</v>
      </c>
      <c r="AB60" s="264">
        <f t="shared" si="166"/>
        <v>11.761963905589115</v>
      </c>
      <c r="AC60" s="264">
        <f t="shared" si="166"/>
        <v>11.916887145026724</v>
      </c>
      <c r="AD60" s="264">
        <f t="shared" si="166"/>
        <v>12.10487944423552</v>
      </c>
      <c r="AE60" s="264">
        <f t="shared" si="166"/>
        <v>12.234521573768266</v>
      </c>
      <c r="AF60" s="264">
        <f t="shared" si="166"/>
        <v>12.450381528976834</v>
      </c>
      <c r="AG60" s="264">
        <f t="shared" si="166"/>
        <v>12.607433799350707</v>
      </c>
      <c r="AH60" s="264">
        <f t="shared" si="166"/>
        <v>12.785898685119724</v>
      </c>
      <c r="AI60" s="264">
        <f t="shared" si="166"/>
        <v>13.004609050363703</v>
      </c>
      <c r="AJ60" s="264">
        <f t="shared" si="166"/>
        <v>13.334459360333689</v>
      </c>
      <c r="AK60" s="264">
        <f t="shared" si="166"/>
        <v>13.708042004168398</v>
      </c>
      <c r="AL60" s="264">
        <f t="shared" si="166"/>
        <v>14.091726220317723</v>
      </c>
      <c r="AM60" s="264">
        <f t="shared" si="166"/>
        <v>14.43493053709644</v>
      </c>
      <c r="AN60" s="264">
        <f t="shared" si="166"/>
        <v>14.903089717958334</v>
      </c>
      <c r="AO60" s="264">
        <f t="shared" si="166"/>
        <v>15.194282261949443</v>
      </c>
      <c r="AP60" s="264">
        <f t="shared" si="166"/>
        <v>15.688899182047464</v>
      </c>
      <c r="AQ60" s="264">
        <f t="shared" si="166"/>
        <v>16.126102479588738</v>
      </c>
      <c r="AR60" s="264">
        <f t="shared" si="166"/>
        <v>16.399079351978891</v>
      </c>
      <c r="AS60" s="264">
        <f t="shared" ref="AS60:BA60" si="167">($BB60-$AR60)/10+AR60</f>
        <v>16.383429901231551</v>
      </c>
      <c r="AT60" s="264">
        <f t="shared" si="167"/>
        <v>16.367780450484211</v>
      </c>
      <c r="AU60" s="264">
        <f t="shared" si="167"/>
        <v>16.352130999736872</v>
      </c>
      <c r="AV60" s="264">
        <f t="shared" si="167"/>
        <v>16.336481548989532</v>
      </c>
      <c r="AW60" s="264">
        <f t="shared" si="167"/>
        <v>16.320832098242192</v>
      </c>
      <c r="AX60" s="264">
        <f t="shared" si="167"/>
        <v>16.305182647494853</v>
      </c>
      <c r="AY60" s="264">
        <f t="shared" si="167"/>
        <v>16.289533196747513</v>
      </c>
      <c r="AZ60" s="264">
        <f t="shared" si="167"/>
        <v>16.273883746000173</v>
      </c>
      <c r="BA60" s="264">
        <f t="shared" si="167"/>
        <v>16.258234295252834</v>
      </c>
      <c r="BB60" s="942">
        <f>'AEO Data'!$B$30*AM60</f>
        <v>16.242584844505476</v>
      </c>
      <c r="BC60" s="264">
        <f>($BQ60-$BB60)/15+BB60</f>
        <v>16.374934799947876</v>
      </c>
      <c r="BD60" s="264">
        <f t="shared" si="162"/>
        <v>16.507284755390277</v>
      </c>
      <c r="BE60" s="264">
        <f t="shared" si="162"/>
        <v>16.639634710832677</v>
      </c>
      <c r="BF60" s="264">
        <f t="shared" si="162"/>
        <v>16.771984666275078</v>
      </c>
      <c r="BG60" s="264">
        <f t="shared" si="162"/>
        <v>16.904334621717478</v>
      </c>
      <c r="BH60" s="264">
        <f t="shared" si="162"/>
        <v>17.036684577159878</v>
      </c>
      <c r="BI60" s="264">
        <f t="shared" si="162"/>
        <v>17.169034532602279</v>
      </c>
      <c r="BJ60" s="264">
        <f t="shared" si="162"/>
        <v>17.301384488044679</v>
      </c>
      <c r="BK60" s="264">
        <f t="shared" si="162"/>
        <v>17.433734443487079</v>
      </c>
      <c r="BL60" s="264">
        <f t="shared" si="162"/>
        <v>17.56608439892948</v>
      </c>
      <c r="BM60" s="264">
        <f t="shared" si="162"/>
        <v>17.69843435437188</v>
      </c>
      <c r="BN60" s="264">
        <f t="shared" si="162"/>
        <v>17.83078430981428</v>
      </c>
      <c r="BO60" s="264">
        <f t="shared" si="162"/>
        <v>17.963134265256681</v>
      </c>
      <c r="BP60" s="264">
        <f t="shared" si="162"/>
        <v>18.095484220699081</v>
      </c>
      <c r="BQ60" s="942">
        <f>'AEO Data'!$C$30*BB60</f>
        <v>18.227834176141503</v>
      </c>
      <c r="BR60" s="876">
        <f>($BV60-$BQ60)/5+BQ60</f>
        <v>18.332022095700271</v>
      </c>
      <c r="BS60" s="264">
        <f t="shared" si="163"/>
        <v>18.436210015259039</v>
      </c>
      <c r="BT60" s="264">
        <f t="shared" si="163"/>
        <v>18.540397934817808</v>
      </c>
      <c r="BU60" s="264">
        <f t="shared" si="163"/>
        <v>18.644585854376576</v>
      </c>
      <c r="BV60" s="966">
        <f>'AEO Data'!$D$30*BQ60</f>
        <v>18.748773773935348</v>
      </c>
      <c r="BW60" s="1400">
        <f>+BV60*BW$134/BV$134</f>
        <v>18.811025215761521</v>
      </c>
      <c r="BX60" s="1400">
        <f t="shared" ref="BX60:CZ60" si="168">+BW60*BX$134/BW$134</f>
        <v>18.873483350678995</v>
      </c>
      <c r="BY60" s="1400">
        <f t="shared" si="168"/>
        <v>18.93614886496961</v>
      </c>
      <c r="BZ60" s="1400">
        <f t="shared" si="168"/>
        <v>18.999022447193862</v>
      </c>
      <c r="CA60" s="1400">
        <f t="shared" si="168"/>
        <v>19.062104788198472</v>
      </c>
      <c r="CB60" s="1400">
        <f t="shared" si="168"/>
        <v>19.102781951935423</v>
      </c>
      <c r="CC60" s="1400">
        <f t="shared" si="168"/>
        <v>19.143545917820827</v>
      </c>
      <c r="CD60" s="1400">
        <f t="shared" si="168"/>
        <v>19.184396871084243</v>
      </c>
      <c r="CE60" s="1400">
        <f t="shared" si="168"/>
        <v>19.22533499735049</v>
      </c>
      <c r="CF60" s="1400">
        <f t="shared" si="168"/>
        <v>19.266360482640504</v>
      </c>
      <c r="CG60" s="1400">
        <f t="shared" si="168"/>
        <v>19.279681197473067</v>
      </c>
      <c r="CH60" s="1400">
        <f t="shared" si="168"/>
        <v>19.293011122215507</v>
      </c>
      <c r="CI60" s="1400">
        <f t="shared" si="168"/>
        <v>19.306350263235526</v>
      </c>
      <c r="CJ60" s="1400">
        <f t="shared" si="168"/>
        <v>19.319698626905243</v>
      </c>
      <c r="CK60" s="1400">
        <f t="shared" si="168"/>
        <v>19.333056219601172</v>
      </c>
      <c r="CL60" s="1400">
        <f t="shared" si="168"/>
        <v>19.337583850577364</v>
      </c>
      <c r="CM60" s="1400">
        <f t="shared" si="168"/>
        <v>19.342112541884731</v>
      </c>
      <c r="CN60" s="1400">
        <f t="shared" si="168"/>
        <v>19.346642293771598</v>
      </c>
      <c r="CO60" s="1400">
        <f t="shared" si="168"/>
        <v>19.351173106486343</v>
      </c>
      <c r="CP60" s="1400">
        <f t="shared" si="168"/>
        <v>19.355704980277398</v>
      </c>
      <c r="CQ60" s="1400">
        <f t="shared" si="168"/>
        <v>19.362573470122019</v>
      </c>
      <c r="CR60" s="1400">
        <f t="shared" si="168"/>
        <v>19.369444397292106</v>
      </c>
      <c r="CS60" s="1400">
        <f t="shared" si="168"/>
        <v>19.376317762652565</v>
      </c>
      <c r="CT60" s="1400">
        <f t="shared" si="168"/>
        <v>19.383193567068602</v>
      </c>
      <c r="CU60" s="1400">
        <f t="shared" si="168"/>
        <v>19.390071811405733</v>
      </c>
      <c r="CV60" s="1400">
        <f t="shared" si="168"/>
        <v>19.400657458561128</v>
      </c>
      <c r="CW60" s="1400">
        <f t="shared" si="168"/>
        <v>19.411248884752663</v>
      </c>
      <c r="CX60" s="1400">
        <f t="shared" si="168"/>
        <v>19.42184609313529</v>
      </c>
      <c r="CY60" s="1400">
        <f t="shared" si="168"/>
        <v>19.432449086865692</v>
      </c>
      <c r="CZ60" s="1400">
        <f t="shared" si="168"/>
        <v>19.443057869102269</v>
      </c>
    </row>
    <row r="61" spans="1:104" ht="13" x14ac:dyDescent="0.3">
      <c r="A61" s="876" t="str">
        <f>'HyARC Physical Property Data'!A72</f>
        <v>Industrial Natural Gas</v>
      </c>
      <c r="B61" s="264">
        <v>2011</v>
      </c>
      <c r="C61" s="877">
        <f t="shared" si="165"/>
        <v>1.0784554773635862</v>
      </c>
      <c r="D61" s="1260" t="str">
        <f>'HyARC Physical Property Data'!H72</f>
        <v>mmBtu</v>
      </c>
      <c r="E61" s="877" t="s">
        <v>1058</v>
      </c>
      <c r="F61" s="264">
        <f>'HyARC Physical Property Data'!$E$6</f>
        <v>47.141269049911173</v>
      </c>
      <c r="G61" s="264">
        <f>'HyARC Physical Property Data'!$I$6</f>
        <v>52.224661236371581</v>
      </c>
      <c r="H61" s="1071">
        <v>7.8800725307970341</v>
      </c>
      <c r="I61" s="1071">
        <v>7.8800725307970341</v>
      </c>
      <c r="J61" s="1071">
        <v>7.8800725307970341</v>
      </c>
      <c r="K61" s="1071">
        <v>7.4431315976064605</v>
      </c>
      <c r="L61" s="1071">
        <v>8.8750360136942668</v>
      </c>
      <c r="M61" s="1071">
        <v>6.5580125743803235</v>
      </c>
      <c r="N61" s="264">
        <f t="shared" ref="N61:AR61" si="169">N76*(1/mmBTU_to_GJ*$C61*$G61/$F61)</f>
        <v>6.2103798436905873</v>
      </c>
      <c r="O61" s="264">
        <f t="shared" si="169"/>
        <v>5.5365993079896789</v>
      </c>
      <c r="P61" s="264">
        <f t="shared" si="169"/>
        <v>4.2658486899298849</v>
      </c>
      <c r="Q61" s="264">
        <f t="shared" si="169"/>
        <v>4.9262435098506687</v>
      </c>
      <c r="R61" s="264">
        <f t="shared" si="169"/>
        <v>5.0011287756439424</v>
      </c>
      <c r="S61" s="264">
        <f t="shared" si="169"/>
        <v>5.043267733696263</v>
      </c>
      <c r="T61" s="264">
        <f t="shared" si="169"/>
        <v>5.5677692268671866</v>
      </c>
      <c r="U61" s="264">
        <f t="shared" si="169"/>
        <v>5.811978134962712</v>
      </c>
      <c r="V61" s="264">
        <f t="shared" si="169"/>
        <v>6.1008547915790015</v>
      </c>
      <c r="W61" s="264">
        <f t="shared" si="169"/>
        <v>6.2889829863794731</v>
      </c>
      <c r="X61" s="264">
        <f t="shared" si="169"/>
        <v>6.4543826434720692</v>
      </c>
      <c r="Y61" s="264">
        <f t="shared" si="169"/>
        <v>6.6186022738436092</v>
      </c>
      <c r="Z61" s="264">
        <f t="shared" si="169"/>
        <v>6.8574772799658357</v>
      </c>
      <c r="AA61" s="264">
        <f t="shared" si="169"/>
        <v>7.0784899430254651</v>
      </c>
      <c r="AB61" s="264">
        <f t="shared" si="169"/>
        <v>7.1627859785423293</v>
      </c>
      <c r="AC61" s="264">
        <f t="shared" si="169"/>
        <v>7.2980043571868638</v>
      </c>
      <c r="AD61" s="264">
        <f t="shared" si="169"/>
        <v>7.4390911604652894</v>
      </c>
      <c r="AE61" s="264">
        <f t="shared" si="169"/>
        <v>7.5449878002791149</v>
      </c>
      <c r="AF61" s="264">
        <f t="shared" si="169"/>
        <v>7.7612180709749996</v>
      </c>
      <c r="AG61" s="264">
        <f t="shared" si="169"/>
        <v>7.9069717553642462</v>
      </c>
      <c r="AH61" s="264">
        <f t="shared" si="169"/>
        <v>8.0635665105794754</v>
      </c>
      <c r="AI61" s="264">
        <f t="shared" si="169"/>
        <v>8.2711923253957185</v>
      </c>
      <c r="AJ61" s="264">
        <f t="shared" si="169"/>
        <v>8.5949477180790161</v>
      </c>
      <c r="AK61" s="264">
        <f t="shared" si="169"/>
        <v>8.9590199354229085</v>
      </c>
      <c r="AL61" s="264">
        <f t="shared" si="169"/>
        <v>9.332634288229011</v>
      </c>
      <c r="AM61" s="264">
        <f t="shared" si="169"/>
        <v>9.6599444830979113</v>
      </c>
      <c r="AN61" s="264">
        <f t="shared" si="169"/>
        <v>10.080315979146802</v>
      </c>
      <c r="AO61" s="264">
        <f t="shared" si="169"/>
        <v>10.318380141572026</v>
      </c>
      <c r="AP61" s="264">
        <f t="shared" si="169"/>
        <v>10.748724109123437</v>
      </c>
      <c r="AQ61" s="264">
        <f t="shared" si="169"/>
        <v>11.112492826312584</v>
      </c>
      <c r="AR61" s="264">
        <f t="shared" si="169"/>
        <v>11.338483797880626</v>
      </c>
      <c r="AS61" s="264">
        <f t="shared" ref="AS61:BA61" si="170">($BB61-$AR61)/10+AR61</f>
        <v>11.291599206776587</v>
      </c>
      <c r="AT61" s="264">
        <f t="shared" si="170"/>
        <v>11.244714615672548</v>
      </c>
      <c r="AU61" s="264">
        <f t="shared" si="170"/>
        <v>11.197830024568509</v>
      </c>
      <c r="AV61" s="264">
        <f t="shared" si="170"/>
        <v>11.15094543346447</v>
      </c>
      <c r="AW61" s="264">
        <f t="shared" si="170"/>
        <v>11.104060842360431</v>
      </c>
      <c r="AX61" s="264">
        <f t="shared" si="170"/>
        <v>11.057176251256392</v>
      </c>
      <c r="AY61" s="264">
        <f t="shared" si="170"/>
        <v>11.010291660152353</v>
      </c>
      <c r="AZ61" s="264">
        <f t="shared" si="170"/>
        <v>10.963407069048314</v>
      </c>
      <c r="BA61" s="264">
        <f t="shared" si="170"/>
        <v>10.916522477944275</v>
      </c>
      <c r="BB61" s="942">
        <f>'AEO Data'!$B$30*AM61</f>
        <v>10.869637886840229</v>
      </c>
      <c r="BC61" s="264">
        <f>($BQ61-$BB61)/15+BB61</f>
        <v>10.958207292742701</v>
      </c>
      <c r="BD61" s="264">
        <f t="shared" si="162"/>
        <v>11.046776698645173</v>
      </c>
      <c r="BE61" s="264">
        <f t="shared" si="162"/>
        <v>11.135346104547645</v>
      </c>
      <c r="BF61" s="264">
        <f t="shared" si="162"/>
        <v>11.223915510450118</v>
      </c>
      <c r="BG61" s="264">
        <f t="shared" si="162"/>
        <v>11.31248491635259</v>
      </c>
      <c r="BH61" s="264">
        <f t="shared" si="162"/>
        <v>11.401054322255062</v>
      </c>
      <c r="BI61" s="264">
        <f t="shared" si="162"/>
        <v>11.489623728157534</v>
      </c>
      <c r="BJ61" s="264">
        <f t="shared" si="162"/>
        <v>11.578193134060006</v>
      </c>
      <c r="BK61" s="264">
        <f t="shared" si="162"/>
        <v>11.666762539962479</v>
      </c>
      <c r="BL61" s="264">
        <f t="shared" si="162"/>
        <v>11.755331945864951</v>
      </c>
      <c r="BM61" s="264">
        <f t="shared" si="162"/>
        <v>11.843901351767423</v>
      </c>
      <c r="BN61" s="264">
        <f t="shared" si="162"/>
        <v>11.932470757669895</v>
      </c>
      <c r="BO61" s="264">
        <f t="shared" si="162"/>
        <v>12.021040163572367</v>
      </c>
      <c r="BP61" s="264">
        <f t="shared" si="162"/>
        <v>12.10960956947484</v>
      </c>
      <c r="BQ61" s="942">
        <f>'AEO Data'!$C$30*BB61</f>
        <v>12.19817897537731</v>
      </c>
      <c r="BR61" s="876">
        <f>($BV61-$BQ61)/5+BQ61</f>
        <v>12.26790217329369</v>
      </c>
      <c r="BS61" s="264">
        <f t="shared" si="163"/>
        <v>12.33762537121007</v>
      </c>
      <c r="BT61" s="264">
        <f t="shared" si="163"/>
        <v>12.40734856912645</v>
      </c>
      <c r="BU61" s="264">
        <f t="shared" si="163"/>
        <v>12.47707176704283</v>
      </c>
      <c r="BV61" s="966">
        <f>'AEO Data'!$D$30*BQ61</f>
        <v>12.546794964959213</v>
      </c>
      <c r="BW61" s="1400">
        <f>+BV61*BW$135/BV$135</f>
        <v>12.588454013507333</v>
      </c>
      <c r="BX61" s="1400">
        <f t="shared" ref="BX61:CZ61" si="171">+BW61*BX$135/BW$135</f>
        <v>12.630251382346072</v>
      </c>
      <c r="BY61" s="1400">
        <f t="shared" si="171"/>
        <v>12.672187530739475</v>
      </c>
      <c r="BZ61" s="1400">
        <f t="shared" si="171"/>
        <v>12.714262919476461</v>
      </c>
      <c r="CA61" s="1400">
        <f t="shared" si="171"/>
        <v>12.75647801087592</v>
      </c>
      <c r="CB61" s="1400">
        <f t="shared" si="171"/>
        <v>12.78369941955669</v>
      </c>
      <c r="CC61" s="1400">
        <f t="shared" si="171"/>
        <v>12.810978916770198</v>
      </c>
      <c r="CD61" s="1400">
        <f t="shared" si="171"/>
        <v>12.838316626473205</v>
      </c>
      <c r="CE61" s="1400">
        <f t="shared" si="171"/>
        <v>12.865712672886987</v>
      </c>
      <c r="CF61" s="1400">
        <f t="shared" si="171"/>
        <v>12.893167180497899</v>
      </c>
      <c r="CG61" s="1400">
        <f t="shared" si="171"/>
        <v>12.90208148496421</v>
      </c>
      <c r="CH61" s="1400">
        <f t="shared" si="171"/>
        <v>12.911001952758973</v>
      </c>
      <c r="CI61" s="1400">
        <f t="shared" si="171"/>
        <v>12.919928588143499</v>
      </c>
      <c r="CJ61" s="1400">
        <f t="shared" si="171"/>
        <v>12.928861395382043</v>
      </c>
      <c r="CK61" s="1400">
        <f t="shared" si="171"/>
        <v>12.937800378741811</v>
      </c>
      <c r="CL61" s="1400">
        <f t="shared" si="171"/>
        <v>12.940830297296499</v>
      </c>
      <c r="CM61" s="1400">
        <f t="shared" si="171"/>
        <v>12.943860925431345</v>
      </c>
      <c r="CN61" s="1400">
        <f t="shared" si="171"/>
        <v>12.946892263312527</v>
      </c>
      <c r="CO61" s="1400">
        <f t="shared" si="171"/>
        <v>12.949924311106264</v>
      </c>
      <c r="CP61" s="1400">
        <f t="shared" si="171"/>
        <v>12.952957068978808</v>
      </c>
      <c r="CQ61" s="1400">
        <f t="shared" si="171"/>
        <v>12.957553504715802</v>
      </c>
      <c r="CR61" s="1400">
        <f t="shared" si="171"/>
        <v>12.962151571526023</v>
      </c>
      <c r="CS61" s="1400">
        <f t="shared" si="171"/>
        <v>12.966751269988269</v>
      </c>
      <c r="CT61" s="1400">
        <f t="shared" si="171"/>
        <v>12.971352600681538</v>
      </c>
      <c r="CU61" s="1400">
        <f t="shared" si="171"/>
        <v>12.975955564185037</v>
      </c>
      <c r="CV61" s="1400">
        <f t="shared" si="171"/>
        <v>12.983039544504583</v>
      </c>
      <c r="CW61" s="1400">
        <f t="shared" si="171"/>
        <v>12.990127392190731</v>
      </c>
      <c r="CX61" s="1400">
        <f t="shared" si="171"/>
        <v>12.997219109354795</v>
      </c>
      <c r="CY61" s="1400">
        <f t="shared" si="171"/>
        <v>13.004314698109246</v>
      </c>
      <c r="CZ61" s="1400">
        <f t="shared" si="171"/>
        <v>13.011414160567707</v>
      </c>
    </row>
    <row r="62" spans="1:104" ht="13" x14ac:dyDescent="0.3">
      <c r="A62" s="876" t="str">
        <f>'HyARC Physical Property Data'!A74</f>
        <v>Electric Utility Natural Gas</v>
      </c>
      <c r="B62" s="264">
        <v>2011</v>
      </c>
      <c r="C62" s="877">
        <f t="shared" si="165"/>
        <v>1.0784554773635862</v>
      </c>
      <c r="D62" s="1260" t="str">
        <f>'HyARC Physical Property Data'!H74</f>
        <v>mmBtu</v>
      </c>
      <c r="E62" s="877" t="s">
        <v>1058</v>
      </c>
      <c r="F62" s="264">
        <f>'HyARC Physical Property Data'!$E$6</f>
        <v>47.141269049911173</v>
      </c>
      <c r="G62" s="264">
        <f>'HyARC Physical Property Data'!$I$6</f>
        <v>52.224661236371581</v>
      </c>
      <c r="H62" s="1071">
        <v>6.9870463159656619</v>
      </c>
      <c r="I62" s="1071">
        <v>6.9870463159656619</v>
      </c>
      <c r="J62" s="1071">
        <v>6.9870463159656619</v>
      </c>
      <c r="K62" s="1071">
        <v>6.9519071777354364</v>
      </c>
      <c r="L62" s="1071">
        <v>9.0904707383294223</v>
      </c>
      <c r="M62" s="1071">
        <v>6.2626950486669273</v>
      </c>
      <c r="N62" s="264">
        <f t="shared" ref="N62:AR62" si="172">N77*(1/mmBTU_to_GJ*$C62*$G62/$F62)</f>
        <v>5.9546798308555591</v>
      </c>
      <c r="O62" s="264">
        <f t="shared" si="172"/>
        <v>5.4071882009627821</v>
      </c>
      <c r="P62" s="264">
        <f t="shared" si="172"/>
        <v>3.768852464514262</v>
      </c>
      <c r="Q62" s="264">
        <f t="shared" si="172"/>
        <v>4.2197914089842286</v>
      </c>
      <c r="R62" s="264">
        <f t="shared" si="172"/>
        <v>4.3421608594357606</v>
      </c>
      <c r="S62" s="264">
        <f t="shared" si="172"/>
        <v>4.4350092575221245</v>
      </c>
      <c r="T62" s="264">
        <f t="shared" si="172"/>
        <v>4.9227430659017379</v>
      </c>
      <c r="U62" s="264">
        <f t="shared" si="172"/>
        <v>5.1227134290535421</v>
      </c>
      <c r="V62" s="264">
        <f t="shared" si="172"/>
        <v>5.404199630409166</v>
      </c>
      <c r="W62" s="264">
        <f t="shared" si="172"/>
        <v>5.5835002740669921</v>
      </c>
      <c r="X62" s="264">
        <f t="shared" si="172"/>
        <v>5.7378889908440085</v>
      </c>
      <c r="Y62" s="264">
        <f t="shared" si="172"/>
        <v>5.8922335415537308</v>
      </c>
      <c r="Z62" s="264">
        <f t="shared" si="172"/>
        <v>6.1313078612104164</v>
      </c>
      <c r="AA62" s="264">
        <f t="shared" si="172"/>
        <v>6.355420076223532</v>
      </c>
      <c r="AB62" s="264">
        <f t="shared" si="172"/>
        <v>6.4754872288594125</v>
      </c>
      <c r="AC62" s="264">
        <f t="shared" si="172"/>
        <v>6.6246700120119595</v>
      </c>
      <c r="AD62" s="264">
        <f t="shared" si="172"/>
        <v>6.7907434847466179</v>
      </c>
      <c r="AE62" s="264">
        <f t="shared" si="172"/>
        <v>6.9234738416002104</v>
      </c>
      <c r="AF62" s="264">
        <f t="shared" si="172"/>
        <v>7.1128771900359125</v>
      </c>
      <c r="AG62" s="264">
        <f t="shared" si="172"/>
        <v>7.2589977925226847</v>
      </c>
      <c r="AH62" s="264">
        <f t="shared" si="172"/>
        <v>7.4163003372778959</v>
      </c>
      <c r="AI62" s="264">
        <f t="shared" si="172"/>
        <v>7.6223407035245794</v>
      </c>
      <c r="AJ62" s="264">
        <f t="shared" si="172"/>
        <v>7.9461017585241978</v>
      </c>
      <c r="AK62" s="264">
        <f t="shared" si="172"/>
        <v>8.2927532934784409</v>
      </c>
      <c r="AL62" s="264">
        <f t="shared" si="172"/>
        <v>8.6454827587704095</v>
      </c>
      <c r="AM62" s="264">
        <f t="shared" si="172"/>
        <v>8.9495797216544553</v>
      </c>
      <c r="AN62" s="264">
        <f t="shared" si="172"/>
        <v>9.3600297070477065</v>
      </c>
      <c r="AO62" s="264">
        <f t="shared" si="172"/>
        <v>9.6003452064417036</v>
      </c>
      <c r="AP62" s="264">
        <f t="shared" si="172"/>
        <v>10.02812074731043</v>
      </c>
      <c r="AQ62" s="264">
        <f t="shared" si="172"/>
        <v>10.386438918810089</v>
      </c>
      <c r="AR62" s="264">
        <f t="shared" si="172"/>
        <v>10.572567183486392</v>
      </c>
      <c r="AS62" s="264">
        <f t="shared" ref="AS62:BA62" si="173">($BB62-$AR62)/10+AR62</f>
        <v>10.522342037462021</v>
      </c>
      <c r="AT62" s="264">
        <f t="shared" si="173"/>
        <v>10.472116891437651</v>
      </c>
      <c r="AU62" s="264">
        <f t="shared" si="173"/>
        <v>10.42189174541328</v>
      </c>
      <c r="AV62" s="264">
        <f t="shared" si="173"/>
        <v>10.371666599388909</v>
      </c>
      <c r="AW62" s="264">
        <f t="shared" si="173"/>
        <v>10.321441453364539</v>
      </c>
      <c r="AX62" s="264">
        <f t="shared" si="173"/>
        <v>10.271216307340168</v>
      </c>
      <c r="AY62" s="264">
        <f t="shared" si="173"/>
        <v>10.220991161315798</v>
      </c>
      <c r="AZ62" s="264">
        <f t="shared" si="173"/>
        <v>10.170766015291427</v>
      </c>
      <c r="BA62" s="264">
        <f t="shared" si="173"/>
        <v>10.120540869267057</v>
      </c>
      <c r="BB62" s="942">
        <f>'AEO Data'!$B$30*AM62</f>
        <v>10.070315723242683</v>
      </c>
      <c r="BC62" s="264">
        <f>($BQ62-$BB62)/15+BB62</f>
        <v>10.152371987687129</v>
      </c>
      <c r="BD62" s="264">
        <f t="shared" si="162"/>
        <v>10.234428252131575</v>
      </c>
      <c r="BE62" s="264">
        <f t="shared" si="162"/>
        <v>10.316484516576022</v>
      </c>
      <c r="BF62" s="264">
        <f t="shared" si="162"/>
        <v>10.398540781020468</v>
      </c>
      <c r="BG62" s="264">
        <f t="shared" si="162"/>
        <v>10.480597045464915</v>
      </c>
      <c r="BH62" s="264">
        <f t="shared" si="162"/>
        <v>10.562653309909361</v>
      </c>
      <c r="BI62" s="264">
        <f t="shared" si="162"/>
        <v>10.644709574353808</v>
      </c>
      <c r="BJ62" s="264">
        <f t="shared" si="162"/>
        <v>10.726765838798254</v>
      </c>
      <c r="BK62" s="264">
        <f t="shared" si="162"/>
        <v>10.808822103242701</v>
      </c>
      <c r="BL62" s="264">
        <f t="shared" si="162"/>
        <v>10.890878367687147</v>
      </c>
      <c r="BM62" s="264">
        <f t="shared" si="162"/>
        <v>10.972934632131594</v>
      </c>
      <c r="BN62" s="264">
        <f t="shared" si="162"/>
        <v>11.05499089657604</v>
      </c>
      <c r="BO62" s="264">
        <f t="shared" si="162"/>
        <v>11.137047161020487</v>
      </c>
      <c r="BP62" s="264">
        <f t="shared" si="162"/>
        <v>11.219103425464933</v>
      </c>
      <c r="BQ62" s="942">
        <f>'AEO Data'!$C$30*BB62</f>
        <v>11.301159689909367</v>
      </c>
      <c r="BR62" s="876">
        <f>($BV62-$BQ62)/5+BQ62</f>
        <v>11.365755642742549</v>
      </c>
      <c r="BS62" s="264">
        <f t="shared" si="163"/>
        <v>11.430351595575731</v>
      </c>
      <c r="BT62" s="264">
        <f t="shared" si="163"/>
        <v>11.494947548408913</v>
      </c>
      <c r="BU62" s="264">
        <f t="shared" si="163"/>
        <v>11.559543501242095</v>
      </c>
      <c r="BV62" s="966">
        <f>'AEO Data'!$D$30*BQ62</f>
        <v>11.624139454075273</v>
      </c>
      <c r="BW62" s="1400">
        <f>+BV62*BW$136/BV$136</f>
        <v>11.662735015029273</v>
      </c>
      <c r="BX62" s="1400">
        <f t="shared" ref="BX62:CZ63" si="174">+BW62*BX$136/BW$136</f>
        <v>11.701458724594294</v>
      </c>
      <c r="BY62" s="1400">
        <f t="shared" si="174"/>
        <v>11.740311008261404</v>
      </c>
      <c r="BZ62" s="1400">
        <f t="shared" si="174"/>
        <v>11.779292292934432</v>
      </c>
      <c r="CA62" s="1400">
        <f t="shared" si="174"/>
        <v>11.818403006934647</v>
      </c>
      <c r="CB62" s="1400">
        <f t="shared" si="174"/>
        <v>11.843622630872503</v>
      </c>
      <c r="CC62" s="1400">
        <f t="shared" si="174"/>
        <v>11.868896071678103</v>
      </c>
      <c r="CD62" s="1400">
        <f t="shared" si="174"/>
        <v>11.894223444192779</v>
      </c>
      <c r="CE62" s="1400">
        <f t="shared" si="174"/>
        <v>11.919604863502929</v>
      </c>
      <c r="CF62" s="1400">
        <f t="shared" si="174"/>
        <v>11.94504044494054</v>
      </c>
      <c r="CG62" s="1400">
        <f t="shared" si="174"/>
        <v>11.95329921688524</v>
      </c>
      <c r="CH62" s="1400">
        <f t="shared" si="174"/>
        <v>11.961563698924795</v>
      </c>
      <c r="CI62" s="1400">
        <f t="shared" si="174"/>
        <v>11.969833895007156</v>
      </c>
      <c r="CJ62" s="1400">
        <f t="shared" si="174"/>
        <v>11.978109809082998</v>
      </c>
      <c r="CK62" s="1400">
        <f t="shared" si="174"/>
        <v>11.986391445105726</v>
      </c>
      <c r="CL62" s="1400">
        <f t="shared" si="174"/>
        <v>11.98919855209301</v>
      </c>
      <c r="CM62" s="1400">
        <f t="shared" si="174"/>
        <v>11.992006316479953</v>
      </c>
      <c r="CN62" s="1400">
        <f t="shared" si="174"/>
        <v>11.994814738420512</v>
      </c>
      <c r="CO62" s="1400">
        <f t="shared" si="174"/>
        <v>11.99762381806868</v>
      </c>
      <c r="CP62" s="1400">
        <f t="shared" si="174"/>
        <v>12.000433555578486</v>
      </c>
      <c r="CQ62" s="1400">
        <f t="shared" si="174"/>
        <v>12.00469198254312</v>
      </c>
      <c r="CR62" s="1400">
        <f t="shared" si="174"/>
        <v>12.008951920636509</v>
      </c>
      <c r="CS62" s="1400">
        <f t="shared" si="174"/>
        <v>12.013213370394887</v>
      </c>
      <c r="CT62" s="1400">
        <f t="shared" si="174"/>
        <v>12.017476332354676</v>
      </c>
      <c r="CU62" s="1400">
        <f t="shared" si="174"/>
        <v>12.021740807052488</v>
      </c>
      <c r="CV62" s="1400">
        <f t="shared" si="174"/>
        <v>12.028303851667012</v>
      </c>
      <c r="CW62" s="1400">
        <f t="shared" si="174"/>
        <v>12.034870479253032</v>
      </c>
      <c r="CX62" s="1400">
        <f t="shared" si="174"/>
        <v>12.041440691766601</v>
      </c>
      <c r="CY62" s="1400">
        <f t="shared" si="174"/>
        <v>12.048014491164842</v>
      </c>
      <c r="CZ62" s="1400">
        <f t="shared" si="174"/>
        <v>12.054591879405951</v>
      </c>
    </row>
    <row r="63" spans="1:104" ht="13" x14ac:dyDescent="0.3">
      <c r="A63" s="876" t="str">
        <f>'HyARC Physical Property Data'!A75</f>
        <v>Bio Methane</v>
      </c>
      <c r="B63" s="264">
        <v>2007</v>
      </c>
      <c r="C63" s="877">
        <f t="shared" si="165"/>
        <v>1.1446359956438654</v>
      </c>
      <c r="D63" s="1263" t="str">
        <f>'HyARC Physical Property Data'!H75</f>
        <v>mmBtu</v>
      </c>
      <c r="E63" s="877" t="s">
        <v>1058</v>
      </c>
      <c r="F63" s="264">
        <f>'HyARC Physical Property Data'!$E$6</f>
        <v>47.141269049911173</v>
      </c>
      <c r="G63" s="264">
        <f>'HyARC Physical Property Data'!$I$6</f>
        <v>52.224661236371581</v>
      </c>
      <c r="H63" s="1071">
        <v>12.42654028436019</v>
      </c>
      <c r="I63" s="1071">
        <v>12.42654028436019</v>
      </c>
      <c r="J63" s="1071">
        <v>12.42654028436019</v>
      </c>
      <c r="K63" s="1071">
        <v>12.42654028436019</v>
      </c>
      <c r="L63" s="1071">
        <v>12.42654028436019</v>
      </c>
      <c r="M63" s="1071">
        <v>12.42654028436019</v>
      </c>
      <c r="N63" s="264">
        <f t="shared" ref="N63:AM63" si="175">13.11*($C$63/mmBTU_to_GJ)</f>
        <v>14.223865310797228</v>
      </c>
      <c r="O63" s="264">
        <f t="shared" si="175"/>
        <v>14.223865310797228</v>
      </c>
      <c r="P63" s="264">
        <f t="shared" si="175"/>
        <v>14.223865310797228</v>
      </c>
      <c r="Q63" s="264">
        <f t="shared" si="175"/>
        <v>14.223865310797228</v>
      </c>
      <c r="R63" s="264">
        <f t="shared" si="175"/>
        <v>14.223865310797228</v>
      </c>
      <c r="S63" s="264">
        <f t="shared" si="175"/>
        <v>14.223865310797228</v>
      </c>
      <c r="T63" s="264">
        <f t="shared" si="175"/>
        <v>14.223865310797228</v>
      </c>
      <c r="U63" s="264">
        <f t="shared" si="175"/>
        <v>14.223865310797228</v>
      </c>
      <c r="V63" s="264">
        <f t="shared" si="175"/>
        <v>14.223865310797228</v>
      </c>
      <c r="W63" s="264">
        <f t="shared" si="175"/>
        <v>14.223865310797228</v>
      </c>
      <c r="X63" s="264">
        <f t="shared" si="175"/>
        <v>14.223865310797228</v>
      </c>
      <c r="Y63" s="264">
        <f t="shared" si="175"/>
        <v>14.223865310797228</v>
      </c>
      <c r="Z63" s="264">
        <f t="shared" si="175"/>
        <v>14.223865310797228</v>
      </c>
      <c r="AA63" s="264">
        <f t="shared" si="175"/>
        <v>14.223865310797228</v>
      </c>
      <c r="AB63" s="264">
        <f t="shared" si="175"/>
        <v>14.223865310797228</v>
      </c>
      <c r="AC63" s="264">
        <f t="shared" si="175"/>
        <v>14.223865310797228</v>
      </c>
      <c r="AD63" s="264">
        <f t="shared" si="175"/>
        <v>14.223865310797228</v>
      </c>
      <c r="AE63" s="264">
        <f t="shared" si="175"/>
        <v>14.223865310797228</v>
      </c>
      <c r="AF63" s="264">
        <f t="shared" si="175"/>
        <v>14.223865310797228</v>
      </c>
      <c r="AG63" s="264">
        <f t="shared" si="175"/>
        <v>14.223865310797228</v>
      </c>
      <c r="AH63" s="264">
        <f t="shared" si="175"/>
        <v>14.223865310797228</v>
      </c>
      <c r="AI63" s="264">
        <f t="shared" si="175"/>
        <v>14.223865310797228</v>
      </c>
      <c r="AJ63" s="264">
        <f t="shared" si="175"/>
        <v>14.223865310797228</v>
      </c>
      <c r="AK63" s="264">
        <f t="shared" si="175"/>
        <v>14.223865310797228</v>
      </c>
      <c r="AL63" s="264">
        <f t="shared" si="175"/>
        <v>14.223865310797228</v>
      </c>
      <c r="AM63" s="264">
        <f t="shared" si="175"/>
        <v>14.223865310797228</v>
      </c>
      <c r="AN63" s="264">
        <f t="shared" ref="AN63:BV63" si="176">13.11*($C$63/mmBTU_to_GJ)</f>
        <v>14.223865310797228</v>
      </c>
      <c r="AO63" s="264">
        <f t="shared" si="176"/>
        <v>14.223865310797228</v>
      </c>
      <c r="AP63" s="264">
        <f t="shared" si="176"/>
        <v>14.223865310797228</v>
      </c>
      <c r="AQ63" s="264">
        <f t="shared" si="176"/>
        <v>14.223865310797228</v>
      </c>
      <c r="AR63" s="264">
        <f t="shared" si="176"/>
        <v>14.223865310797228</v>
      </c>
      <c r="AS63" s="264">
        <f t="shared" si="176"/>
        <v>14.223865310797228</v>
      </c>
      <c r="AT63" s="264">
        <f t="shared" si="176"/>
        <v>14.223865310797228</v>
      </c>
      <c r="AU63" s="264">
        <f t="shared" si="176"/>
        <v>14.223865310797228</v>
      </c>
      <c r="AV63" s="264">
        <f t="shared" si="176"/>
        <v>14.223865310797228</v>
      </c>
      <c r="AW63" s="264">
        <f t="shared" si="176"/>
        <v>14.223865310797228</v>
      </c>
      <c r="AX63" s="264">
        <f t="shared" si="176"/>
        <v>14.223865310797228</v>
      </c>
      <c r="AY63" s="264">
        <f t="shared" si="176"/>
        <v>14.223865310797228</v>
      </c>
      <c r="AZ63" s="264">
        <f t="shared" si="176"/>
        <v>14.223865310797228</v>
      </c>
      <c r="BA63" s="264">
        <f t="shared" si="176"/>
        <v>14.223865310797228</v>
      </c>
      <c r="BB63" s="264">
        <f t="shared" si="176"/>
        <v>14.223865310797228</v>
      </c>
      <c r="BC63" s="264">
        <f t="shared" si="176"/>
        <v>14.223865310797228</v>
      </c>
      <c r="BD63" s="264">
        <f t="shared" si="176"/>
        <v>14.223865310797228</v>
      </c>
      <c r="BE63" s="264">
        <f t="shared" si="176"/>
        <v>14.223865310797228</v>
      </c>
      <c r="BF63" s="264">
        <f t="shared" si="176"/>
        <v>14.223865310797228</v>
      </c>
      <c r="BG63" s="264">
        <f t="shared" si="176"/>
        <v>14.223865310797228</v>
      </c>
      <c r="BH63" s="264">
        <f t="shared" si="176"/>
        <v>14.223865310797228</v>
      </c>
      <c r="BI63" s="264">
        <f t="shared" si="176"/>
        <v>14.223865310797228</v>
      </c>
      <c r="BJ63" s="264">
        <f t="shared" si="176"/>
        <v>14.223865310797228</v>
      </c>
      <c r="BK63" s="264">
        <f t="shared" si="176"/>
        <v>14.223865310797228</v>
      </c>
      <c r="BL63" s="264">
        <f t="shared" si="176"/>
        <v>14.223865310797228</v>
      </c>
      <c r="BM63" s="264">
        <f t="shared" si="176"/>
        <v>14.223865310797228</v>
      </c>
      <c r="BN63" s="264">
        <f t="shared" si="176"/>
        <v>14.223865310797228</v>
      </c>
      <c r="BO63" s="264">
        <f t="shared" si="176"/>
        <v>14.223865310797228</v>
      </c>
      <c r="BP63" s="264">
        <f t="shared" si="176"/>
        <v>14.223865310797228</v>
      </c>
      <c r="BQ63" s="264">
        <f t="shared" si="176"/>
        <v>14.223865310797228</v>
      </c>
      <c r="BR63" s="876">
        <f t="shared" si="176"/>
        <v>14.223865310797228</v>
      </c>
      <c r="BS63" s="264">
        <f t="shared" si="176"/>
        <v>14.223865310797228</v>
      </c>
      <c r="BT63" s="264">
        <f t="shared" si="176"/>
        <v>14.223865310797228</v>
      </c>
      <c r="BU63" s="264">
        <f t="shared" si="176"/>
        <v>14.223865310797228</v>
      </c>
      <c r="BV63" s="879">
        <f t="shared" si="176"/>
        <v>14.223865310797228</v>
      </c>
      <c r="BW63" s="1400">
        <f>+BV63*BW$136/BV$136</f>
        <v>14.271092726019944</v>
      </c>
      <c r="BX63" s="1400">
        <f t="shared" si="174"/>
        <v>14.318476950147966</v>
      </c>
      <c r="BY63" s="1400">
        <f t="shared" si="174"/>
        <v>14.366018503832969</v>
      </c>
      <c r="BZ63" s="1400">
        <f t="shared" si="174"/>
        <v>14.413717909455341</v>
      </c>
      <c r="CA63" s="1400">
        <f t="shared" si="174"/>
        <v>14.461575691129934</v>
      </c>
      <c r="CB63" s="1400">
        <f t="shared" si="174"/>
        <v>14.49243565590395</v>
      </c>
      <c r="CC63" s="1400">
        <f t="shared" si="174"/>
        <v>14.523361473628309</v>
      </c>
      <c r="CD63" s="1400">
        <f t="shared" si="174"/>
        <v>14.554353284828478</v>
      </c>
      <c r="CE63" s="1400">
        <f t="shared" si="174"/>
        <v>14.585411230329802</v>
      </c>
      <c r="CF63" s="1400">
        <f t="shared" si="174"/>
        <v>14.616535451258134</v>
      </c>
      <c r="CG63" s="1400">
        <f t="shared" si="174"/>
        <v>14.626641288360148</v>
      </c>
      <c r="CH63" s="1400">
        <f t="shared" si="174"/>
        <v>14.636754112613382</v>
      </c>
      <c r="CI63" s="1400">
        <f t="shared" si="174"/>
        <v>14.646873928848736</v>
      </c>
      <c r="CJ63" s="1400">
        <f t="shared" si="174"/>
        <v>14.657000741900452</v>
      </c>
      <c r="CK63" s="1400">
        <f t="shared" si="174"/>
        <v>14.667134556606111</v>
      </c>
      <c r="CL63" s="1400">
        <f t="shared" si="174"/>
        <v>14.670569469948116</v>
      </c>
      <c r="CM63" s="1400">
        <f t="shared" si="174"/>
        <v>14.674005187716483</v>
      </c>
      <c r="CN63" s="1400">
        <f t="shared" si="174"/>
        <v>14.6774417100996</v>
      </c>
      <c r="CO63" s="1400">
        <f t="shared" si="174"/>
        <v>14.6808790372859</v>
      </c>
      <c r="CP63" s="1400">
        <f t="shared" si="174"/>
        <v>14.684317169463862</v>
      </c>
      <c r="CQ63" s="1400">
        <f t="shared" si="174"/>
        <v>14.689527988881515</v>
      </c>
      <c r="CR63" s="1400">
        <f t="shared" si="174"/>
        <v>14.69474065739019</v>
      </c>
      <c r="CS63" s="1400">
        <f t="shared" si="174"/>
        <v>14.699955175646044</v>
      </c>
      <c r="CT63" s="1400">
        <f t="shared" si="174"/>
        <v>14.705171544305472</v>
      </c>
      <c r="CU63" s="1400">
        <f t="shared" si="174"/>
        <v>14.710389764025104</v>
      </c>
      <c r="CV63" s="1400">
        <f t="shared" si="174"/>
        <v>14.718420626266095</v>
      </c>
      <c r="CW63" s="1400">
        <f t="shared" si="174"/>
        <v>14.726455872806168</v>
      </c>
      <c r="CX63" s="1400">
        <f t="shared" si="174"/>
        <v>14.734495506038849</v>
      </c>
      <c r="CY63" s="1400">
        <f t="shared" si="174"/>
        <v>14.74253952835897</v>
      </c>
      <c r="CZ63" s="1400">
        <f t="shared" si="174"/>
        <v>14.750587942162673</v>
      </c>
    </row>
    <row r="64" spans="1:104" ht="13" x14ac:dyDescent="0.3">
      <c r="A64" s="967" t="str">
        <f>'HyARC Physical Property Data'!A85</f>
        <v>Woody Biomass</v>
      </c>
      <c r="B64" s="264">
        <v>2005</v>
      </c>
      <c r="C64" s="877">
        <f>VLOOKUP(ref_year,DeflatorTable,2,FALSE)/VLOOKUP(B64,DeflatorTable,2,FALSE)</f>
        <v>1.2112501494873942</v>
      </c>
      <c r="D64" s="1262" t="str">
        <f>+'HyARC Physical Property Data'!$H$85</f>
        <v>kg</v>
      </c>
      <c r="E64" s="904" t="s">
        <v>1052</v>
      </c>
      <c r="F64" s="264">
        <f>'HyARC Physical Property Data'!$E$45</f>
        <v>19.551069237418005</v>
      </c>
      <c r="G64" s="264">
        <f>'HyARC Physical Property Data'!$I$45</f>
        <v>20.588656379262464</v>
      </c>
      <c r="H64" s="1071">
        <v>1.3438238843289665</v>
      </c>
      <c r="I64" s="1071">
        <v>1.3438238843289665</v>
      </c>
      <c r="J64" s="1071">
        <v>1.3438238843289665</v>
      </c>
      <c r="K64" s="1071">
        <v>1.3438238843289665</v>
      </c>
      <c r="L64" s="1071">
        <v>1.3438238843289665</v>
      </c>
      <c r="M64" s="1071">
        <v>1.3438238843289665</v>
      </c>
      <c r="N64" s="264">
        <f>1.27*($C$64)</f>
        <v>1.5382876898489906</v>
      </c>
      <c r="O64" s="264">
        <f>1.27*($C$64)</f>
        <v>1.5382876898489906</v>
      </c>
      <c r="P64" s="264">
        <f>1.28*($C$64)</f>
        <v>1.5504001913438645</v>
      </c>
      <c r="Q64" s="264">
        <f>1.32*($C$64)</f>
        <v>1.5988501973233604</v>
      </c>
      <c r="R64" s="264">
        <f>1.32*($C$64)</f>
        <v>1.5988501973233604</v>
      </c>
      <c r="S64" s="264">
        <f>1.34*($C$64)</f>
        <v>1.6230752003131084</v>
      </c>
      <c r="T64" s="264">
        <f>1.34*($C$64)</f>
        <v>1.6230752003131084</v>
      </c>
      <c r="U64" s="264">
        <f>1.36*($C$64)</f>
        <v>1.6473002033028561</v>
      </c>
      <c r="V64" s="264">
        <f>1.36*($C$64)</f>
        <v>1.6473002033028561</v>
      </c>
      <c r="W64" s="264">
        <f>1.38*($C$64)</f>
        <v>1.6715252062926038</v>
      </c>
      <c r="X64" s="264">
        <f>1.4*($C$64)</f>
        <v>1.6957502092823518</v>
      </c>
      <c r="Y64" s="264">
        <f>1.46*($C$64)</f>
        <v>1.7684252182515954</v>
      </c>
      <c r="Z64" s="264">
        <f>1.48*($C$64)</f>
        <v>1.7926502212413433</v>
      </c>
      <c r="AA64" s="264">
        <f>1.48*($C$64)</f>
        <v>1.7926502212413433</v>
      </c>
      <c r="AB64" s="264">
        <f>1.51*($C$64)</f>
        <v>1.8289877257259652</v>
      </c>
      <c r="AC64" s="264">
        <f>1.52*($C$64)</f>
        <v>1.8411002272208392</v>
      </c>
      <c r="AD64" s="264">
        <f>1.62*($C$64)</f>
        <v>1.9622252421695787</v>
      </c>
      <c r="AE64" s="264">
        <f>1.72*($C$64)</f>
        <v>2.083350257118318</v>
      </c>
      <c r="AF64" s="264">
        <f>1.82*($C$64)</f>
        <v>2.2044752720670573</v>
      </c>
      <c r="AG64" s="264">
        <f>1.91*($C$64)</f>
        <v>2.3134877855209228</v>
      </c>
      <c r="AH64" s="264">
        <f>2.01*($C$64)</f>
        <v>2.4346128004696621</v>
      </c>
      <c r="AI64" s="264">
        <f>2.11*($C$64)</f>
        <v>2.5557378154184014</v>
      </c>
      <c r="AJ64" s="264">
        <f>2.2*($C$64)</f>
        <v>2.6647503288722674</v>
      </c>
      <c r="AK64" s="264">
        <f>2.3*($C$64)</f>
        <v>2.7858753438210062</v>
      </c>
      <c r="AL64" s="264">
        <f>2.4*($C$64)</f>
        <v>2.9070003587697459</v>
      </c>
      <c r="AM64" s="264">
        <f>2.5*($C$64)</f>
        <v>3.0281253737184857</v>
      </c>
      <c r="AN64" s="264">
        <f>2.57*($C$64)</f>
        <v>3.1129128841826028</v>
      </c>
      <c r="AO64" s="264">
        <f>2.64*($C$64)</f>
        <v>3.1977003946467208</v>
      </c>
      <c r="AP64" s="264">
        <f>2.71*($C$64)</f>
        <v>3.282487905110838</v>
      </c>
      <c r="AQ64" s="264">
        <f>2.78*($C$64)</f>
        <v>3.3672754155749556</v>
      </c>
      <c r="AR64" s="264">
        <f>2.85*($C$64)</f>
        <v>3.4520629260390736</v>
      </c>
      <c r="AS64" s="264">
        <f>2.92*($C$64)</f>
        <v>3.5368504365031908</v>
      </c>
      <c r="AT64" s="264">
        <f>2.99*($C$64)</f>
        <v>3.6216379469673088</v>
      </c>
      <c r="AU64" s="264">
        <f>3.07*($C$64)</f>
        <v>3.7185379589263001</v>
      </c>
      <c r="AV64" s="264">
        <f>3.14*($C$64)</f>
        <v>3.8033254693904177</v>
      </c>
      <c r="AW64" s="264">
        <f>3.21*($C$64)</f>
        <v>3.8881129798545353</v>
      </c>
      <c r="AX64" s="264">
        <f>3.28*($C$64)</f>
        <v>3.9729004903186529</v>
      </c>
      <c r="AY64" s="264">
        <f>3.35*($C$64)</f>
        <v>4.0576880007827709</v>
      </c>
      <c r="AZ64" s="264">
        <f>3.42*($C$64)</f>
        <v>4.1424755112468876</v>
      </c>
      <c r="BA64" s="264">
        <f>3.49*($C$64)</f>
        <v>4.2272630217110061</v>
      </c>
      <c r="BB64" s="264">
        <f>3.56*($C$64)</f>
        <v>4.3120505321751237</v>
      </c>
      <c r="BC64" s="264">
        <f>3.64*($C$64)</f>
        <v>4.4089505441341146</v>
      </c>
      <c r="BD64" s="264">
        <f>3.71*($C$64)</f>
        <v>4.4937380545982322</v>
      </c>
      <c r="BE64" s="264">
        <f>3.78*($C$64)</f>
        <v>4.5785255650623498</v>
      </c>
      <c r="BF64" s="264">
        <f>3.85*($C$64)</f>
        <v>4.6633130755264673</v>
      </c>
      <c r="BG64" s="264">
        <f>3.92*($C$64)</f>
        <v>4.7481005859905849</v>
      </c>
      <c r="BH64" s="264">
        <f>3.99*($C$64)</f>
        <v>4.8328880964547034</v>
      </c>
      <c r="BI64" s="264">
        <f>4.06*($C$64)</f>
        <v>4.9176756069188201</v>
      </c>
      <c r="BJ64" s="264">
        <f>4.14*($C$64)</f>
        <v>5.0145756188778119</v>
      </c>
      <c r="BK64" s="264">
        <f>4.21*($C$64)</f>
        <v>5.0993631293419295</v>
      </c>
      <c r="BL64" s="264">
        <f>4.28*($C$64)</f>
        <v>5.1841506398060471</v>
      </c>
      <c r="BM64" s="264">
        <f>4.35*($C$64)</f>
        <v>5.2689381502701647</v>
      </c>
      <c r="BN64" s="264">
        <f>4.42*($C$64)</f>
        <v>5.3537256607342822</v>
      </c>
      <c r="BO64" s="264">
        <f>4.49*($C$64)</f>
        <v>5.4385131711983998</v>
      </c>
      <c r="BP64" s="264">
        <f>4.56*($C$64)</f>
        <v>5.5233006816625174</v>
      </c>
      <c r="BQ64" s="264">
        <f>4.63*($C$64)</f>
        <v>5.608088192126635</v>
      </c>
      <c r="BR64" s="876">
        <f>4.71*($C$64)</f>
        <v>5.7049882040856268</v>
      </c>
      <c r="BS64" s="264">
        <f>4.78*($C$64)</f>
        <v>5.7897757145497444</v>
      </c>
      <c r="BT64" s="264">
        <f>4.85*($C$64)</f>
        <v>5.8745632250138611</v>
      </c>
      <c r="BU64" s="264">
        <f>4.92*($C$64)</f>
        <v>5.9593507354779796</v>
      </c>
      <c r="BV64" s="879">
        <f>4.99*($C$64)</f>
        <v>6.0441382459420971</v>
      </c>
      <c r="BW64" s="1400">
        <f>+BV64*BW$137/BV$137</f>
        <v>6.0586659764672328</v>
      </c>
      <c r="BX64" s="1400">
        <f t="shared" ref="BX64:CZ64" si="177">+BW64*BX$137/BW$137</f>
        <v>6.0732286259412112</v>
      </c>
      <c r="BY64" s="1400">
        <f t="shared" si="177"/>
        <v>6.0878262782954495</v>
      </c>
      <c r="BZ64" s="1400">
        <f t="shared" si="177"/>
        <v>6.1024590176630999</v>
      </c>
      <c r="CA64" s="1400">
        <f t="shared" si="177"/>
        <v>6.1171269283795393</v>
      </c>
      <c r="CB64" s="1400">
        <f t="shared" si="177"/>
        <v>6.1299667153690152</v>
      </c>
      <c r="CC64" s="1400">
        <f t="shared" si="177"/>
        <v>6.1428334529403346</v>
      </c>
      <c r="CD64" s="1400">
        <f t="shared" si="177"/>
        <v>6.155727197662495</v>
      </c>
      <c r="CE64" s="1400">
        <f t="shared" si="177"/>
        <v>6.1686480062232301</v>
      </c>
      <c r="CF64" s="1400">
        <f t="shared" si="177"/>
        <v>6.18159593542926</v>
      </c>
      <c r="CG64" s="1400">
        <f t="shared" si="177"/>
        <v>6.197524392005751</v>
      </c>
      <c r="CH64" s="1400">
        <f t="shared" si="177"/>
        <v>6.2134938923080965</v>
      </c>
      <c r="CI64" s="1400">
        <f t="shared" si="177"/>
        <v>6.229504542095909</v>
      </c>
      <c r="CJ64" s="1400">
        <f t="shared" si="177"/>
        <v>6.245556447401321</v>
      </c>
      <c r="CK64" s="1400">
        <f t="shared" si="177"/>
        <v>6.2616497145296828</v>
      </c>
      <c r="CL64" s="1400">
        <f t="shared" si="177"/>
        <v>6.2750522655841658</v>
      </c>
      <c r="CM64" s="1400">
        <f t="shared" si="177"/>
        <v>6.2884835037072264</v>
      </c>
      <c r="CN64" s="1400">
        <f t="shared" si="177"/>
        <v>6.3019434903011975</v>
      </c>
      <c r="CO64" s="1400">
        <f t="shared" si="177"/>
        <v>6.3154322868998385</v>
      </c>
      <c r="CP64" s="1400">
        <f t="shared" si="177"/>
        <v>6.3289499551686168</v>
      </c>
      <c r="CQ64" s="1400">
        <f t="shared" si="177"/>
        <v>6.3413225489579119</v>
      </c>
      <c r="CR64" s="1400">
        <f t="shared" si="177"/>
        <v>6.3537193301840116</v>
      </c>
      <c r="CS64" s="1400">
        <f t="shared" si="177"/>
        <v>6.3661403461314299</v>
      </c>
      <c r="CT64" s="1400">
        <f t="shared" si="177"/>
        <v>6.3785856441771198</v>
      </c>
      <c r="CU64" s="1400">
        <f t="shared" si="177"/>
        <v>6.3910552717906537</v>
      </c>
      <c r="CV64" s="1400">
        <f t="shared" si="177"/>
        <v>6.4057772391562917</v>
      </c>
      <c r="CW64" s="1400">
        <f t="shared" si="177"/>
        <v>6.4205331189689208</v>
      </c>
      <c r="CX64" s="1400">
        <f t="shared" si="177"/>
        <v>6.4353229893467718</v>
      </c>
      <c r="CY64" s="1400">
        <f t="shared" si="177"/>
        <v>6.4501469285880244</v>
      </c>
      <c r="CZ64" s="1400">
        <f t="shared" si="177"/>
        <v>6.4650050151712186</v>
      </c>
    </row>
    <row r="65" spans="1:104" ht="13" x14ac:dyDescent="0.3">
      <c r="A65" s="913" t="str">
        <f>'HyARC Physical Property Data'!A79</f>
        <v>Electric Utility Steam Coal</v>
      </c>
      <c r="B65" s="264">
        <v>2011</v>
      </c>
      <c r="C65" s="877">
        <f>VLOOKUP(ref_year,DeflatorTable,2,FALSE)/VLOOKUP(B65,DeflatorTable,2,FALSE)</f>
        <v>1.0784554773635862</v>
      </c>
      <c r="D65" s="1262" t="str">
        <f>+'HyARC Physical Property Data'!$H$79</f>
        <v>kg</v>
      </c>
      <c r="E65" s="904" t="s">
        <v>1052</v>
      </c>
      <c r="F65" s="264">
        <f>'HyARC Physical Property Data'!$E$42</f>
        <v>22.7322030001394</v>
      </c>
      <c r="G65" s="264">
        <f>'HyARC Physical Property Data'!$I$42</f>
        <v>23.967615189707661</v>
      </c>
      <c r="H65" s="1071">
        <v>1.6359074751967535</v>
      </c>
      <c r="I65" s="1071">
        <v>1.6359074751967535</v>
      </c>
      <c r="J65" s="1071">
        <v>1.6359074751967535</v>
      </c>
      <c r="K65" s="1071">
        <v>1.6778298347292193</v>
      </c>
      <c r="L65" s="1071">
        <v>1.8315470257945772</v>
      </c>
      <c r="M65" s="1071">
        <v>1.8060149340317679</v>
      </c>
      <c r="N65" s="264">
        <f t="shared" ref="N65:AR65" si="178">N79*($C65/mmBTU_to_GJ*$G65/$F65)</f>
        <v>2.4767433408545654</v>
      </c>
      <c r="O65" s="264">
        <f t="shared" si="178"/>
        <v>2.5651337544408896</v>
      </c>
      <c r="P65" s="264">
        <f t="shared" si="178"/>
        <v>2.6023831610321637</v>
      </c>
      <c r="Q65" s="264">
        <f t="shared" si="178"/>
        <v>2.5126832358863247</v>
      </c>
      <c r="R65" s="264">
        <f t="shared" si="178"/>
        <v>2.6585542013179602</v>
      </c>
      <c r="S65" s="264">
        <f t="shared" si="178"/>
        <v>2.6840072260006811</v>
      </c>
      <c r="T65" s="264">
        <f t="shared" si="178"/>
        <v>2.7699747737550795</v>
      </c>
      <c r="U65" s="264">
        <f t="shared" si="178"/>
        <v>2.7766301102818329</v>
      </c>
      <c r="V65" s="264">
        <f t="shared" si="178"/>
        <v>2.7968493998756609</v>
      </c>
      <c r="W65" s="264">
        <f t="shared" si="178"/>
        <v>2.8115213182786878</v>
      </c>
      <c r="X65" s="264">
        <f t="shared" si="178"/>
        <v>2.8489776600299841</v>
      </c>
      <c r="Y65" s="264">
        <f t="shared" si="178"/>
        <v>2.8785704657004394</v>
      </c>
      <c r="Z65" s="264">
        <f t="shared" si="178"/>
        <v>2.9253496675256483</v>
      </c>
      <c r="AA65" s="264">
        <f t="shared" si="178"/>
        <v>2.9630312668209267</v>
      </c>
      <c r="AB65" s="264">
        <f t="shared" si="178"/>
        <v>3.0053645960675355</v>
      </c>
      <c r="AC65" s="264">
        <f t="shared" si="178"/>
        <v>3.0521599647021214</v>
      </c>
      <c r="AD65" s="264">
        <f t="shared" si="178"/>
        <v>3.0924023866026737</v>
      </c>
      <c r="AE65" s="264">
        <f t="shared" si="178"/>
        <v>3.1249741963476141</v>
      </c>
      <c r="AF65" s="264">
        <f t="shared" si="178"/>
        <v>3.1652489518669196</v>
      </c>
      <c r="AG65" s="264">
        <f t="shared" si="178"/>
        <v>3.2097820449760555</v>
      </c>
      <c r="AH65" s="264">
        <f t="shared" si="178"/>
        <v>3.2527092350204363</v>
      </c>
      <c r="AI65" s="264">
        <f t="shared" si="178"/>
        <v>3.2901989881777776</v>
      </c>
      <c r="AJ65" s="264">
        <f t="shared" si="178"/>
        <v>3.3307065457521077</v>
      </c>
      <c r="AK65" s="264">
        <f t="shared" si="178"/>
        <v>3.3733136329708291</v>
      </c>
      <c r="AL65" s="264">
        <f t="shared" si="178"/>
        <v>3.4171795757463519</v>
      </c>
      <c r="AM65" s="264">
        <f t="shared" si="178"/>
        <v>3.4665778006905912</v>
      </c>
      <c r="AN65" s="264">
        <f t="shared" si="178"/>
        <v>3.5046355477507012</v>
      </c>
      <c r="AO65" s="264">
        <f t="shared" si="178"/>
        <v>3.5333294788198106</v>
      </c>
      <c r="AP65" s="264">
        <f t="shared" si="178"/>
        <v>3.5689945380921646</v>
      </c>
      <c r="AQ65" s="264">
        <f t="shared" si="178"/>
        <v>3.6172858754877444</v>
      </c>
      <c r="AR65" s="264">
        <f t="shared" si="178"/>
        <v>3.6632858371009949</v>
      </c>
      <c r="AS65" s="264">
        <f>($BB65-$AR65)/10+AR65</f>
        <v>3.6603339305711646</v>
      </c>
      <c r="AT65" s="264">
        <f t="shared" ref="AT65:BA65" si="179">($BB65-$AR65)/10+AS65</f>
        <v>3.6573820240413344</v>
      </c>
      <c r="AU65" s="264">
        <f t="shared" si="179"/>
        <v>3.6544301175115042</v>
      </c>
      <c r="AV65" s="264">
        <f t="shared" si="179"/>
        <v>3.6514782109816739</v>
      </c>
      <c r="AW65" s="264">
        <f t="shared" si="179"/>
        <v>3.6485263044518437</v>
      </c>
      <c r="AX65" s="264">
        <f t="shared" si="179"/>
        <v>3.6455743979220134</v>
      </c>
      <c r="AY65" s="264">
        <f t="shared" si="179"/>
        <v>3.6426224913921832</v>
      </c>
      <c r="AZ65" s="264">
        <f t="shared" si="179"/>
        <v>3.639670584862353</v>
      </c>
      <c r="BA65" s="264">
        <f t="shared" si="179"/>
        <v>3.6367186783325227</v>
      </c>
      <c r="BB65" s="942">
        <f>('AEO Data'!$B$28*AM65)</f>
        <v>3.6337667718026938</v>
      </c>
      <c r="BC65" s="264">
        <f>($BQ65-$BB65)/15+BB65</f>
        <v>3.6465192456024029</v>
      </c>
      <c r="BD65" s="264">
        <f t="shared" ref="BD65:BP68" si="180">($BQ65-$BB65)/15+BC65</f>
        <v>3.659271719402112</v>
      </c>
      <c r="BE65" s="264">
        <f t="shared" si="180"/>
        <v>3.6720241932018212</v>
      </c>
      <c r="BF65" s="264">
        <f t="shared" si="180"/>
        <v>3.6847766670015303</v>
      </c>
      <c r="BG65" s="264">
        <f t="shared" si="180"/>
        <v>3.6975291408012394</v>
      </c>
      <c r="BH65" s="264">
        <f t="shared" si="180"/>
        <v>3.7102816146009485</v>
      </c>
      <c r="BI65" s="264">
        <f t="shared" si="180"/>
        <v>3.7230340884006576</v>
      </c>
      <c r="BJ65" s="264">
        <f t="shared" si="180"/>
        <v>3.7357865622003668</v>
      </c>
      <c r="BK65" s="264">
        <f t="shared" si="180"/>
        <v>3.7485390360000759</v>
      </c>
      <c r="BL65" s="264">
        <f t="shared" si="180"/>
        <v>3.761291509799785</v>
      </c>
      <c r="BM65" s="264">
        <f t="shared" si="180"/>
        <v>3.7740439835994941</v>
      </c>
      <c r="BN65" s="264">
        <f t="shared" si="180"/>
        <v>3.7867964573992032</v>
      </c>
      <c r="BO65" s="264">
        <f t="shared" si="180"/>
        <v>3.7995489311989123</v>
      </c>
      <c r="BP65" s="264">
        <f t="shared" si="180"/>
        <v>3.8123014049986215</v>
      </c>
      <c r="BQ65" s="942">
        <f>('AEO Data'!$C$28*BB65)</f>
        <v>3.8250538787983337</v>
      </c>
      <c r="BR65" s="876">
        <f t="shared" ref="BR65:BU68" si="181">($BV65-$BQ65)/5+BQ65</f>
        <v>3.8373166225762918</v>
      </c>
      <c r="BS65" s="264">
        <f t="shared" si="181"/>
        <v>3.8495793663542499</v>
      </c>
      <c r="BT65" s="264">
        <f t="shared" si="181"/>
        <v>3.861842110132208</v>
      </c>
      <c r="BU65" s="264">
        <f t="shared" si="181"/>
        <v>3.8741048539101661</v>
      </c>
      <c r="BV65" s="966">
        <f>('AEO Data'!$D$28*BQ65)</f>
        <v>3.8863675976881238</v>
      </c>
      <c r="BW65" s="1400">
        <f>+BV65*BW$138/BV$138</f>
        <v>3.8995072326040932</v>
      </c>
      <c r="BX65" s="1400">
        <f t="shared" ref="BX65:CZ65" si="182">+BW65*BX$138/BW$138</f>
        <v>3.9126912920376582</v>
      </c>
      <c r="BY65" s="1400">
        <f t="shared" si="182"/>
        <v>3.9259199261861233</v>
      </c>
      <c r="BZ65" s="1400">
        <f t="shared" si="182"/>
        <v>3.9391932857546061</v>
      </c>
      <c r="CA65" s="1400">
        <f t="shared" si="182"/>
        <v>3.9525115219577494</v>
      </c>
      <c r="CB65" s="1400">
        <f t="shared" si="182"/>
        <v>3.9638281829885078</v>
      </c>
      <c r="CC65" s="1400">
        <f t="shared" si="182"/>
        <v>3.9751772453965106</v>
      </c>
      <c r="CD65" s="1400">
        <f t="shared" si="182"/>
        <v>3.9865588019519875</v>
      </c>
      <c r="CE65" s="1400">
        <f t="shared" si="182"/>
        <v>3.9979729456907847</v>
      </c>
      <c r="CF65" s="1400">
        <f t="shared" si="182"/>
        <v>4.0094197699151231</v>
      </c>
      <c r="CG65" s="1400">
        <f t="shared" si="182"/>
        <v>4.0181594321320722</v>
      </c>
      <c r="CH65" s="1400">
        <f t="shared" si="182"/>
        <v>4.0269181449099625</v>
      </c>
      <c r="CI65" s="1400">
        <f t="shared" si="182"/>
        <v>4.0356959497748699</v>
      </c>
      <c r="CJ65" s="1400">
        <f t="shared" si="182"/>
        <v>4.0444928883433882</v>
      </c>
      <c r="CK65" s="1400">
        <f t="shared" si="182"/>
        <v>4.0533090023228242</v>
      </c>
      <c r="CL65" s="1400">
        <f t="shared" si="182"/>
        <v>4.0592855925032651</v>
      </c>
      <c r="CM65" s="1400">
        <f t="shared" si="182"/>
        <v>4.0652709951453678</v>
      </c>
      <c r="CN65" s="1400">
        <f t="shared" si="182"/>
        <v>4.0712652232430759</v>
      </c>
      <c r="CO65" s="1400">
        <f t="shared" si="182"/>
        <v>4.0772682898094939</v>
      </c>
      <c r="CP65" s="1400">
        <f t="shared" si="182"/>
        <v>4.0832802078769133</v>
      </c>
      <c r="CQ65" s="1400">
        <f t="shared" si="182"/>
        <v>4.0852935052227286</v>
      </c>
      <c r="CR65" s="1400">
        <f t="shared" si="182"/>
        <v>4.0873077952425705</v>
      </c>
      <c r="CS65" s="1400">
        <f t="shared" si="182"/>
        <v>4.0893230784258847</v>
      </c>
      <c r="CT65" s="1400">
        <f t="shared" si="182"/>
        <v>4.0913393552623587</v>
      </c>
      <c r="CU65" s="1400">
        <f t="shared" si="182"/>
        <v>4.0933566262419232</v>
      </c>
      <c r="CV65" s="1400">
        <f t="shared" si="182"/>
        <v>4.0904573728021916</v>
      </c>
      <c r="CW65" s="1400">
        <f t="shared" si="182"/>
        <v>4.0875601728533422</v>
      </c>
      <c r="CX65" s="1400">
        <f t="shared" si="182"/>
        <v>4.0846650249409233</v>
      </c>
      <c r="CY65" s="1400">
        <f t="shared" si="182"/>
        <v>4.081771927611511</v>
      </c>
      <c r="CZ65" s="1400">
        <f t="shared" si="182"/>
        <v>4.0788808794127149</v>
      </c>
    </row>
    <row r="66" spans="1:104" ht="13" x14ac:dyDescent="0.3">
      <c r="A66" s="880" t="str">
        <f>'HyARC Physical Property Data'!A76</f>
        <v>Commercial Electricity</v>
      </c>
      <c r="B66" s="264">
        <v>2011</v>
      </c>
      <c r="C66" s="877">
        <f t="shared" si="165"/>
        <v>1.0784554773635862</v>
      </c>
      <c r="D66" s="1262" t="str">
        <f>'HyARC Physical Property Data'!$H$76</f>
        <v>kWh</v>
      </c>
      <c r="E66" s="877" t="s">
        <v>1071</v>
      </c>
      <c r="F66" s="881"/>
      <c r="G66" s="877"/>
      <c r="H66" s="1071">
        <v>26.764062885406638</v>
      </c>
      <c r="I66" s="1071">
        <v>26.764062885406638</v>
      </c>
      <c r="J66" s="1071">
        <v>26.764062885406638</v>
      </c>
      <c r="K66" s="1071">
        <v>26.478521097803213</v>
      </c>
      <c r="L66" s="1071">
        <v>27.879470162766175</v>
      </c>
      <c r="M66" s="1071">
        <v>27.895326399478549</v>
      </c>
      <c r="N66" s="264">
        <f>N80*($C66)</f>
        <v>32.884888841491865</v>
      </c>
      <c r="O66" s="264">
        <f t="shared" ref="O66:AR68" si="183">O80*($C66)</f>
        <v>32.332798364331552</v>
      </c>
      <c r="P66" s="264">
        <f t="shared" si="183"/>
        <v>30.737262309969314</v>
      </c>
      <c r="Q66" s="264">
        <f t="shared" si="183"/>
        <v>29.97242384233401</v>
      </c>
      <c r="R66" s="264">
        <f t="shared" si="183"/>
        <v>30.387977542238183</v>
      </c>
      <c r="S66" s="264">
        <f t="shared" si="183"/>
        <v>30.347150453231627</v>
      </c>
      <c r="T66" s="264">
        <f t="shared" si="183"/>
        <v>30.940154295836678</v>
      </c>
      <c r="U66" s="264">
        <f t="shared" si="183"/>
        <v>31.301692474701618</v>
      </c>
      <c r="V66" s="264">
        <f t="shared" si="183"/>
        <v>31.392652645028893</v>
      </c>
      <c r="W66" s="264">
        <f t="shared" si="183"/>
        <v>31.248251770431818</v>
      </c>
      <c r="X66" s="264">
        <f t="shared" si="183"/>
        <v>31.319545226673895</v>
      </c>
      <c r="Y66" s="264">
        <f t="shared" si="183"/>
        <v>31.450144028071669</v>
      </c>
      <c r="Z66" s="264">
        <f t="shared" si="183"/>
        <v>31.542321774632889</v>
      </c>
      <c r="AA66" s="264">
        <f t="shared" si="183"/>
        <v>31.486595823206557</v>
      </c>
      <c r="AB66" s="264">
        <f t="shared" si="183"/>
        <v>31.399882610549138</v>
      </c>
      <c r="AC66" s="264">
        <f t="shared" si="183"/>
        <v>31.493015868663306</v>
      </c>
      <c r="AD66" s="264">
        <f t="shared" si="183"/>
        <v>31.467305490082953</v>
      </c>
      <c r="AE66" s="264">
        <f t="shared" si="183"/>
        <v>31.504678286195514</v>
      </c>
      <c r="AF66" s="264">
        <f t="shared" si="183"/>
        <v>31.506435090168136</v>
      </c>
      <c r="AG66" s="264">
        <f t="shared" si="183"/>
        <v>31.647141176299762</v>
      </c>
      <c r="AH66" s="264">
        <f t="shared" si="183"/>
        <v>31.868543771980598</v>
      </c>
      <c r="AI66" s="264">
        <f t="shared" si="183"/>
        <v>32.132385747606648</v>
      </c>
      <c r="AJ66" s="264">
        <f t="shared" si="183"/>
        <v>32.307495641921648</v>
      </c>
      <c r="AK66" s="264">
        <f t="shared" si="183"/>
        <v>32.65090606266758</v>
      </c>
      <c r="AL66" s="264">
        <f t="shared" si="183"/>
        <v>33.217937462011285</v>
      </c>
      <c r="AM66" s="264">
        <f t="shared" si="183"/>
        <v>33.746086227574118</v>
      </c>
      <c r="AN66" s="264">
        <f t="shared" si="183"/>
        <v>34.302393465650923</v>
      </c>
      <c r="AO66" s="264">
        <f t="shared" si="183"/>
        <v>34.800179395704063</v>
      </c>
      <c r="AP66" s="264">
        <f t="shared" si="183"/>
        <v>35.230419502298972</v>
      </c>
      <c r="AQ66" s="264">
        <f t="shared" si="183"/>
        <v>35.829986824939262</v>
      </c>
      <c r="AR66" s="264">
        <f t="shared" si="183"/>
        <v>36.211973598110482</v>
      </c>
      <c r="AS66" s="264">
        <f t="shared" ref="AS66:BA66" si="184">($BB66-$AR66)/10+AR66</f>
        <v>35.881261041922635</v>
      </c>
      <c r="AT66" s="264">
        <f t="shared" si="184"/>
        <v>35.550548485734787</v>
      </c>
      <c r="AU66" s="264">
        <f t="shared" si="184"/>
        <v>35.219835929546939</v>
      </c>
      <c r="AV66" s="264">
        <f t="shared" si="184"/>
        <v>34.889123373359091</v>
      </c>
      <c r="AW66" s="264">
        <f t="shared" si="184"/>
        <v>34.558410817171243</v>
      </c>
      <c r="AX66" s="264">
        <f t="shared" si="184"/>
        <v>34.227698260983395</v>
      </c>
      <c r="AY66" s="264">
        <f t="shared" si="184"/>
        <v>33.896985704795547</v>
      </c>
      <c r="AZ66" s="264">
        <f t="shared" si="184"/>
        <v>33.566273148607699</v>
      </c>
      <c r="BA66" s="264">
        <f t="shared" si="184"/>
        <v>33.235560592419851</v>
      </c>
      <c r="BB66" s="942">
        <f>'AEO Data'!$B$33*AM66</f>
        <v>32.904848036232032</v>
      </c>
      <c r="BC66" s="264">
        <f>($BQ66-$BB66)/15+BB66</f>
        <v>32.924019184217244</v>
      </c>
      <c r="BD66" s="264">
        <f t="shared" si="180"/>
        <v>32.943190332202455</v>
      </c>
      <c r="BE66" s="264">
        <f t="shared" si="180"/>
        <v>32.962361480187667</v>
      </c>
      <c r="BF66" s="264">
        <f t="shared" si="180"/>
        <v>32.981532628172879</v>
      </c>
      <c r="BG66" s="264">
        <f t="shared" si="180"/>
        <v>33.00070377615809</v>
      </c>
      <c r="BH66" s="264">
        <f t="shared" si="180"/>
        <v>33.019874924143302</v>
      </c>
      <c r="BI66" s="264">
        <f t="shared" si="180"/>
        <v>33.039046072128514</v>
      </c>
      <c r="BJ66" s="264">
        <f t="shared" si="180"/>
        <v>33.058217220113725</v>
      </c>
      <c r="BK66" s="264">
        <f t="shared" si="180"/>
        <v>33.077388368098937</v>
      </c>
      <c r="BL66" s="264">
        <f t="shared" si="180"/>
        <v>33.096559516084149</v>
      </c>
      <c r="BM66" s="264">
        <f t="shared" si="180"/>
        <v>33.115730664069361</v>
      </c>
      <c r="BN66" s="264">
        <f t="shared" si="180"/>
        <v>33.134901812054572</v>
      </c>
      <c r="BO66" s="264">
        <f t="shared" si="180"/>
        <v>33.154072960039784</v>
      </c>
      <c r="BP66" s="264">
        <f t="shared" si="180"/>
        <v>33.173244108024996</v>
      </c>
      <c r="BQ66" s="942">
        <f>'AEO Data'!$C$33*BB66</f>
        <v>33.192415256010214</v>
      </c>
      <c r="BR66" s="876">
        <f t="shared" si="181"/>
        <v>33.170065135939467</v>
      </c>
      <c r="BS66" s="264">
        <f t="shared" si="181"/>
        <v>33.147715015868719</v>
      </c>
      <c r="BT66" s="264">
        <f t="shared" si="181"/>
        <v>33.125364895797972</v>
      </c>
      <c r="BU66" s="264">
        <f t="shared" si="181"/>
        <v>33.103014775727225</v>
      </c>
      <c r="BV66" s="966">
        <f>'AEO Data'!$D$33*BQ66</f>
        <v>33.080664655656477</v>
      </c>
      <c r="BW66" s="1400">
        <f>+BV66*BW$139/BV$139</f>
        <v>33.066099114275488</v>
      </c>
      <c r="BX66" s="1400">
        <f t="shared" ref="BX66:CZ66" si="185">+BW66*BX$139/BW$139</f>
        <v>33.051539986157294</v>
      </c>
      <c r="BY66" s="1400">
        <f t="shared" si="185"/>
        <v>33.0369872684781</v>
      </c>
      <c r="BZ66" s="1400">
        <f t="shared" si="185"/>
        <v>33.022440958415373</v>
      </c>
      <c r="CA66" s="1400">
        <f t="shared" si="185"/>
        <v>33.007901053147819</v>
      </c>
      <c r="CB66" s="1400">
        <f t="shared" si="185"/>
        <v>32.98146223987488</v>
      </c>
      <c r="CC66" s="1400">
        <f t="shared" si="185"/>
        <v>32.955044603678495</v>
      </c>
      <c r="CD66" s="1400">
        <f t="shared" si="185"/>
        <v>32.928648127596141</v>
      </c>
      <c r="CE66" s="1400">
        <f t="shared" si="185"/>
        <v>32.902272794678915</v>
      </c>
      <c r="CF66" s="1400">
        <f t="shared" si="185"/>
        <v>32.875918587991457</v>
      </c>
      <c r="CG66" s="1400">
        <f t="shared" si="185"/>
        <v>32.839614191376278</v>
      </c>
      <c r="CH66" s="1400">
        <f t="shared" si="185"/>
        <v>32.803349885175919</v>
      </c>
      <c r="CI66" s="1400">
        <f t="shared" si="185"/>
        <v>32.767125625119114</v>
      </c>
      <c r="CJ66" s="1400">
        <f t="shared" si="185"/>
        <v>32.730941366983494</v>
      </c>
      <c r="CK66" s="1400">
        <f t="shared" si="185"/>
        <v>32.69479706659552</v>
      </c>
      <c r="CL66" s="1400">
        <f t="shared" si="185"/>
        <v>32.65539094584242</v>
      </c>
      <c r="CM66" s="1400">
        <f t="shared" si="185"/>
        <v>32.616032320180047</v>
      </c>
      <c r="CN66" s="1400">
        <f t="shared" si="185"/>
        <v>32.576721132363886</v>
      </c>
      <c r="CO66" s="1400">
        <f t="shared" si="185"/>
        <v>32.537457325218448</v>
      </c>
      <c r="CP66" s="1400">
        <f t="shared" si="185"/>
        <v>32.498240841637141</v>
      </c>
      <c r="CQ66" s="1400">
        <f t="shared" si="185"/>
        <v>32.452817913303896</v>
      </c>
      <c r="CR66" s="1400">
        <f t="shared" si="185"/>
        <v>32.407458472789216</v>
      </c>
      <c r="CS66" s="1400">
        <f t="shared" si="185"/>
        <v>32.362162431355912</v>
      </c>
      <c r="CT66" s="1400">
        <f t="shared" si="185"/>
        <v>32.31692970039083</v>
      </c>
      <c r="CU66" s="1400">
        <f t="shared" si="185"/>
        <v>32.271760191404653</v>
      </c>
      <c r="CV66" s="1400">
        <f t="shared" si="185"/>
        <v>32.22766670904133</v>
      </c>
      <c r="CW66" s="1400">
        <f t="shared" si="185"/>
        <v>32.183633472390525</v>
      </c>
      <c r="CX66" s="1400">
        <f t="shared" si="185"/>
        <v>32.139660399137448</v>
      </c>
      <c r="CY66" s="1400">
        <f t="shared" si="185"/>
        <v>32.09574740707977</v>
      </c>
      <c r="CZ66" s="1400">
        <f t="shared" si="185"/>
        <v>32.051894414127482</v>
      </c>
    </row>
    <row r="67" spans="1:104" ht="13" x14ac:dyDescent="0.3">
      <c r="A67" s="880" t="str">
        <f>'HyARC Physical Property Data'!A77</f>
        <v>Industrial Electricity</v>
      </c>
      <c r="B67" s="264">
        <v>2011</v>
      </c>
      <c r="C67" s="877">
        <f t="shared" si="165"/>
        <v>1.0784554773635862</v>
      </c>
      <c r="D67" s="1250" t="str">
        <f>'HyARC Physical Property Data'!$H$77</f>
        <v>kWh</v>
      </c>
      <c r="E67" s="877" t="s">
        <v>1071</v>
      </c>
      <c r="F67" s="888"/>
      <c r="G67" s="226"/>
      <c r="H67" s="1074">
        <v>17.365230901091444</v>
      </c>
      <c r="I67" s="1074">
        <v>17.365230901091444</v>
      </c>
      <c r="J67" s="1074">
        <v>17.365230901091444</v>
      </c>
      <c r="K67" s="1074">
        <v>17.575551809904887</v>
      </c>
      <c r="L67" s="1074">
        <v>19.530121721487372</v>
      </c>
      <c r="M67" s="1074">
        <v>19.467200489895287</v>
      </c>
      <c r="N67" s="226">
        <f t="shared" ref="N67:AC68" si="186">N81*($C67)</f>
        <v>21.849987884073684</v>
      </c>
      <c r="O67" s="226">
        <f t="shared" si="186"/>
        <v>21.542925726736811</v>
      </c>
      <c r="P67" s="226">
        <f t="shared" si="186"/>
        <v>19.902451511088309</v>
      </c>
      <c r="Q67" s="226">
        <f t="shared" si="186"/>
        <v>19.582235432294034</v>
      </c>
      <c r="R67" s="226">
        <f t="shared" si="186"/>
        <v>19.704756602166356</v>
      </c>
      <c r="S67" s="226">
        <f t="shared" si="186"/>
        <v>19.619020470171431</v>
      </c>
      <c r="T67" s="226">
        <f t="shared" si="186"/>
        <v>20.171031141626411</v>
      </c>
      <c r="U67" s="226">
        <f t="shared" si="186"/>
        <v>20.49385492576495</v>
      </c>
      <c r="V67" s="226">
        <f t="shared" si="186"/>
        <v>20.594470507981068</v>
      </c>
      <c r="W67" s="226">
        <f t="shared" si="186"/>
        <v>20.544822731625157</v>
      </c>
      <c r="X67" s="226">
        <f t="shared" si="186"/>
        <v>20.594035890423687</v>
      </c>
      <c r="Y67" s="226">
        <f t="shared" si="186"/>
        <v>20.76255102949461</v>
      </c>
      <c r="Z67" s="226">
        <f t="shared" si="186"/>
        <v>20.94633062739214</v>
      </c>
      <c r="AA67" s="226">
        <f t="shared" si="186"/>
        <v>21.072253245840066</v>
      </c>
      <c r="AB67" s="226">
        <f t="shared" si="186"/>
        <v>21.100348089480867</v>
      </c>
      <c r="AC67" s="226">
        <f t="shared" si="186"/>
        <v>21.269441280687655</v>
      </c>
      <c r="AD67" s="226">
        <f t="shared" si="183"/>
        <v>21.365271755950712</v>
      </c>
      <c r="AE67" s="226">
        <f t="shared" si="183"/>
        <v>21.508514369365095</v>
      </c>
      <c r="AF67" s="226">
        <f t="shared" si="183"/>
        <v>21.619174685897374</v>
      </c>
      <c r="AG67" s="226">
        <f t="shared" si="183"/>
        <v>21.826218725352589</v>
      </c>
      <c r="AH67" s="226">
        <f t="shared" si="183"/>
        <v>22.023947066394335</v>
      </c>
      <c r="AI67" s="226">
        <f t="shared" si="183"/>
        <v>22.224293897335123</v>
      </c>
      <c r="AJ67" s="226">
        <f t="shared" si="183"/>
        <v>22.474376937980967</v>
      </c>
      <c r="AK67" s="226">
        <f t="shared" si="183"/>
        <v>22.838414976642433</v>
      </c>
      <c r="AL67" s="226">
        <f t="shared" si="183"/>
        <v>23.325651455216004</v>
      </c>
      <c r="AM67" s="226">
        <f t="shared" si="183"/>
        <v>23.843532246178864</v>
      </c>
      <c r="AN67" s="226">
        <f t="shared" si="183"/>
        <v>24.337545738972189</v>
      </c>
      <c r="AO67" s="226">
        <f t="shared" si="183"/>
        <v>24.794215553950846</v>
      </c>
      <c r="AP67" s="226">
        <f t="shared" si="183"/>
        <v>25.214004348514621</v>
      </c>
      <c r="AQ67" s="226">
        <f t="shared" si="183"/>
        <v>25.744343457151981</v>
      </c>
      <c r="AR67" s="226">
        <f t="shared" si="183"/>
        <v>26.063271860106287</v>
      </c>
      <c r="AS67" s="264">
        <f t="shared" ref="AS67:BA67" si="187">($BB67-$AR67)/10+AR67</f>
        <v>25.78185962843024</v>
      </c>
      <c r="AT67" s="264">
        <f t="shared" si="187"/>
        <v>25.500447396754193</v>
      </c>
      <c r="AU67" s="264">
        <f t="shared" si="187"/>
        <v>25.219035165078147</v>
      </c>
      <c r="AV67" s="264">
        <f t="shared" si="187"/>
        <v>24.9376229334021</v>
      </c>
      <c r="AW67" s="264">
        <f t="shared" si="187"/>
        <v>24.656210701726053</v>
      </c>
      <c r="AX67" s="264">
        <f t="shared" si="187"/>
        <v>24.374798470050006</v>
      </c>
      <c r="AY67" s="264">
        <f t="shared" si="187"/>
        <v>24.093386238373959</v>
      </c>
      <c r="AZ67" s="264">
        <f t="shared" si="187"/>
        <v>23.811974006697913</v>
      </c>
      <c r="BA67" s="264">
        <f t="shared" si="187"/>
        <v>23.530561775021866</v>
      </c>
      <c r="BB67" s="942">
        <f>'AEO Data'!$B$33*AM67</f>
        <v>23.24914954334583</v>
      </c>
      <c r="BC67" s="264">
        <f>($BQ67-$BB67)/15+BB67</f>
        <v>23.262695051470804</v>
      </c>
      <c r="BD67" s="264">
        <f t="shared" si="180"/>
        <v>23.276240559595777</v>
      </c>
      <c r="BE67" s="264">
        <f t="shared" si="180"/>
        <v>23.289786067720751</v>
      </c>
      <c r="BF67" s="264">
        <f t="shared" si="180"/>
        <v>23.303331575845725</v>
      </c>
      <c r="BG67" s="264">
        <f t="shared" si="180"/>
        <v>23.316877083970699</v>
      </c>
      <c r="BH67" s="264">
        <f t="shared" si="180"/>
        <v>23.330422592095672</v>
      </c>
      <c r="BI67" s="264">
        <f t="shared" si="180"/>
        <v>23.343968100220646</v>
      </c>
      <c r="BJ67" s="264">
        <f t="shared" si="180"/>
        <v>23.35751360834562</v>
      </c>
      <c r="BK67" s="264">
        <f t="shared" si="180"/>
        <v>23.371059116470594</v>
      </c>
      <c r="BL67" s="264">
        <f t="shared" si="180"/>
        <v>23.384604624595568</v>
      </c>
      <c r="BM67" s="264">
        <f t="shared" si="180"/>
        <v>23.398150132720541</v>
      </c>
      <c r="BN67" s="264">
        <f t="shared" si="180"/>
        <v>23.411695640845515</v>
      </c>
      <c r="BO67" s="264">
        <f t="shared" si="180"/>
        <v>23.425241148970489</v>
      </c>
      <c r="BP67" s="264">
        <f t="shared" si="180"/>
        <v>23.438786657095463</v>
      </c>
      <c r="BQ67" s="942">
        <f>'AEO Data'!$C$33*BB67</f>
        <v>23.45233216522044</v>
      </c>
      <c r="BR67" s="876">
        <f t="shared" si="181"/>
        <v>23.436540532228719</v>
      </c>
      <c r="BS67" s="264">
        <f t="shared" si="181"/>
        <v>23.420748899236997</v>
      </c>
      <c r="BT67" s="264">
        <f t="shared" si="181"/>
        <v>23.404957266245276</v>
      </c>
      <c r="BU67" s="264">
        <f t="shared" si="181"/>
        <v>23.389165633253555</v>
      </c>
      <c r="BV67" s="966">
        <f>'AEO Data'!$D$33*BQ67</f>
        <v>23.373374000261833</v>
      </c>
      <c r="BW67" s="1400">
        <f>+BV67*BW$140/BV$140</f>
        <v>23.380436490829396</v>
      </c>
      <c r="BX67" s="1400">
        <f t="shared" ref="BX67:CZ67" si="188">+BW67*BX$140/BW$140</f>
        <v>23.387501115396649</v>
      </c>
      <c r="BY67" s="1400">
        <f t="shared" si="188"/>
        <v>23.394567874608409</v>
      </c>
      <c r="BZ67" s="1400">
        <f t="shared" si="188"/>
        <v>23.401636769109679</v>
      </c>
      <c r="CA67" s="1400">
        <f t="shared" si="188"/>
        <v>23.408707799545656</v>
      </c>
      <c r="CB67" s="1400">
        <f t="shared" si="188"/>
        <v>23.406060454578945</v>
      </c>
      <c r="CC67" s="1400">
        <f t="shared" si="188"/>
        <v>23.403413409006607</v>
      </c>
      <c r="CD67" s="1400">
        <f t="shared" si="188"/>
        <v>23.40076666279478</v>
      </c>
      <c r="CE67" s="1400">
        <f t="shared" si="188"/>
        <v>23.398120215909611</v>
      </c>
      <c r="CF67" s="1400">
        <f t="shared" si="188"/>
        <v>23.395474068317245</v>
      </c>
      <c r="CG67" s="1400">
        <f t="shared" si="188"/>
        <v>23.384861674186023</v>
      </c>
      <c r="CH67" s="1400">
        <f t="shared" si="188"/>
        <v>23.374254093930716</v>
      </c>
      <c r="CI67" s="1400">
        <f t="shared" si="188"/>
        <v>23.363651325367709</v>
      </c>
      <c r="CJ67" s="1400">
        <f t="shared" si="188"/>
        <v>23.353053366314384</v>
      </c>
      <c r="CK67" s="1400">
        <f t="shared" si="188"/>
        <v>23.342460214589092</v>
      </c>
      <c r="CL67" s="1400">
        <f t="shared" si="188"/>
        <v>23.329464593323419</v>
      </c>
      <c r="CM67" s="1400">
        <f t="shared" si="188"/>
        <v>23.316476207206502</v>
      </c>
      <c r="CN67" s="1400">
        <f t="shared" si="188"/>
        <v>23.303495052210266</v>
      </c>
      <c r="CO67" s="1400">
        <f t="shared" si="188"/>
        <v>23.290521124308881</v>
      </c>
      <c r="CP67" s="1400">
        <f t="shared" si="188"/>
        <v>23.277554419478744</v>
      </c>
      <c r="CQ67" s="1400">
        <f t="shared" si="188"/>
        <v>23.259789388655847</v>
      </c>
      <c r="CR67" s="1400">
        <f t="shared" si="188"/>
        <v>23.242037915800186</v>
      </c>
      <c r="CS67" s="1400">
        <f t="shared" si="188"/>
        <v>23.224299990564553</v>
      </c>
      <c r="CT67" s="1400">
        <f t="shared" si="188"/>
        <v>23.206575602609636</v>
      </c>
      <c r="CU67" s="1400">
        <f t="shared" si="188"/>
        <v>23.188864741604011</v>
      </c>
      <c r="CV67" s="1400">
        <f t="shared" si="188"/>
        <v>23.17221317404951</v>
      </c>
      <c r="CW67" s="1400">
        <f t="shared" si="188"/>
        <v>23.155573563729877</v>
      </c>
      <c r="CX67" s="1400">
        <f t="shared" si="188"/>
        <v>23.138945902058804</v>
      </c>
      <c r="CY67" s="1400">
        <f t="shared" si="188"/>
        <v>23.122330180456149</v>
      </c>
      <c r="CZ67" s="1400">
        <f t="shared" si="188"/>
        <v>23.105726390347936</v>
      </c>
    </row>
    <row r="68" spans="1:104" ht="13.5" thickBot="1" x14ac:dyDescent="0.35">
      <c r="A68" s="882" t="str">
        <f>'HyARC Physical Property Data'!A78</f>
        <v>Residential Electricity</v>
      </c>
      <c r="B68" s="883">
        <v>2011</v>
      </c>
      <c r="C68" s="884">
        <f t="shared" si="165"/>
        <v>1.0784554773635862</v>
      </c>
      <c r="D68" s="1251" t="str">
        <f>'HyARC Physical Property Data'!$H$78</f>
        <v>kWh</v>
      </c>
      <c r="E68" s="884" t="s">
        <v>1071</v>
      </c>
      <c r="F68" s="889"/>
      <c r="G68" s="573"/>
      <c r="H68" s="1075">
        <v>29.433773538887177</v>
      </c>
      <c r="I68" s="1075">
        <v>29.433773538887177</v>
      </c>
      <c r="J68" s="1075">
        <v>29.433773538887177</v>
      </c>
      <c r="K68" s="1075">
        <v>29.415861064534436</v>
      </c>
      <c r="L68" s="1075">
        <v>30.500905105766051</v>
      </c>
      <c r="M68" s="1075">
        <v>30.574559070308627</v>
      </c>
      <c r="N68" s="573">
        <f t="shared" si="186"/>
        <v>37.231327558403592</v>
      </c>
      <c r="O68" s="573">
        <f t="shared" si="183"/>
        <v>37.029713542276902</v>
      </c>
      <c r="P68" s="573">
        <f t="shared" si="183"/>
        <v>35.904219072357151</v>
      </c>
      <c r="Q68" s="573">
        <f t="shared" si="183"/>
        <v>35.115964100941852</v>
      </c>
      <c r="R68" s="573">
        <f t="shared" si="183"/>
        <v>35.969434353528804</v>
      </c>
      <c r="S68" s="573">
        <f t="shared" si="183"/>
        <v>36.116413815172251</v>
      </c>
      <c r="T68" s="573">
        <f t="shared" si="183"/>
        <v>36.717853336521245</v>
      </c>
      <c r="U68" s="573">
        <f t="shared" si="183"/>
        <v>37.019523216471292</v>
      </c>
      <c r="V68" s="573">
        <f t="shared" si="183"/>
        <v>36.994572070547008</v>
      </c>
      <c r="W68" s="573">
        <f t="shared" si="183"/>
        <v>36.749885621109897</v>
      </c>
      <c r="X68" s="573">
        <f t="shared" si="183"/>
        <v>36.78085131323143</v>
      </c>
      <c r="Y68" s="573">
        <f t="shared" si="183"/>
        <v>36.866643524911183</v>
      </c>
      <c r="Z68" s="573">
        <f t="shared" si="183"/>
        <v>36.980382831831335</v>
      </c>
      <c r="AA68" s="573">
        <f t="shared" si="183"/>
        <v>37.011953537475684</v>
      </c>
      <c r="AB68" s="573">
        <f t="shared" si="183"/>
        <v>37.116621955375727</v>
      </c>
      <c r="AC68" s="573">
        <f t="shared" si="183"/>
        <v>37.450882759851702</v>
      </c>
      <c r="AD68" s="573">
        <f t="shared" si="183"/>
        <v>37.642585770141416</v>
      </c>
      <c r="AE68" s="573">
        <f t="shared" si="183"/>
        <v>37.813937247117813</v>
      </c>
      <c r="AF68" s="573">
        <f t="shared" si="183"/>
        <v>37.937612364350912</v>
      </c>
      <c r="AG68" s="573">
        <f t="shared" si="183"/>
        <v>38.109761898380555</v>
      </c>
      <c r="AH68" s="573">
        <f t="shared" si="183"/>
        <v>38.292401568838507</v>
      </c>
      <c r="AI68" s="573">
        <f t="shared" si="183"/>
        <v>38.52845390372385</v>
      </c>
      <c r="AJ68" s="573">
        <f t="shared" si="183"/>
        <v>38.699570277406174</v>
      </c>
      <c r="AK68" s="573">
        <f t="shared" si="183"/>
        <v>38.991412192591014</v>
      </c>
      <c r="AL68" s="573">
        <f t="shared" si="183"/>
        <v>39.480914506122524</v>
      </c>
      <c r="AM68" s="573">
        <f t="shared" si="183"/>
        <v>39.991294639240323</v>
      </c>
      <c r="AN68" s="573">
        <f t="shared" si="183"/>
        <v>40.444338686904082</v>
      </c>
      <c r="AO68" s="573">
        <f t="shared" si="183"/>
        <v>40.811228161847694</v>
      </c>
      <c r="AP68" s="573">
        <f t="shared" si="183"/>
        <v>41.155489483965269</v>
      </c>
      <c r="AQ68" s="573">
        <f t="shared" si="183"/>
        <v>41.648278929791786</v>
      </c>
      <c r="AR68" s="573">
        <f t="shared" si="183"/>
        <v>41.89880413718334</v>
      </c>
      <c r="AS68" s="883">
        <f t="shared" ref="AS68:BA68" si="189">($BB68-$AR68)/10+AR68</f>
        <v>41.608361021177913</v>
      </c>
      <c r="AT68" s="883">
        <f t="shared" si="189"/>
        <v>41.317917905172486</v>
      </c>
      <c r="AU68" s="883">
        <f t="shared" si="189"/>
        <v>41.027474789167059</v>
      </c>
      <c r="AV68" s="883">
        <f t="shared" si="189"/>
        <v>40.737031673161631</v>
      </c>
      <c r="AW68" s="883">
        <f t="shared" si="189"/>
        <v>40.446588557156204</v>
      </c>
      <c r="AX68" s="883">
        <f t="shared" si="189"/>
        <v>40.156145441150777</v>
      </c>
      <c r="AY68" s="883">
        <f t="shared" si="189"/>
        <v>39.86570232514535</v>
      </c>
      <c r="AZ68" s="883">
        <f t="shared" si="189"/>
        <v>39.575259209139922</v>
      </c>
      <c r="BA68" s="883">
        <f t="shared" si="189"/>
        <v>39.284816093134495</v>
      </c>
      <c r="BB68" s="971">
        <f>'AEO Data'!$B$33*AM68</f>
        <v>38.994372977129068</v>
      </c>
      <c r="BC68" s="883">
        <f>($BQ68-$BB68)/15+BB68</f>
        <v>39.017092027346592</v>
      </c>
      <c r="BD68" s="883">
        <f t="shared" si="180"/>
        <v>39.039811077564117</v>
      </c>
      <c r="BE68" s="883">
        <f t="shared" si="180"/>
        <v>39.062530127781642</v>
      </c>
      <c r="BF68" s="883">
        <f t="shared" si="180"/>
        <v>39.085249177999167</v>
      </c>
      <c r="BG68" s="883">
        <f t="shared" si="180"/>
        <v>39.107968228216691</v>
      </c>
      <c r="BH68" s="883">
        <f t="shared" si="180"/>
        <v>39.130687278434216</v>
      </c>
      <c r="BI68" s="883">
        <f t="shared" si="180"/>
        <v>39.153406328651741</v>
      </c>
      <c r="BJ68" s="883">
        <f t="shared" si="180"/>
        <v>39.176125378869266</v>
      </c>
      <c r="BK68" s="883">
        <f t="shared" si="180"/>
        <v>39.19884442908679</v>
      </c>
      <c r="BL68" s="883">
        <f t="shared" si="180"/>
        <v>39.221563479304315</v>
      </c>
      <c r="BM68" s="883">
        <f t="shared" si="180"/>
        <v>39.24428252952184</v>
      </c>
      <c r="BN68" s="883">
        <f t="shared" si="180"/>
        <v>39.267001579739365</v>
      </c>
      <c r="BO68" s="883">
        <f t="shared" si="180"/>
        <v>39.289720629956889</v>
      </c>
      <c r="BP68" s="883">
        <f t="shared" si="180"/>
        <v>39.312439680174414</v>
      </c>
      <c r="BQ68" s="971">
        <f>'AEO Data'!$C$33*BB68</f>
        <v>39.335158730391903</v>
      </c>
      <c r="BR68" s="979">
        <f t="shared" si="181"/>
        <v>39.30867239265946</v>
      </c>
      <c r="BS68" s="883">
        <f t="shared" si="181"/>
        <v>39.282186054927017</v>
      </c>
      <c r="BT68" s="883">
        <f t="shared" si="181"/>
        <v>39.255699717194574</v>
      </c>
      <c r="BU68" s="883">
        <f t="shared" si="181"/>
        <v>39.229213379462131</v>
      </c>
      <c r="BV68" s="972">
        <f>'AEO Data'!$D$33*BQ68</f>
        <v>39.202727041729688</v>
      </c>
      <c r="BW68" s="1400">
        <f>+BV68*BW$141/BV$141</f>
        <v>39.185465933196419</v>
      </c>
      <c r="BX68" s="1400">
        <f t="shared" ref="BX68:CZ68" si="190">+BW68*BX$141/BW$141</f>
        <v>39.168212424794326</v>
      </c>
      <c r="BY68" s="1400">
        <f t="shared" si="190"/>
        <v>39.150966513177039</v>
      </c>
      <c r="BZ68" s="1400">
        <f t="shared" si="190"/>
        <v>39.133728194999662</v>
      </c>
      <c r="CA68" s="1400">
        <f t="shared" si="190"/>
        <v>39.11649746691878</v>
      </c>
      <c r="CB68" s="1400">
        <f t="shared" si="190"/>
        <v>39.085165763313817</v>
      </c>
      <c r="CC68" s="1400">
        <f t="shared" si="190"/>
        <v>39.053859155914154</v>
      </c>
      <c r="CD68" s="1400">
        <f t="shared" si="190"/>
        <v>39.022577624618116</v>
      </c>
      <c r="CE68" s="1400">
        <f t="shared" si="190"/>
        <v>38.991321149340131</v>
      </c>
      <c r="CF68" s="1400">
        <f t="shared" si="190"/>
        <v>38.960089710010728</v>
      </c>
      <c r="CG68" s="1400">
        <f t="shared" si="190"/>
        <v>38.917066652108652</v>
      </c>
      <c r="CH68" s="1400">
        <f t="shared" si="190"/>
        <v>38.874091103940906</v>
      </c>
      <c r="CI68" s="1400">
        <f t="shared" si="190"/>
        <v>38.831163013043174</v>
      </c>
      <c r="CJ68" s="1400">
        <f t="shared" si="190"/>
        <v>38.788282327009078</v>
      </c>
      <c r="CK68" s="1400">
        <f t="shared" si="190"/>
        <v>38.745448993490129</v>
      </c>
      <c r="CL68" s="1400">
        <f t="shared" si="190"/>
        <v>38.698750191886909</v>
      </c>
      <c r="CM68" s="1400">
        <f t="shared" si="190"/>
        <v>38.652107675037847</v>
      </c>
      <c r="CN68" s="1400">
        <f t="shared" si="190"/>
        <v>38.605521375104502</v>
      </c>
      <c r="CO68" s="1400">
        <f t="shared" si="190"/>
        <v>38.558991224330207</v>
      </c>
      <c r="CP68" s="1400">
        <f t="shared" si="190"/>
        <v>38.512517155039959</v>
      </c>
      <c r="CQ68" s="1400">
        <f t="shared" si="190"/>
        <v>38.45868804732946</v>
      </c>
      <c r="CR68" s="1400">
        <f t="shared" si="190"/>
        <v>38.404934176789915</v>
      </c>
      <c r="CS68" s="1400">
        <f t="shared" si="190"/>
        <v>38.351255438262001</v>
      </c>
      <c r="CT68" s="1400">
        <f t="shared" si="190"/>
        <v>38.297651726733392</v>
      </c>
      <c r="CU68" s="1400">
        <f t="shared" si="190"/>
        <v>38.244122937338538</v>
      </c>
      <c r="CV68" s="1400">
        <f t="shared" si="190"/>
        <v>38.191869309081618</v>
      </c>
      <c r="CW68" s="1400">
        <f t="shared" si="190"/>
        <v>38.139687075890301</v>
      </c>
      <c r="CX68" s="1400">
        <f t="shared" si="190"/>
        <v>38.087576140216228</v>
      </c>
      <c r="CY68" s="1400">
        <f t="shared" si="190"/>
        <v>38.03553640464434</v>
      </c>
      <c r="CZ68" s="1400">
        <f t="shared" si="190"/>
        <v>37.983567771892652</v>
      </c>
    </row>
    <row r="69" spans="1:104" ht="13" thickTop="1" x14ac:dyDescent="0.25">
      <c r="D69" s="1098"/>
    </row>
    <row r="70" spans="1:104" ht="13" thickBot="1" x14ac:dyDescent="0.3">
      <c r="D70" s="1098"/>
      <c r="E70" s="978"/>
    </row>
    <row r="71" spans="1:104" s="1055" customFormat="1" ht="13" x14ac:dyDescent="0.3">
      <c r="A71" s="1051" t="s">
        <v>1112</v>
      </c>
      <c r="B71" s="1052"/>
      <c r="C71" s="1053"/>
      <c r="D71" s="1254"/>
      <c r="E71" s="1053"/>
      <c r="F71" s="1052"/>
      <c r="G71" s="1052"/>
      <c r="H71" s="1052"/>
      <c r="I71" s="1052"/>
      <c r="J71" s="1052"/>
      <c r="K71" s="1052"/>
      <c r="L71" s="1052"/>
      <c r="M71" s="1052"/>
      <c r="N71" s="1052"/>
      <c r="O71" s="1052"/>
      <c r="P71" s="1052"/>
      <c r="Q71" s="1052"/>
      <c r="R71" s="1052"/>
      <c r="S71" s="1052"/>
      <c r="T71" s="1052"/>
      <c r="U71" s="1052"/>
      <c r="V71" s="1052"/>
      <c r="W71" s="1052"/>
      <c r="X71" s="1052"/>
      <c r="Y71" s="1052"/>
      <c r="Z71" s="1052"/>
      <c r="AA71" s="1052"/>
      <c r="AB71" s="1052"/>
      <c r="AC71" s="1052"/>
      <c r="AD71" s="1052"/>
      <c r="AE71" s="1052"/>
      <c r="AF71" s="1052"/>
      <c r="AG71" s="1052"/>
      <c r="AH71" s="1052"/>
      <c r="AI71" s="1052"/>
      <c r="AJ71" s="1052"/>
      <c r="AK71" s="1052"/>
      <c r="AL71" s="1052"/>
      <c r="AM71" s="1052"/>
      <c r="AN71" s="1052"/>
      <c r="AO71" s="1052"/>
      <c r="AP71" s="1052"/>
      <c r="AQ71" s="1052"/>
      <c r="AR71" s="1052"/>
      <c r="AS71" s="1052"/>
      <c r="AT71" s="1052"/>
      <c r="AU71" s="1052"/>
      <c r="AV71" s="1052"/>
      <c r="AW71" s="1052"/>
      <c r="AX71" s="1052"/>
      <c r="AY71" s="1052"/>
      <c r="AZ71" s="1052"/>
      <c r="BA71" s="1052"/>
      <c r="BB71" s="1052"/>
      <c r="BC71" s="1052"/>
      <c r="BD71" s="1052"/>
      <c r="BE71" s="1052"/>
      <c r="BF71" s="1052"/>
      <c r="BG71" s="1052"/>
      <c r="BH71" s="1052"/>
      <c r="BI71" s="1052"/>
      <c r="BJ71" s="1052"/>
      <c r="BK71" s="1052"/>
      <c r="BL71" s="1052"/>
      <c r="BM71" s="1052"/>
      <c r="BN71" s="1052"/>
      <c r="BO71" s="1052"/>
      <c r="BP71" s="1052"/>
      <c r="BQ71" s="1052"/>
      <c r="BR71" s="1052"/>
      <c r="BS71" s="1052"/>
      <c r="BT71" s="1052"/>
      <c r="BU71" s="1052"/>
      <c r="BV71" s="1054"/>
    </row>
    <row r="72" spans="1:104" s="1055" customFormat="1" ht="13" x14ac:dyDescent="0.3">
      <c r="A72" s="1056" t="s">
        <v>1109</v>
      </c>
      <c r="B72" s="1057"/>
      <c r="C72" s="1058"/>
      <c r="D72" s="1255"/>
      <c r="E72" s="1058"/>
      <c r="F72" s="1057"/>
      <c r="G72" s="1057"/>
      <c r="H72" s="1057"/>
      <c r="I72" s="1057"/>
      <c r="J72" s="1057"/>
      <c r="K72" s="1057"/>
      <c r="L72" s="1057"/>
      <c r="M72" s="1057"/>
      <c r="N72" s="1057"/>
      <c r="O72" s="1057"/>
      <c r="P72" s="1057"/>
      <c r="Q72" s="1057"/>
      <c r="R72" s="1057"/>
      <c r="S72" s="1057"/>
      <c r="T72" s="1057"/>
      <c r="U72" s="1057"/>
      <c r="V72" s="1057"/>
      <c r="W72" s="1057"/>
      <c r="X72" s="1057"/>
      <c r="Y72" s="1057"/>
      <c r="Z72" s="1057"/>
      <c r="AA72" s="1057"/>
      <c r="AB72" s="1057"/>
      <c r="AC72" s="1057"/>
      <c r="AD72" s="1057"/>
      <c r="AE72" s="1057"/>
      <c r="AF72" s="1057"/>
      <c r="AG72" s="1057"/>
      <c r="AH72" s="1057"/>
      <c r="AI72" s="1057"/>
      <c r="AJ72" s="1057"/>
      <c r="AK72" s="1057"/>
      <c r="AL72" s="1057"/>
      <c r="AM72" s="1057"/>
      <c r="AN72" s="1057"/>
      <c r="AO72" s="1057"/>
      <c r="AP72" s="1057"/>
      <c r="AQ72" s="1057"/>
      <c r="AR72" s="1057"/>
      <c r="AS72" s="1057"/>
      <c r="AT72" s="1057"/>
      <c r="AU72" s="1057"/>
      <c r="AV72" s="1057"/>
      <c r="AW72" s="1057"/>
      <c r="AX72" s="1057"/>
      <c r="AY72" s="1057"/>
      <c r="AZ72" s="1057"/>
      <c r="BA72" s="1057"/>
      <c r="BB72" s="1057"/>
      <c r="BC72" s="1057"/>
      <c r="BD72" s="1057"/>
      <c r="BE72" s="1057"/>
      <c r="BF72" s="1057"/>
      <c r="BG72" s="1057"/>
      <c r="BH72" s="1057"/>
      <c r="BI72" s="1057"/>
      <c r="BJ72" s="1057"/>
      <c r="BK72" s="1057"/>
      <c r="BL72" s="1057"/>
      <c r="BM72" s="1057"/>
      <c r="BN72" s="1057"/>
      <c r="BO72" s="1057"/>
      <c r="BP72" s="1057"/>
      <c r="BQ72" s="1057"/>
      <c r="BR72" s="1057"/>
      <c r="BS72" s="1057"/>
      <c r="BT72" s="1057"/>
      <c r="BU72" s="1057"/>
      <c r="BV72" s="1059"/>
    </row>
    <row r="73" spans="1:104" s="1055" customFormat="1" x14ac:dyDescent="0.25">
      <c r="A73" s="1060"/>
      <c r="B73" s="1057"/>
      <c r="C73" s="1058"/>
      <c r="D73" s="1255"/>
      <c r="E73" s="1076"/>
      <c r="F73" s="1057"/>
      <c r="G73" s="1057"/>
      <c r="H73" s="1057"/>
      <c r="I73" s="1057"/>
      <c r="J73" s="1057"/>
      <c r="K73" s="1057"/>
      <c r="L73" s="1057"/>
      <c r="M73" s="1057"/>
      <c r="N73" s="1057"/>
      <c r="O73" s="1057"/>
      <c r="P73" s="1057"/>
      <c r="Q73" s="1057"/>
      <c r="R73" s="1057"/>
      <c r="S73" s="1057"/>
      <c r="T73" s="1057"/>
      <c r="U73" s="1057"/>
      <c r="V73" s="1057"/>
      <c r="W73" s="1057"/>
      <c r="X73" s="1057"/>
      <c r="Y73" s="1057"/>
      <c r="Z73" s="1057"/>
      <c r="AA73" s="1057"/>
      <c r="AB73" s="1057"/>
      <c r="AC73" s="1057"/>
      <c r="AD73" s="1057"/>
      <c r="AE73" s="1057"/>
      <c r="AF73" s="1057"/>
      <c r="AG73" s="1057"/>
      <c r="AH73" s="1057"/>
      <c r="AI73" s="1057"/>
      <c r="AJ73" s="1057"/>
      <c r="AK73" s="1057"/>
      <c r="AL73" s="1057"/>
      <c r="AM73" s="1057"/>
      <c r="AN73" s="1057"/>
      <c r="AO73" s="1057"/>
      <c r="AP73" s="1057"/>
      <c r="AQ73" s="1057"/>
      <c r="AR73" s="1057"/>
      <c r="AS73" s="1057"/>
      <c r="AT73" s="1057"/>
      <c r="AU73" s="1057"/>
      <c r="AV73" s="1057"/>
      <c r="AW73" s="1057"/>
      <c r="AX73" s="1057"/>
      <c r="AY73" s="1057"/>
      <c r="AZ73" s="1057"/>
      <c r="BA73" s="1057"/>
      <c r="BB73" s="1057"/>
      <c r="BC73" s="1057"/>
      <c r="BD73" s="1057"/>
      <c r="BE73" s="1057"/>
      <c r="BF73" s="1057"/>
      <c r="BG73" s="1057"/>
      <c r="BH73" s="1057"/>
      <c r="BI73" s="1057"/>
      <c r="BJ73" s="1057"/>
      <c r="BK73" s="1057"/>
      <c r="BL73" s="1057"/>
      <c r="BM73" s="1057"/>
      <c r="BN73" s="1057"/>
      <c r="BO73" s="1057"/>
      <c r="BP73" s="1057"/>
      <c r="BQ73" s="1057"/>
      <c r="BR73" s="1057"/>
      <c r="BS73" s="1057"/>
      <c r="BT73" s="1057"/>
      <c r="BU73" s="1057"/>
      <c r="BV73" s="1059"/>
    </row>
    <row r="74" spans="1:104" s="1055" customFormat="1" x14ac:dyDescent="0.25">
      <c r="A74" s="1060" t="s">
        <v>681</v>
      </c>
      <c r="B74" s="1057"/>
      <c r="C74" s="1058"/>
      <c r="D74" s="1255"/>
      <c r="E74" s="1058"/>
      <c r="F74" s="1057"/>
      <c r="G74" s="1057"/>
      <c r="H74" s="1057"/>
      <c r="I74" s="1057"/>
      <c r="J74" s="1057"/>
      <c r="K74" s="1057"/>
      <c r="L74" s="1057"/>
      <c r="M74" s="1057"/>
      <c r="N74" s="1061">
        <v>11.359373</v>
      </c>
      <c r="O74" s="1061">
        <v>10.802343</v>
      </c>
      <c r="P74" s="1061">
        <v>10.473763999999999</v>
      </c>
      <c r="Q74" s="1061">
        <v>10.501935</v>
      </c>
      <c r="R74" s="1061">
        <v>10.334021999999999</v>
      </c>
      <c r="S74" s="1061">
        <v>10.229792</v>
      </c>
      <c r="T74" s="1061">
        <v>10.748874000000001</v>
      </c>
      <c r="U74" s="1061">
        <v>11.092333999999999</v>
      </c>
      <c r="V74" s="1061">
        <v>11.515472000000001</v>
      </c>
      <c r="W74" s="1061">
        <v>11.774895000000001</v>
      </c>
      <c r="X74" s="1061">
        <v>11.996413</v>
      </c>
      <c r="Y74" s="1061">
        <v>12.209519999999999</v>
      </c>
      <c r="Z74" s="1061">
        <v>12.479982</v>
      </c>
      <c r="AA74" s="1061">
        <v>12.729352</v>
      </c>
      <c r="AB74" s="1061">
        <v>12.853237999999999</v>
      </c>
      <c r="AC74" s="1061">
        <v>13.018173000000001</v>
      </c>
      <c r="AD74" s="1061">
        <v>13.212711000000001</v>
      </c>
      <c r="AE74" s="1061">
        <v>13.366512</v>
      </c>
      <c r="AF74" s="1061">
        <v>13.603230999999999</v>
      </c>
      <c r="AG74" s="1061">
        <v>13.784504</v>
      </c>
      <c r="AH74" s="1061">
        <v>13.991047</v>
      </c>
      <c r="AI74" s="1061">
        <v>14.231726</v>
      </c>
      <c r="AJ74" s="1061">
        <v>14.577776</v>
      </c>
      <c r="AK74" s="1061">
        <v>14.956607999999999</v>
      </c>
      <c r="AL74" s="1061">
        <v>15.347963</v>
      </c>
      <c r="AM74" s="1061">
        <v>15.708157999999999</v>
      </c>
      <c r="AN74" s="1061">
        <v>16.169785000000001</v>
      </c>
      <c r="AO74" s="1061">
        <v>16.471478000000001</v>
      </c>
      <c r="AP74" s="1061">
        <v>16.949921</v>
      </c>
      <c r="AQ74" s="1061">
        <v>17.380462999999999</v>
      </c>
      <c r="AR74" s="1061">
        <v>17.673891000000001</v>
      </c>
      <c r="AS74" s="1057"/>
      <c r="AT74" s="1057"/>
      <c r="AU74" s="1057"/>
      <c r="AV74" s="1057"/>
      <c r="AW74" s="1057"/>
      <c r="AX74" s="1057"/>
      <c r="AY74" s="1057"/>
      <c r="AZ74" s="1057"/>
      <c r="BA74" s="1057"/>
      <c r="BB74" s="1057"/>
      <c r="BC74" s="1057"/>
      <c r="BD74" s="1057"/>
      <c r="BE74" s="1057"/>
      <c r="BF74" s="1057"/>
      <c r="BG74" s="1057"/>
      <c r="BH74" s="1057"/>
      <c r="BI74" s="1057"/>
      <c r="BJ74" s="1057"/>
      <c r="BK74" s="1057"/>
      <c r="BL74" s="1057"/>
      <c r="BM74" s="1057"/>
      <c r="BN74" s="1057"/>
      <c r="BO74" s="1057"/>
      <c r="BP74" s="1057"/>
      <c r="BQ74" s="1057"/>
      <c r="BR74" s="1057"/>
      <c r="BS74" s="1057"/>
      <c r="BT74" s="1057"/>
      <c r="BU74" s="1057"/>
      <c r="BV74" s="1059"/>
    </row>
    <row r="75" spans="1:104" s="1055" customFormat="1" x14ac:dyDescent="0.25">
      <c r="A75" s="1060" t="s">
        <v>1085</v>
      </c>
      <c r="B75" s="1057"/>
      <c r="C75" s="1058"/>
      <c r="D75" s="1255"/>
      <c r="E75" s="1058"/>
      <c r="F75" s="1057"/>
      <c r="G75" s="1057"/>
      <c r="H75" s="1057"/>
      <c r="I75" s="1057"/>
      <c r="J75" s="1057"/>
      <c r="K75" s="1057"/>
      <c r="L75" s="1057"/>
      <c r="M75" s="1057"/>
      <c r="N75" s="1061">
        <v>9.3969749999999994</v>
      </c>
      <c r="O75" s="1061">
        <v>8.8368559999999992</v>
      </c>
      <c r="P75" s="1061">
        <v>8.081448</v>
      </c>
      <c r="Q75" s="1061">
        <v>8.4844790000000003</v>
      </c>
      <c r="R75" s="1061">
        <v>8.3155520000000003</v>
      </c>
      <c r="S75" s="1061">
        <v>8.1773039999999995</v>
      </c>
      <c r="T75" s="1061">
        <v>8.6431299999999993</v>
      </c>
      <c r="U75" s="1061">
        <v>8.9205120000000004</v>
      </c>
      <c r="V75" s="1061">
        <v>9.2811249999999994</v>
      </c>
      <c r="W75" s="1061">
        <v>9.4920469999999995</v>
      </c>
      <c r="X75" s="1061">
        <v>9.6757190000000008</v>
      </c>
      <c r="Y75" s="1061">
        <v>9.8498520000000003</v>
      </c>
      <c r="Z75" s="1061">
        <v>10.083444999999999</v>
      </c>
      <c r="AA75" s="1061">
        <v>10.292596</v>
      </c>
      <c r="AB75" s="1061">
        <v>10.386177</v>
      </c>
      <c r="AC75" s="1061">
        <v>10.522978999999999</v>
      </c>
      <c r="AD75" s="1061">
        <v>10.688981999999999</v>
      </c>
      <c r="AE75" s="1061">
        <v>10.803459999999999</v>
      </c>
      <c r="AF75" s="1061">
        <v>10.994071</v>
      </c>
      <c r="AG75" s="1061">
        <v>11.132752999999999</v>
      </c>
      <c r="AH75" s="1061">
        <v>11.290343</v>
      </c>
      <c r="AI75" s="1061">
        <v>11.483471</v>
      </c>
      <c r="AJ75" s="1061">
        <v>11.774739</v>
      </c>
      <c r="AK75" s="1061">
        <v>12.104623999999999</v>
      </c>
      <c r="AL75" s="1061">
        <v>12.443429</v>
      </c>
      <c r="AM75" s="1061">
        <v>12.746489</v>
      </c>
      <c r="AN75" s="1061">
        <v>13.159888</v>
      </c>
      <c r="AO75" s="1061">
        <v>13.417020000000001</v>
      </c>
      <c r="AP75" s="1061">
        <v>13.853782000000001</v>
      </c>
      <c r="AQ75" s="1061">
        <v>14.239846</v>
      </c>
      <c r="AR75" s="1061">
        <v>14.480893</v>
      </c>
      <c r="AS75" s="1057"/>
      <c r="AT75" s="1057"/>
      <c r="AU75" s="1057"/>
      <c r="AV75" s="1057"/>
      <c r="AW75" s="1057"/>
      <c r="AX75" s="1057"/>
      <c r="AY75" s="1057"/>
      <c r="AZ75" s="1057"/>
      <c r="BA75" s="1057"/>
      <c r="BB75" s="1057"/>
      <c r="BC75" s="1057"/>
      <c r="BD75" s="1057"/>
      <c r="BE75" s="1057"/>
      <c r="BF75" s="1057"/>
      <c r="BG75" s="1057"/>
      <c r="BH75" s="1057"/>
      <c r="BI75" s="1057"/>
      <c r="BJ75" s="1057"/>
      <c r="BK75" s="1057"/>
      <c r="BL75" s="1057"/>
      <c r="BM75" s="1057"/>
      <c r="BN75" s="1057"/>
      <c r="BO75" s="1057"/>
      <c r="BP75" s="1057"/>
      <c r="BQ75" s="1057"/>
      <c r="BR75" s="1057"/>
      <c r="BS75" s="1057"/>
      <c r="BT75" s="1057"/>
      <c r="BU75" s="1057"/>
      <c r="BV75" s="1059"/>
    </row>
    <row r="76" spans="1:104" s="1055" customFormat="1" x14ac:dyDescent="0.25">
      <c r="A76" s="1060" t="s">
        <v>283</v>
      </c>
      <c r="B76" s="1057"/>
      <c r="C76" s="1058"/>
      <c r="D76" s="1255"/>
      <c r="E76" s="1058"/>
      <c r="F76" s="1057"/>
      <c r="G76" s="1057"/>
      <c r="H76" s="1057"/>
      <c r="I76" s="1057"/>
      <c r="J76" s="1057"/>
      <c r="K76" s="1057"/>
      <c r="L76" s="1057"/>
      <c r="M76" s="1057"/>
      <c r="N76" s="1061">
        <v>5.4839570000000002</v>
      </c>
      <c r="O76" s="1061">
        <v>4.8889880000000003</v>
      </c>
      <c r="P76" s="1061">
        <v>3.7668759999999999</v>
      </c>
      <c r="Q76" s="1061">
        <v>4.3500249999999996</v>
      </c>
      <c r="R76" s="1061">
        <v>4.4161510000000002</v>
      </c>
      <c r="S76" s="1061">
        <v>4.4533610000000001</v>
      </c>
      <c r="T76" s="1061">
        <v>4.916512</v>
      </c>
      <c r="U76" s="1061">
        <v>5.1321560000000002</v>
      </c>
      <c r="V76" s="1061">
        <v>5.3872429999999998</v>
      </c>
      <c r="W76" s="1061">
        <v>5.5533659999999996</v>
      </c>
      <c r="X76" s="1061">
        <v>5.6994189999999998</v>
      </c>
      <c r="Y76" s="1061">
        <v>5.84443</v>
      </c>
      <c r="Z76" s="1061">
        <v>6.055364</v>
      </c>
      <c r="AA76" s="1061">
        <v>6.2505249999999997</v>
      </c>
      <c r="AB76" s="1061">
        <v>6.3249610000000001</v>
      </c>
      <c r="AC76" s="1061">
        <v>6.4443630000000001</v>
      </c>
      <c r="AD76" s="1061">
        <v>6.5689469999999996</v>
      </c>
      <c r="AE76" s="1061">
        <v>6.6624569999999999</v>
      </c>
      <c r="AF76" s="1061">
        <v>6.8533949999999999</v>
      </c>
      <c r="AG76" s="1061">
        <v>6.9821</v>
      </c>
      <c r="AH76" s="1061">
        <v>7.1203779999999997</v>
      </c>
      <c r="AI76" s="1061">
        <v>7.3037179999999999</v>
      </c>
      <c r="AJ76" s="1061">
        <v>7.5896039999999996</v>
      </c>
      <c r="AK76" s="1061">
        <v>7.9110909999999999</v>
      </c>
      <c r="AL76" s="1061">
        <v>8.2410040000000002</v>
      </c>
      <c r="AM76" s="1061">
        <v>8.5300290000000007</v>
      </c>
      <c r="AN76" s="1061">
        <v>8.90123</v>
      </c>
      <c r="AO76" s="1061">
        <v>9.1114479999999993</v>
      </c>
      <c r="AP76" s="1061">
        <v>9.4914550000000002</v>
      </c>
      <c r="AQ76" s="1061">
        <v>9.8126739999999995</v>
      </c>
      <c r="AR76" s="1061">
        <v>10.012231</v>
      </c>
      <c r="AS76" s="1057"/>
      <c r="AT76" s="1057"/>
      <c r="AU76" s="1057"/>
      <c r="AV76" s="1057"/>
      <c r="AW76" s="1057"/>
      <c r="AX76" s="1057"/>
      <c r="AY76" s="1057"/>
      <c r="AZ76" s="1057"/>
      <c r="BA76" s="1057"/>
      <c r="BB76" s="1057"/>
      <c r="BC76" s="1057"/>
      <c r="BD76" s="1057"/>
      <c r="BE76" s="1057"/>
      <c r="BF76" s="1057"/>
      <c r="BG76" s="1057"/>
      <c r="BH76" s="1057"/>
      <c r="BI76" s="1057"/>
      <c r="BJ76" s="1057"/>
      <c r="BK76" s="1057"/>
      <c r="BL76" s="1057"/>
      <c r="BM76" s="1057"/>
      <c r="BN76" s="1057"/>
      <c r="BO76" s="1057"/>
      <c r="BP76" s="1057"/>
      <c r="BQ76" s="1057"/>
      <c r="BR76" s="1057"/>
      <c r="BS76" s="1057"/>
      <c r="BT76" s="1057"/>
      <c r="BU76" s="1057"/>
      <c r="BV76" s="1059"/>
    </row>
    <row r="77" spans="1:104" s="1055" customFormat="1" x14ac:dyDescent="0.25">
      <c r="A77" s="1062" t="str">
        <f>'HyARC Physical Property Data'!$A$74</f>
        <v>Electric Utility Natural Gas</v>
      </c>
      <c r="B77" s="1057"/>
      <c r="C77" s="1058"/>
      <c r="D77" s="1255"/>
      <c r="E77" s="1058"/>
      <c r="F77" s="1057"/>
      <c r="G77" s="1057"/>
      <c r="H77" s="1057"/>
      <c r="I77" s="1057"/>
      <c r="J77" s="1057"/>
      <c r="K77" s="1057"/>
      <c r="L77" s="1057"/>
      <c r="M77" s="1057"/>
      <c r="N77" s="1061">
        <v>5.2581660000000001</v>
      </c>
      <c r="O77" s="1061">
        <v>4.7747140000000003</v>
      </c>
      <c r="P77" s="1061">
        <v>3.3280129999999999</v>
      </c>
      <c r="Q77" s="1061">
        <v>3.7262059999999999</v>
      </c>
      <c r="R77" s="1061">
        <v>3.8342619999999998</v>
      </c>
      <c r="S77" s="1061">
        <v>3.9162499999999998</v>
      </c>
      <c r="T77" s="1061">
        <v>4.3469340000000001</v>
      </c>
      <c r="U77" s="1061">
        <v>4.5235139999999996</v>
      </c>
      <c r="V77" s="1061">
        <v>4.7720750000000001</v>
      </c>
      <c r="W77" s="1061">
        <v>4.9304030000000001</v>
      </c>
      <c r="X77" s="1061">
        <v>5.0667330000000002</v>
      </c>
      <c r="Y77" s="1061">
        <v>5.2030240000000001</v>
      </c>
      <c r="Z77" s="1061">
        <v>5.4141339999999998</v>
      </c>
      <c r="AA77" s="1061">
        <v>5.6120320000000001</v>
      </c>
      <c r="AB77" s="1061">
        <v>5.7180549999999997</v>
      </c>
      <c r="AC77" s="1061">
        <v>5.8497880000000002</v>
      </c>
      <c r="AD77" s="1061">
        <v>5.9964360000000001</v>
      </c>
      <c r="AE77" s="1061">
        <v>6.1136410000000003</v>
      </c>
      <c r="AF77" s="1061">
        <v>6.2808900000000003</v>
      </c>
      <c r="AG77" s="1061">
        <v>6.4099190000000004</v>
      </c>
      <c r="AH77" s="1061">
        <v>6.5488220000000004</v>
      </c>
      <c r="AI77" s="1061">
        <v>6.7307620000000004</v>
      </c>
      <c r="AJ77" s="1061">
        <v>7.0166529999999998</v>
      </c>
      <c r="AK77" s="1061">
        <v>7.3227570000000002</v>
      </c>
      <c r="AL77" s="1061">
        <v>7.6342280000000002</v>
      </c>
      <c r="AM77" s="1061">
        <v>7.902755</v>
      </c>
      <c r="AN77" s="1061">
        <v>8.2651950000000003</v>
      </c>
      <c r="AO77" s="1061">
        <v>8.4774010000000004</v>
      </c>
      <c r="AP77" s="1061">
        <v>8.8551400000000005</v>
      </c>
      <c r="AQ77" s="1061">
        <v>9.1715459999999993</v>
      </c>
      <c r="AR77" s="1061">
        <v>9.3359030000000001</v>
      </c>
      <c r="AS77" s="1057"/>
      <c r="AT77" s="1057"/>
      <c r="AU77" s="1057"/>
      <c r="AV77" s="1057"/>
      <c r="AW77" s="1057"/>
      <c r="AX77" s="1057"/>
      <c r="AY77" s="1057"/>
      <c r="AZ77" s="1057"/>
      <c r="BA77" s="1057"/>
      <c r="BB77" s="1057"/>
      <c r="BC77" s="1057"/>
      <c r="BD77" s="1057"/>
      <c r="BE77" s="1057"/>
      <c r="BF77" s="1057"/>
      <c r="BG77" s="1057"/>
      <c r="BH77" s="1057"/>
      <c r="BI77" s="1057"/>
      <c r="BJ77" s="1057"/>
      <c r="BK77" s="1057"/>
      <c r="BL77" s="1057"/>
      <c r="BM77" s="1057"/>
      <c r="BN77" s="1057"/>
      <c r="BO77" s="1057"/>
      <c r="BP77" s="1057"/>
      <c r="BQ77" s="1057"/>
      <c r="BR77" s="1057"/>
      <c r="BS77" s="1057"/>
      <c r="BT77" s="1057"/>
      <c r="BU77" s="1057"/>
      <c r="BV77" s="1059"/>
    </row>
    <row r="78" spans="1:104" s="1055" customFormat="1" x14ac:dyDescent="0.25">
      <c r="A78" s="1062" t="s">
        <v>1081</v>
      </c>
      <c r="B78" s="1057"/>
      <c r="C78" s="1058"/>
      <c r="D78" s="1255"/>
      <c r="E78" s="1058"/>
      <c r="F78" s="1057"/>
      <c r="G78" s="1057"/>
      <c r="H78" s="1057"/>
      <c r="I78" s="1057"/>
      <c r="J78" s="1057"/>
      <c r="K78" s="1057"/>
      <c r="L78" s="1057"/>
      <c r="M78" s="1057"/>
      <c r="N78" s="1061"/>
      <c r="O78" s="1061"/>
      <c r="P78" s="1061"/>
      <c r="Q78" s="1061"/>
      <c r="R78" s="1061"/>
      <c r="S78" s="1061"/>
      <c r="T78" s="1061"/>
      <c r="U78" s="1061"/>
      <c r="V78" s="1061"/>
      <c r="W78" s="1061"/>
      <c r="X78" s="1061"/>
      <c r="Y78" s="1061"/>
      <c r="Z78" s="1061"/>
      <c r="AA78" s="1061"/>
      <c r="AB78" s="1061"/>
      <c r="AC78" s="1061"/>
      <c r="AD78" s="1061"/>
      <c r="AE78" s="1061"/>
      <c r="AF78" s="1061"/>
      <c r="AG78" s="1061"/>
      <c r="AH78" s="1061"/>
      <c r="AI78" s="1061"/>
      <c r="AJ78" s="1061"/>
      <c r="AK78" s="1061"/>
      <c r="AL78" s="1061"/>
      <c r="AM78" s="1061"/>
      <c r="AN78" s="1061"/>
      <c r="AO78" s="1061"/>
      <c r="AP78" s="1061"/>
      <c r="AQ78" s="1061"/>
      <c r="AR78" s="1061"/>
      <c r="AS78" s="1057"/>
      <c r="AT78" s="1057"/>
      <c r="AU78" s="1057"/>
      <c r="AV78" s="1057"/>
      <c r="AW78" s="1057"/>
      <c r="AX78" s="1057"/>
      <c r="AY78" s="1057"/>
      <c r="AZ78" s="1057"/>
      <c r="BA78" s="1057"/>
      <c r="BB78" s="1057"/>
      <c r="BC78" s="1057"/>
      <c r="BD78" s="1057"/>
      <c r="BE78" s="1057"/>
      <c r="BF78" s="1057"/>
      <c r="BG78" s="1057"/>
      <c r="BH78" s="1057"/>
      <c r="BI78" s="1057"/>
      <c r="BJ78" s="1057"/>
      <c r="BK78" s="1057"/>
      <c r="BL78" s="1057"/>
      <c r="BM78" s="1057"/>
      <c r="BN78" s="1057"/>
      <c r="BO78" s="1057"/>
      <c r="BP78" s="1057"/>
      <c r="BQ78" s="1057"/>
      <c r="BR78" s="1057"/>
      <c r="BS78" s="1057"/>
      <c r="BT78" s="1057"/>
      <c r="BU78" s="1057"/>
      <c r="BV78" s="1059"/>
    </row>
    <row r="79" spans="1:104" s="1055" customFormat="1" x14ac:dyDescent="0.25">
      <c r="A79" s="1060" t="s">
        <v>1087</v>
      </c>
      <c r="B79" s="1057"/>
      <c r="C79" s="1058"/>
      <c r="D79" s="1255"/>
      <c r="E79" s="1058"/>
      <c r="F79" s="1057"/>
      <c r="G79" s="1057"/>
      <c r="H79" s="1057"/>
      <c r="I79" s="1057"/>
      <c r="J79" s="1057"/>
      <c r="K79" s="1057"/>
      <c r="L79" s="1057"/>
      <c r="M79" s="1057"/>
      <c r="N79" s="1061">
        <v>2.2979889999999998</v>
      </c>
      <c r="O79" s="1061">
        <v>2.38</v>
      </c>
      <c r="P79" s="1061">
        <v>2.414561</v>
      </c>
      <c r="Q79" s="1061">
        <v>2.3313350000000002</v>
      </c>
      <c r="R79" s="1061">
        <v>2.4666779999999999</v>
      </c>
      <c r="S79" s="1061">
        <v>2.490294</v>
      </c>
      <c r="T79" s="1061">
        <v>2.5700569999999998</v>
      </c>
      <c r="U79" s="1061">
        <v>2.5762320000000001</v>
      </c>
      <c r="V79" s="1061">
        <v>2.594992</v>
      </c>
      <c r="W79" s="1061">
        <v>2.6086049999999998</v>
      </c>
      <c r="X79" s="1061">
        <v>2.6433580000000001</v>
      </c>
      <c r="Y79" s="1061">
        <v>2.6708150000000002</v>
      </c>
      <c r="Z79" s="1061">
        <v>2.7142179999999998</v>
      </c>
      <c r="AA79" s="1061">
        <v>2.74918</v>
      </c>
      <c r="AB79" s="1061">
        <v>2.7884579999999999</v>
      </c>
      <c r="AC79" s="1061">
        <v>2.8318759999999998</v>
      </c>
      <c r="AD79" s="1061">
        <v>2.8692139999999999</v>
      </c>
      <c r="AE79" s="1061">
        <v>2.899435</v>
      </c>
      <c r="AF79" s="1061">
        <v>2.9368029999999998</v>
      </c>
      <c r="AG79" s="1061">
        <v>2.9781219999999999</v>
      </c>
      <c r="AH79" s="1061">
        <v>3.0179510000000001</v>
      </c>
      <c r="AI79" s="1061">
        <v>3.0527350000000002</v>
      </c>
      <c r="AJ79" s="1061">
        <v>3.090319</v>
      </c>
      <c r="AK79" s="1061">
        <v>3.1298509999999999</v>
      </c>
      <c r="AL79" s="1061">
        <v>3.1705510000000001</v>
      </c>
      <c r="AM79" s="1061">
        <v>3.2163840000000001</v>
      </c>
      <c r="AN79" s="1061">
        <v>3.2516949999999998</v>
      </c>
      <c r="AO79" s="1061">
        <v>3.2783180000000001</v>
      </c>
      <c r="AP79" s="1061">
        <v>3.3114089999999998</v>
      </c>
      <c r="AQ79" s="1061">
        <v>3.3562150000000002</v>
      </c>
      <c r="AR79" s="1061">
        <v>3.398895</v>
      </c>
      <c r="AS79" s="1057"/>
      <c r="AT79" s="1057"/>
      <c r="AU79" s="1057"/>
      <c r="AV79" s="1057"/>
      <c r="AW79" s="1057"/>
      <c r="AX79" s="1057"/>
      <c r="AY79" s="1057"/>
      <c r="AZ79" s="1057"/>
      <c r="BA79" s="1057"/>
      <c r="BB79" s="1057"/>
      <c r="BC79" s="1057"/>
      <c r="BD79" s="1057"/>
      <c r="BE79" s="1057"/>
      <c r="BF79" s="1057"/>
      <c r="BG79" s="1057"/>
      <c r="BH79" s="1057"/>
      <c r="BI79" s="1057"/>
      <c r="BJ79" s="1057"/>
      <c r="BK79" s="1057"/>
      <c r="BL79" s="1057"/>
      <c r="BM79" s="1057"/>
      <c r="BN79" s="1057"/>
      <c r="BO79" s="1057"/>
      <c r="BP79" s="1057"/>
      <c r="BQ79" s="1057"/>
      <c r="BR79" s="1057"/>
      <c r="BS79" s="1057"/>
      <c r="BT79" s="1057"/>
      <c r="BU79" s="1057"/>
      <c r="BV79" s="1059"/>
    </row>
    <row r="80" spans="1:104" s="1055" customFormat="1" x14ac:dyDescent="0.25">
      <c r="A80" s="1060" t="s">
        <v>683</v>
      </c>
      <c r="B80" s="1057"/>
      <c r="C80" s="1058"/>
      <c r="D80" s="1255"/>
      <c r="E80" s="1058"/>
      <c r="F80" s="1057"/>
      <c r="G80" s="1057"/>
      <c r="H80" s="1057"/>
      <c r="I80" s="1057"/>
      <c r="J80" s="1057"/>
      <c r="K80" s="1057"/>
      <c r="L80" s="1057"/>
      <c r="M80" s="1057"/>
      <c r="N80" s="1061">
        <v>30.492578999999999</v>
      </c>
      <c r="O80" s="1061">
        <v>29.980651999999999</v>
      </c>
      <c r="P80" s="1061">
        <v>28.501187999999999</v>
      </c>
      <c r="Q80" s="1061">
        <v>27.791989999999998</v>
      </c>
      <c r="R80" s="1061">
        <v>28.177313000000002</v>
      </c>
      <c r="S80" s="1061">
        <v>28.139455999999999</v>
      </c>
      <c r="T80" s="1061">
        <v>28.689319999999999</v>
      </c>
      <c r="U80" s="1061">
        <v>29.024557000000001</v>
      </c>
      <c r="V80" s="1061">
        <v>29.108899999999998</v>
      </c>
      <c r="W80" s="1061">
        <v>28.975003999999998</v>
      </c>
      <c r="X80" s="1061">
        <v>29.041111000000001</v>
      </c>
      <c r="Y80" s="1061">
        <v>29.162209000000001</v>
      </c>
      <c r="Z80" s="1061">
        <v>29.247681</v>
      </c>
      <c r="AA80" s="1061">
        <v>29.196009</v>
      </c>
      <c r="AB80" s="1061">
        <v>29.115604000000001</v>
      </c>
      <c r="AC80" s="1061">
        <v>29.201962000000002</v>
      </c>
      <c r="AD80" s="1061">
        <v>29.178121999999998</v>
      </c>
      <c r="AE80" s="1061">
        <v>29.212776000000002</v>
      </c>
      <c r="AF80" s="1061">
        <v>29.214404999999999</v>
      </c>
      <c r="AG80" s="1061">
        <v>29.344874999999998</v>
      </c>
      <c r="AH80" s="1061">
        <v>29.550170999999999</v>
      </c>
      <c r="AI80" s="1061">
        <v>29.794819</v>
      </c>
      <c r="AJ80" s="1061">
        <v>29.957190000000001</v>
      </c>
      <c r="AK80" s="1061">
        <v>30.275618000000001</v>
      </c>
      <c r="AL80" s="1061">
        <v>30.801399</v>
      </c>
      <c r="AM80" s="1061">
        <v>31.291125999999998</v>
      </c>
      <c r="AN80" s="1061">
        <v>31.806963</v>
      </c>
      <c r="AO80" s="1061">
        <v>32.268535999999997</v>
      </c>
      <c r="AP80" s="1061">
        <v>32.667476999999998</v>
      </c>
      <c r="AQ80" s="1061">
        <v>33.223427000000001</v>
      </c>
      <c r="AR80" s="1061">
        <v>33.577624999999998</v>
      </c>
      <c r="AS80" s="1057"/>
      <c r="AT80" s="1057"/>
      <c r="AU80" s="1057"/>
      <c r="AV80" s="1057"/>
      <c r="AW80" s="1057"/>
      <c r="AX80" s="1057"/>
      <c r="AY80" s="1057"/>
      <c r="AZ80" s="1057"/>
      <c r="BA80" s="1057"/>
      <c r="BB80" s="1057"/>
      <c r="BC80" s="1057"/>
      <c r="BD80" s="1057"/>
      <c r="BE80" s="1057"/>
      <c r="BF80" s="1057"/>
      <c r="BG80" s="1057"/>
      <c r="BH80" s="1057"/>
      <c r="BI80" s="1057"/>
      <c r="BJ80" s="1057"/>
      <c r="BK80" s="1057"/>
      <c r="BL80" s="1057"/>
      <c r="BM80" s="1057"/>
      <c r="BN80" s="1057"/>
      <c r="BO80" s="1057"/>
      <c r="BP80" s="1057"/>
      <c r="BQ80" s="1057"/>
      <c r="BR80" s="1057"/>
      <c r="BS80" s="1057"/>
      <c r="BT80" s="1057"/>
      <c r="BU80" s="1057"/>
      <c r="BV80" s="1059"/>
    </row>
    <row r="81" spans="1:104" s="1055" customFormat="1" x14ac:dyDescent="0.25">
      <c r="A81" s="1060" t="s">
        <v>698</v>
      </c>
      <c r="B81" s="1057"/>
      <c r="C81" s="1058"/>
      <c r="D81" s="1255"/>
      <c r="E81" s="1058"/>
      <c r="F81" s="1057"/>
      <c r="G81" s="1057"/>
      <c r="H81" s="1057"/>
      <c r="I81" s="1057"/>
      <c r="J81" s="1057"/>
      <c r="K81" s="1057"/>
      <c r="L81" s="1057"/>
      <c r="M81" s="1057"/>
      <c r="N81" s="1061">
        <v>20.260445000000001</v>
      </c>
      <c r="O81" s="1061">
        <v>19.975721</v>
      </c>
      <c r="P81" s="1061">
        <v>18.454588000000001</v>
      </c>
      <c r="Q81" s="1061">
        <v>18.157667</v>
      </c>
      <c r="R81" s="1061">
        <v>18.271274999999999</v>
      </c>
      <c r="S81" s="1061">
        <v>18.191776000000001</v>
      </c>
      <c r="T81" s="1061">
        <v>18.703628999999999</v>
      </c>
      <c r="U81" s="1061">
        <v>19.002967999999999</v>
      </c>
      <c r="V81" s="1061">
        <v>19.096264000000001</v>
      </c>
      <c r="W81" s="1061">
        <v>19.050228000000001</v>
      </c>
      <c r="X81" s="1061">
        <v>19.095860999999999</v>
      </c>
      <c r="Y81" s="1061">
        <v>19.252116999999998</v>
      </c>
      <c r="Z81" s="1061">
        <v>19.422526999999999</v>
      </c>
      <c r="AA81" s="1061">
        <v>19.539289</v>
      </c>
      <c r="AB81" s="1061">
        <v>19.565339999999999</v>
      </c>
      <c r="AC81" s="1061">
        <v>19.722131999999998</v>
      </c>
      <c r="AD81" s="1061">
        <v>19.810991000000001</v>
      </c>
      <c r="AE81" s="1061">
        <v>19.943812999999999</v>
      </c>
      <c r="AF81" s="1061">
        <v>20.046423000000001</v>
      </c>
      <c r="AG81" s="1061">
        <v>20.238405</v>
      </c>
      <c r="AH81" s="1061">
        <v>20.421748999999998</v>
      </c>
      <c r="AI81" s="1061">
        <v>20.607520999999998</v>
      </c>
      <c r="AJ81" s="1061">
        <v>20.839410999999998</v>
      </c>
      <c r="AK81" s="1061">
        <v>21.176966</v>
      </c>
      <c r="AL81" s="1061">
        <v>21.628757</v>
      </c>
      <c r="AM81" s="1061">
        <v>22.108962999999999</v>
      </c>
      <c r="AN81" s="1061">
        <v>22.567038</v>
      </c>
      <c r="AO81" s="1061">
        <v>22.990486000000001</v>
      </c>
      <c r="AP81" s="1061">
        <v>23.379736000000001</v>
      </c>
      <c r="AQ81" s="1061">
        <v>23.871493999999998</v>
      </c>
      <c r="AR81" s="1061">
        <v>24.167221000000001</v>
      </c>
      <c r="AS81" s="1057"/>
      <c r="AT81" s="1057"/>
      <c r="AU81" s="1057"/>
      <c r="AV81" s="1057"/>
      <c r="AW81" s="1057"/>
      <c r="AX81" s="1057"/>
      <c r="AY81" s="1057"/>
      <c r="AZ81" s="1057"/>
      <c r="BA81" s="1057"/>
      <c r="BB81" s="1057"/>
      <c r="BC81" s="1057"/>
      <c r="BD81" s="1057"/>
      <c r="BE81" s="1057"/>
      <c r="BF81" s="1057"/>
      <c r="BG81" s="1057"/>
      <c r="BH81" s="1057"/>
      <c r="BI81" s="1057"/>
      <c r="BJ81" s="1057"/>
      <c r="BK81" s="1057"/>
      <c r="BL81" s="1057"/>
      <c r="BM81" s="1057"/>
      <c r="BN81" s="1057"/>
      <c r="BO81" s="1057"/>
      <c r="BP81" s="1057"/>
      <c r="BQ81" s="1057"/>
      <c r="BR81" s="1057"/>
      <c r="BS81" s="1057"/>
      <c r="BT81" s="1057"/>
      <c r="BU81" s="1057"/>
      <c r="BV81" s="1059"/>
    </row>
    <row r="82" spans="1:104" s="1055" customFormat="1" ht="13" thickBot="1" x14ac:dyDescent="0.3">
      <c r="A82" s="1064" t="s">
        <v>684</v>
      </c>
      <c r="B82" s="1065"/>
      <c r="C82" s="1066"/>
      <c r="D82" s="1256"/>
      <c r="E82" s="1066"/>
      <c r="F82" s="1065"/>
      <c r="G82" s="1065"/>
      <c r="H82" s="1065"/>
      <c r="I82" s="1065"/>
      <c r="J82" s="1065"/>
      <c r="K82" s="1065"/>
      <c r="L82" s="1065"/>
      <c r="M82" s="1065"/>
      <c r="N82" s="1067">
        <v>34.522823000000002</v>
      </c>
      <c r="O82" s="1067">
        <v>34.335875999999999</v>
      </c>
      <c r="P82" s="1067">
        <v>33.292259000000001</v>
      </c>
      <c r="Q82" s="1067">
        <v>32.561348000000002</v>
      </c>
      <c r="R82" s="1067">
        <v>33.352730000000001</v>
      </c>
      <c r="S82" s="1067">
        <v>33.489016999999997</v>
      </c>
      <c r="T82" s="1067">
        <v>34.046703000000001</v>
      </c>
      <c r="U82" s="1067">
        <v>34.326427000000002</v>
      </c>
      <c r="V82" s="1067">
        <v>34.303291000000002</v>
      </c>
      <c r="W82" s="1067">
        <v>34.076405000000001</v>
      </c>
      <c r="X82" s="1067">
        <v>34.105117999999997</v>
      </c>
      <c r="Y82" s="1067">
        <v>34.184669</v>
      </c>
      <c r="Z82" s="1067">
        <v>34.290134000000002</v>
      </c>
      <c r="AA82" s="1067">
        <v>34.319408000000003</v>
      </c>
      <c r="AB82" s="1067">
        <v>34.416462000000003</v>
      </c>
      <c r="AC82" s="1067">
        <v>34.726405999999997</v>
      </c>
      <c r="AD82" s="1067">
        <v>34.904162999999997</v>
      </c>
      <c r="AE82" s="1067">
        <v>35.063048999999999</v>
      </c>
      <c r="AF82" s="1067">
        <v>35.177726999999997</v>
      </c>
      <c r="AG82" s="1067">
        <v>35.337353</v>
      </c>
      <c r="AH82" s="1067">
        <v>35.506706000000001</v>
      </c>
      <c r="AI82" s="1067">
        <v>35.725586</v>
      </c>
      <c r="AJ82" s="1067">
        <v>35.884253999999999</v>
      </c>
      <c r="AK82" s="1067">
        <v>36.154865000000001</v>
      </c>
      <c r="AL82" s="1067">
        <v>36.608756999999997</v>
      </c>
      <c r="AM82" s="1067">
        <v>37.082008000000002</v>
      </c>
      <c r="AN82" s="1067">
        <v>37.502094</v>
      </c>
      <c r="AO82" s="1067">
        <v>37.842292999999998</v>
      </c>
      <c r="AP82" s="1067">
        <v>38.16151</v>
      </c>
      <c r="AQ82" s="1067">
        <v>38.618450000000003</v>
      </c>
      <c r="AR82" s="1067">
        <v>38.850749999999998</v>
      </c>
      <c r="AS82" s="1065"/>
      <c r="AT82" s="1065"/>
      <c r="AU82" s="1065"/>
      <c r="AV82" s="1065"/>
      <c r="AW82" s="1065"/>
      <c r="AX82" s="1065"/>
      <c r="AY82" s="1065"/>
      <c r="AZ82" s="1065"/>
      <c r="BA82" s="1065"/>
      <c r="BB82" s="1065"/>
      <c r="BC82" s="1065"/>
      <c r="BD82" s="1065"/>
      <c r="BE82" s="1065"/>
      <c r="BF82" s="1065"/>
      <c r="BG82" s="1065"/>
      <c r="BH82" s="1065"/>
      <c r="BI82" s="1065"/>
      <c r="BJ82" s="1065"/>
      <c r="BK82" s="1065"/>
      <c r="BL82" s="1065"/>
      <c r="BM82" s="1065"/>
      <c r="BN82" s="1065"/>
      <c r="BO82" s="1065"/>
      <c r="BP82" s="1065"/>
      <c r="BQ82" s="1065"/>
      <c r="BR82" s="1065"/>
      <c r="BS82" s="1065"/>
      <c r="BT82" s="1065"/>
      <c r="BU82" s="1065"/>
      <c r="BV82" s="1068"/>
    </row>
    <row r="83" spans="1:104" x14ac:dyDescent="0.25">
      <c r="D83" s="1098"/>
      <c r="E83" s="978"/>
    </row>
    <row r="84" spans="1:104" x14ac:dyDescent="0.25">
      <c r="D84" s="1098"/>
    </row>
    <row r="85" spans="1:104" ht="13" thickBot="1" x14ac:dyDescent="0.3">
      <c r="D85" s="1098"/>
    </row>
    <row r="86" spans="1:104" ht="13.5" thickTop="1" x14ac:dyDescent="0.3">
      <c r="A86" s="870" t="s">
        <v>1107</v>
      </c>
      <c r="B86" s="871" t="str">
        <f>"Prices are in $(" &amp; ref_year&amp;")/GJ LHV"</f>
        <v>Prices are in $(2016)/GJ LHV</v>
      </c>
      <c r="C86" s="871"/>
      <c r="D86" s="1257"/>
      <c r="E86" s="871"/>
      <c r="F86" s="872"/>
      <c r="G86" s="872"/>
      <c r="H86" s="872"/>
      <c r="I86" s="872"/>
      <c r="J86" s="872"/>
      <c r="K86" s="872"/>
      <c r="L86" s="872"/>
      <c r="M86" s="872"/>
      <c r="N86" s="872"/>
      <c r="O86" s="872"/>
      <c r="P86" s="872"/>
      <c r="Q86" s="872"/>
      <c r="R86" s="872"/>
      <c r="S86" s="872"/>
      <c r="T86" s="872"/>
      <c r="U86" s="872"/>
      <c r="V86" s="872"/>
      <c r="W86" s="872"/>
      <c r="X86" s="872"/>
      <c r="Y86" s="872"/>
      <c r="Z86" s="872"/>
      <c r="AA86" s="872"/>
      <c r="AB86" s="872"/>
      <c r="AC86" s="872"/>
      <c r="AD86" s="872"/>
      <c r="AE86" s="872"/>
      <c r="AF86" s="872"/>
      <c r="AG86" s="872"/>
      <c r="AH86" s="872"/>
      <c r="AI86" s="872"/>
      <c r="AJ86" s="872"/>
      <c r="AK86" s="872"/>
      <c r="AL86" s="872"/>
      <c r="AM86" s="872"/>
      <c r="AN86" s="872"/>
      <c r="AO86" s="872"/>
      <c r="AP86" s="872"/>
      <c r="AQ86" s="872"/>
      <c r="AR86" s="872"/>
      <c r="AS86" s="885" t="s">
        <v>772</v>
      </c>
      <c r="AT86" s="886"/>
      <c r="AU86" s="886"/>
      <c r="AV86" s="886"/>
      <c r="AW86" s="886"/>
      <c r="AX86" s="886"/>
      <c r="AY86" s="886"/>
      <c r="AZ86" s="886"/>
      <c r="BA86" s="886"/>
      <c r="BB86" s="886"/>
      <c r="BC86" s="886"/>
      <c r="BD86" s="886"/>
      <c r="BE86" s="886"/>
      <c r="BF86" s="886"/>
      <c r="BG86" s="886"/>
      <c r="BH86" s="886"/>
      <c r="BI86" s="886"/>
      <c r="BJ86" s="886"/>
      <c r="BK86" s="886"/>
      <c r="BL86" s="886"/>
      <c r="BM86" s="886"/>
      <c r="BN86" s="886"/>
      <c r="BO86" s="886"/>
      <c r="BP86" s="886"/>
      <c r="BQ86" s="886"/>
      <c r="BR86" s="886"/>
      <c r="BS86" s="886"/>
      <c r="BT86" s="886"/>
      <c r="BU86" s="886"/>
      <c r="BV86" s="887"/>
    </row>
    <row r="87" spans="1:104" ht="39.5" thickBot="1" x14ac:dyDescent="0.35">
      <c r="A87" s="1124" t="s">
        <v>1084</v>
      </c>
      <c r="B87" s="1125" t="s">
        <v>678</v>
      </c>
      <c r="C87" s="1125" t="s">
        <v>679</v>
      </c>
      <c r="D87" s="1258" t="s">
        <v>690</v>
      </c>
      <c r="E87" s="1125" t="s">
        <v>691</v>
      </c>
      <c r="F87" s="1126" t="s">
        <v>680</v>
      </c>
      <c r="G87" s="1126" t="s">
        <v>692</v>
      </c>
      <c r="H87" s="892">
        <v>2004</v>
      </c>
      <c r="I87" s="892">
        <v>2005</v>
      </c>
      <c r="J87" s="892">
        <v>2006</v>
      </c>
      <c r="K87" s="892">
        <v>2007</v>
      </c>
      <c r="L87" s="892">
        <v>2008</v>
      </c>
      <c r="M87" s="892">
        <v>2009</v>
      </c>
      <c r="N87" s="892">
        <v>2010</v>
      </c>
      <c r="O87" s="892">
        <v>2011</v>
      </c>
      <c r="P87" s="892">
        <v>2012</v>
      </c>
      <c r="Q87" s="892">
        <v>2013</v>
      </c>
      <c r="R87" s="892">
        <v>2014</v>
      </c>
      <c r="S87" s="892">
        <v>2015</v>
      </c>
      <c r="T87" s="892">
        <v>2016</v>
      </c>
      <c r="U87" s="892">
        <v>2017</v>
      </c>
      <c r="V87" s="892">
        <v>2018</v>
      </c>
      <c r="W87" s="892">
        <v>2019</v>
      </c>
      <c r="X87" s="892">
        <v>2020</v>
      </c>
      <c r="Y87" s="892">
        <v>2021</v>
      </c>
      <c r="Z87" s="892">
        <v>2022</v>
      </c>
      <c r="AA87" s="892">
        <v>2023</v>
      </c>
      <c r="AB87" s="892">
        <v>2024</v>
      </c>
      <c r="AC87" s="892">
        <v>2025</v>
      </c>
      <c r="AD87" s="892">
        <v>2026</v>
      </c>
      <c r="AE87" s="892">
        <v>2027</v>
      </c>
      <c r="AF87" s="892">
        <v>2028</v>
      </c>
      <c r="AG87" s="892">
        <v>2029</v>
      </c>
      <c r="AH87" s="892">
        <v>2030</v>
      </c>
      <c r="AI87" s="892">
        <v>2031</v>
      </c>
      <c r="AJ87" s="892">
        <v>2032</v>
      </c>
      <c r="AK87" s="892">
        <v>2033</v>
      </c>
      <c r="AL87" s="892">
        <v>2034</v>
      </c>
      <c r="AM87" s="892">
        <v>2035</v>
      </c>
      <c r="AN87" s="892">
        <v>2036</v>
      </c>
      <c r="AO87" s="892">
        <v>2037</v>
      </c>
      <c r="AP87" s="892">
        <v>2038</v>
      </c>
      <c r="AQ87" s="892">
        <v>2039</v>
      </c>
      <c r="AR87" s="892">
        <v>2040</v>
      </c>
      <c r="AS87" s="892">
        <v>2041</v>
      </c>
      <c r="AT87" s="892">
        <v>2042</v>
      </c>
      <c r="AU87" s="892">
        <v>2043</v>
      </c>
      <c r="AV87" s="892">
        <v>2044</v>
      </c>
      <c r="AW87" s="892">
        <v>2045</v>
      </c>
      <c r="AX87" s="892">
        <v>2046</v>
      </c>
      <c r="AY87" s="892">
        <v>2047</v>
      </c>
      <c r="AZ87" s="892">
        <v>2048</v>
      </c>
      <c r="BA87" s="892">
        <v>2049</v>
      </c>
      <c r="BB87" s="892">
        <v>2050</v>
      </c>
      <c r="BC87" s="892">
        <v>2051</v>
      </c>
      <c r="BD87" s="892">
        <v>2052</v>
      </c>
      <c r="BE87" s="892">
        <v>2053</v>
      </c>
      <c r="BF87" s="892">
        <v>2054</v>
      </c>
      <c r="BG87" s="892">
        <v>2055</v>
      </c>
      <c r="BH87" s="892">
        <v>2056</v>
      </c>
      <c r="BI87" s="892">
        <v>2057</v>
      </c>
      <c r="BJ87" s="892">
        <v>2058</v>
      </c>
      <c r="BK87" s="892">
        <v>2059</v>
      </c>
      <c r="BL87" s="892">
        <v>2060</v>
      </c>
      <c r="BM87" s="892">
        <v>2061</v>
      </c>
      <c r="BN87" s="892">
        <v>2062</v>
      </c>
      <c r="BO87" s="892">
        <v>2063</v>
      </c>
      <c r="BP87" s="892">
        <v>2064</v>
      </c>
      <c r="BQ87" s="892">
        <v>2065</v>
      </c>
      <c r="BR87" s="892">
        <v>2066</v>
      </c>
      <c r="BS87" s="892">
        <v>2067</v>
      </c>
      <c r="BT87" s="892">
        <v>2068</v>
      </c>
      <c r="BU87" s="892">
        <v>2069</v>
      </c>
      <c r="BV87" s="893">
        <v>2070</v>
      </c>
      <c r="BW87" s="1401">
        <f t="shared" ref="BW87" si="191">+BV87+1</f>
        <v>2071</v>
      </c>
      <c r="BX87" s="1401">
        <f t="shared" ref="BX87" si="192">+BW87+1</f>
        <v>2072</v>
      </c>
      <c r="BY87" s="1401">
        <f t="shared" ref="BY87" si="193">+BX87+1</f>
        <v>2073</v>
      </c>
      <c r="BZ87" s="1401">
        <f t="shared" ref="BZ87" si="194">+BY87+1</f>
        <v>2074</v>
      </c>
      <c r="CA87" s="1401">
        <f t="shared" ref="CA87" si="195">+BZ87+1</f>
        <v>2075</v>
      </c>
      <c r="CB87" s="1401">
        <f t="shared" ref="CB87" si="196">+CA87+1</f>
        <v>2076</v>
      </c>
      <c r="CC87" s="1401">
        <f t="shared" ref="CC87" si="197">+CB87+1</f>
        <v>2077</v>
      </c>
      <c r="CD87" s="1401">
        <f t="shared" ref="CD87" si="198">+CC87+1</f>
        <v>2078</v>
      </c>
      <c r="CE87" s="1401">
        <f t="shared" ref="CE87" si="199">+CD87+1</f>
        <v>2079</v>
      </c>
      <c r="CF87" s="1401">
        <f t="shared" ref="CF87" si="200">+CE87+1</f>
        <v>2080</v>
      </c>
      <c r="CG87" s="1401">
        <f t="shared" ref="CG87" si="201">+CF87+1</f>
        <v>2081</v>
      </c>
      <c r="CH87" s="1401">
        <f t="shared" ref="CH87" si="202">+CG87+1</f>
        <v>2082</v>
      </c>
      <c r="CI87" s="1401">
        <f t="shared" ref="CI87" si="203">+CH87+1</f>
        <v>2083</v>
      </c>
      <c r="CJ87" s="1401">
        <f t="shared" ref="CJ87" si="204">+CI87+1</f>
        <v>2084</v>
      </c>
      <c r="CK87" s="1401">
        <f t="shared" ref="CK87" si="205">+CJ87+1</f>
        <v>2085</v>
      </c>
      <c r="CL87" s="1401">
        <f t="shared" ref="CL87" si="206">+CK87+1</f>
        <v>2086</v>
      </c>
      <c r="CM87" s="1401">
        <f t="shared" ref="CM87" si="207">+CL87+1</f>
        <v>2087</v>
      </c>
      <c r="CN87" s="1401">
        <f t="shared" ref="CN87" si="208">+CM87+1</f>
        <v>2088</v>
      </c>
      <c r="CO87" s="1401">
        <f t="shared" ref="CO87" si="209">+CN87+1</f>
        <v>2089</v>
      </c>
      <c r="CP87" s="1401">
        <f t="shared" ref="CP87" si="210">+CO87+1</f>
        <v>2090</v>
      </c>
      <c r="CQ87" s="1401">
        <f t="shared" ref="CQ87" si="211">+CP87+1</f>
        <v>2091</v>
      </c>
      <c r="CR87" s="1401">
        <f t="shared" ref="CR87" si="212">+CQ87+1</f>
        <v>2092</v>
      </c>
      <c r="CS87" s="1401">
        <f t="shared" ref="CS87" si="213">+CR87+1</f>
        <v>2093</v>
      </c>
      <c r="CT87" s="1401">
        <f t="shared" ref="CT87" si="214">+CS87+1</f>
        <v>2094</v>
      </c>
      <c r="CU87" s="1401">
        <f t="shared" ref="CU87" si="215">+CT87+1</f>
        <v>2095</v>
      </c>
      <c r="CV87" s="1401">
        <f t="shared" ref="CV87" si="216">+CU87+1</f>
        <v>2096</v>
      </c>
      <c r="CW87" s="1401">
        <f t="shared" ref="CW87" si="217">+CV87+1</f>
        <v>2097</v>
      </c>
      <c r="CX87" s="1401">
        <f t="shared" ref="CX87" si="218">+CW87+1</f>
        <v>2098</v>
      </c>
      <c r="CY87" s="1401">
        <f t="shared" ref="CY87" si="219">+CX87+1</f>
        <v>2099</v>
      </c>
      <c r="CZ87" s="1401">
        <f t="shared" ref="CZ87" si="220">+CY87+1</f>
        <v>2100</v>
      </c>
    </row>
    <row r="88" spans="1:104" ht="13" thickBot="1" x14ac:dyDescent="0.3">
      <c r="A88" s="873" t="s">
        <v>1090</v>
      </c>
      <c r="B88" s="874"/>
      <c r="C88" s="874"/>
      <c r="D88" s="1259"/>
      <c r="E88" s="874"/>
      <c r="F88" s="874"/>
      <c r="G88" s="874"/>
      <c r="H88" s="962"/>
      <c r="I88" s="962"/>
      <c r="J88" s="962"/>
      <c r="K88" s="962"/>
      <c r="L88" s="962"/>
      <c r="M88" s="962"/>
      <c r="N88" s="962"/>
      <c r="O88" s="962"/>
      <c r="P88" s="962"/>
      <c r="Q88" s="962"/>
      <c r="R88" s="962"/>
      <c r="S88" s="962"/>
      <c r="T88" s="962"/>
      <c r="U88" s="962"/>
      <c r="V88" s="962"/>
      <c r="W88" s="962"/>
      <c r="X88" s="962"/>
      <c r="Y88" s="962"/>
      <c r="Z88" s="962"/>
      <c r="AA88" s="962"/>
      <c r="AB88" s="962"/>
      <c r="AC88" s="962"/>
      <c r="AD88" s="962"/>
      <c r="AE88" s="962"/>
      <c r="AF88" s="962"/>
      <c r="AG88" s="962"/>
      <c r="AH88" s="962"/>
      <c r="AI88" s="962"/>
      <c r="AJ88" s="962"/>
      <c r="AK88" s="962"/>
      <c r="AL88" s="962"/>
      <c r="AM88" s="962"/>
      <c r="AN88" s="962"/>
      <c r="AO88" s="962"/>
      <c r="AP88" s="962"/>
      <c r="AQ88" s="962"/>
      <c r="AR88" s="962"/>
      <c r="AS88" s="962"/>
      <c r="AT88" s="962"/>
      <c r="AU88" s="962"/>
      <c r="AV88" s="962"/>
      <c r="AW88" s="962"/>
      <c r="AX88" s="962"/>
      <c r="AY88" s="962"/>
      <c r="AZ88" s="962"/>
      <c r="BA88" s="962"/>
      <c r="BC88" s="962"/>
      <c r="BD88" s="962"/>
      <c r="BE88" s="962"/>
      <c r="BF88" s="962"/>
      <c r="BG88" s="962"/>
      <c r="BH88" s="962"/>
      <c r="BI88" s="962"/>
      <c r="BJ88" s="962"/>
      <c r="BK88" s="962"/>
      <c r="BL88" s="962"/>
      <c r="BM88" s="962"/>
      <c r="BN88" s="962"/>
      <c r="BO88" s="962"/>
      <c r="BP88" s="962"/>
      <c r="BR88" s="962"/>
      <c r="BS88" s="962"/>
      <c r="BT88" s="962"/>
      <c r="BU88" s="962"/>
    </row>
    <row r="89" spans="1:104" ht="13" x14ac:dyDescent="0.3">
      <c r="A89" s="876" t="str">
        <f>'HyARC Physical Property Data'!A73</f>
        <v>Residential Natural Gas</v>
      </c>
      <c r="B89" s="264">
        <v>2012</v>
      </c>
      <c r="C89" s="877">
        <f t="shared" ref="C89:C100" si="221">VLOOKUP(ref_year,DeflatorTable,2,FALSE)/VLOOKUP(B89,DeflatorTable,2,FALSE)</f>
        <v>1.0589185747008452</v>
      </c>
      <c r="D89" s="1260" t="str">
        <f>'HyARC Physical Property Data'!H73</f>
        <v>mmBtu</v>
      </c>
      <c r="E89" s="877" t="s">
        <v>1058</v>
      </c>
      <c r="F89" s="264">
        <f>'HyARC Physical Property Data'!$E$6</f>
        <v>47.141269049911173</v>
      </c>
      <c r="G89" s="264">
        <f>'HyARC Physical Property Data'!$I$6</f>
        <v>52.224661236371581</v>
      </c>
      <c r="H89" s="1070">
        <v>12.595706345448797</v>
      </c>
      <c r="I89" s="1070">
        <v>12.595706345448797</v>
      </c>
      <c r="J89" s="1070">
        <v>12.595706345448797</v>
      </c>
      <c r="K89" s="1070">
        <v>12.595706345448797</v>
      </c>
      <c r="L89" s="1070">
        <v>13.121338604068761</v>
      </c>
      <c r="M89" s="1070">
        <v>11.086947084595193</v>
      </c>
      <c r="N89" s="1070">
        <v>10.600250548835966</v>
      </c>
      <c r="O89" s="962">
        <f t="shared" ref="O89:AR89" si="222">O106*($C89/mmBTU_to_GJ*$G89/$F89)</f>
        <v>12.2087929242581</v>
      </c>
      <c r="P89" s="962">
        <f t="shared" si="222"/>
        <v>11.62926676611875</v>
      </c>
      <c r="Q89" s="962">
        <f t="shared" si="222"/>
        <v>11.549569006878718</v>
      </c>
      <c r="R89" s="962">
        <f t="shared" si="222"/>
        <v>12.451077492669647</v>
      </c>
      <c r="S89" s="962">
        <f t="shared" si="222"/>
        <v>12.228661210695314</v>
      </c>
      <c r="T89" s="962">
        <f t="shared" si="222"/>
        <v>11.880721569489316</v>
      </c>
      <c r="U89" s="962">
        <f t="shared" si="222"/>
        <v>12.243181027367417</v>
      </c>
      <c r="V89" s="962">
        <f t="shared" si="222"/>
        <v>12.738447103720736</v>
      </c>
      <c r="W89" s="962">
        <f t="shared" si="222"/>
        <v>12.928721417497503</v>
      </c>
      <c r="X89" s="962">
        <f t="shared" si="222"/>
        <v>12.889662020940529</v>
      </c>
      <c r="Y89" s="962">
        <f t="shared" si="222"/>
        <v>13.126157788188424</v>
      </c>
      <c r="Z89" s="962">
        <f t="shared" si="222"/>
        <v>13.227924378910403</v>
      </c>
      <c r="AA89" s="962">
        <f t="shared" si="222"/>
        <v>13.406700038666168</v>
      </c>
      <c r="AB89" s="962">
        <f t="shared" si="222"/>
        <v>13.682684414389822</v>
      </c>
      <c r="AC89" s="962">
        <f t="shared" si="222"/>
        <v>13.872072505629625</v>
      </c>
      <c r="AD89" s="962">
        <f t="shared" si="222"/>
        <v>13.98822325537062</v>
      </c>
      <c r="AE89" s="962">
        <f t="shared" si="222"/>
        <v>14.139968571775018</v>
      </c>
      <c r="AF89" s="962">
        <f t="shared" si="222"/>
        <v>14.341810480347306</v>
      </c>
      <c r="AG89" s="962">
        <f t="shared" si="222"/>
        <v>14.660154514221039</v>
      </c>
      <c r="AH89" s="962">
        <f t="shared" si="222"/>
        <v>15.014507871353267</v>
      </c>
      <c r="AI89" s="962">
        <f t="shared" si="222"/>
        <v>15.178056515524123</v>
      </c>
      <c r="AJ89" s="962">
        <f t="shared" si="222"/>
        <v>15.247180761459282</v>
      </c>
      <c r="AK89" s="962">
        <f t="shared" si="222"/>
        <v>15.504403238981952</v>
      </c>
      <c r="AL89" s="962">
        <f t="shared" si="222"/>
        <v>15.944730189731404</v>
      </c>
      <c r="AM89" s="962">
        <f t="shared" si="222"/>
        <v>16.240765211360355</v>
      </c>
      <c r="AN89" s="962">
        <f t="shared" si="222"/>
        <v>16.673418609126639</v>
      </c>
      <c r="AO89" s="962">
        <f t="shared" si="222"/>
        <v>16.84862158003515</v>
      </c>
      <c r="AP89" s="962">
        <f t="shared" si="222"/>
        <v>16.990523932954982</v>
      </c>
      <c r="AQ89" s="962">
        <f t="shared" si="222"/>
        <v>17.36681602365595</v>
      </c>
      <c r="AR89" s="962">
        <f t="shared" si="222"/>
        <v>17.766490156398653</v>
      </c>
      <c r="AS89" s="962">
        <f>($BB89-$AR89)/10+AR89</f>
        <v>17.817297159388684</v>
      </c>
      <c r="AT89" s="962">
        <f t="shared" ref="AT89:BA89" si="223">($BB89-$AR89)/10+AS89</f>
        <v>17.868104162378714</v>
      </c>
      <c r="AU89" s="962">
        <f t="shared" si="223"/>
        <v>17.918911165368744</v>
      </c>
      <c r="AV89" s="962">
        <f t="shared" si="223"/>
        <v>17.969718168358774</v>
      </c>
      <c r="AW89" s="962">
        <f t="shared" si="223"/>
        <v>18.020525171348805</v>
      </c>
      <c r="AX89" s="962">
        <f t="shared" si="223"/>
        <v>18.071332174338835</v>
      </c>
      <c r="AY89" s="962">
        <f t="shared" si="223"/>
        <v>18.122139177328865</v>
      </c>
      <c r="AZ89" s="962">
        <f t="shared" si="223"/>
        <v>18.172946180318895</v>
      </c>
      <c r="BA89" s="962">
        <f t="shared" si="223"/>
        <v>18.223753183308926</v>
      </c>
      <c r="BB89" s="964">
        <f>'AEO Data'!$B$30*AM89</f>
        <v>18.274560186298949</v>
      </c>
      <c r="BC89" s="962">
        <f t="shared" ref="BC89:BP92" si="224">($BQ89-$BB89)/15+BB89</f>
        <v>18.423467349139123</v>
      </c>
      <c r="BD89" s="962">
        <f t="shared" si="224"/>
        <v>18.572374511979298</v>
      </c>
      <c r="BE89" s="962">
        <f t="shared" si="224"/>
        <v>18.721281674819473</v>
      </c>
      <c r="BF89" s="962">
        <f t="shared" si="224"/>
        <v>18.870188837659647</v>
      </c>
      <c r="BG89" s="962">
        <f t="shared" si="224"/>
        <v>19.019096000499822</v>
      </c>
      <c r="BH89" s="962">
        <f t="shared" si="224"/>
        <v>19.168003163339996</v>
      </c>
      <c r="BI89" s="962">
        <f t="shared" si="224"/>
        <v>19.316910326180171</v>
      </c>
      <c r="BJ89" s="962">
        <f t="shared" si="224"/>
        <v>19.465817489020345</v>
      </c>
      <c r="BK89" s="962">
        <f t="shared" si="224"/>
        <v>19.61472465186052</v>
      </c>
      <c r="BL89" s="962">
        <f t="shared" si="224"/>
        <v>19.763631814700695</v>
      </c>
      <c r="BM89" s="962">
        <f t="shared" si="224"/>
        <v>19.912538977540869</v>
      </c>
      <c r="BN89" s="962">
        <f t="shared" si="224"/>
        <v>20.061446140381044</v>
      </c>
      <c r="BO89" s="962">
        <f t="shared" si="224"/>
        <v>20.210353303221218</v>
      </c>
      <c r="BP89" s="962">
        <f t="shared" si="224"/>
        <v>20.359260466061393</v>
      </c>
      <c r="BQ89" s="964">
        <f>'AEO Data'!$C$30*BB89</f>
        <v>20.508167628901592</v>
      </c>
      <c r="BR89" s="962">
        <f t="shared" ref="BR89:BU92" si="225">($BV89-$BQ89)/5+BQ89</f>
        <v>20.62538963666017</v>
      </c>
      <c r="BS89" s="962">
        <f t="shared" si="225"/>
        <v>20.742611644418748</v>
      </c>
      <c r="BT89" s="962">
        <f t="shared" si="225"/>
        <v>20.859833652177326</v>
      </c>
      <c r="BU89" s="962">
        <f t="shared" si="225"/>
        <v>20.977055659935903</v>
      </c>
      <c r="BV89" s="965">
        <f>'AEO Data'!$D$30*BQ89</f>
        <v>21.094277667694488</v>
      </c>
      <c r="BW89" s="1400">
        <f>+BV89*BW$133/BV$133</f>
        <v>21.164316872120814</v>
      </c>
      <c r="BX89" s="1400">
        <f t="shared" ref="BX89:CZ89" si="226">+BW89*BX$133/BW$133</f>
        <v>21.234588627300191</v>
      </c>
      <c r="BY89" s="1400">
        <f t="shared" si="226"/>
        <v>21.305093705369501</v>
      </c>
      <c r="BZ89" s="1400">
        <f t="shared" si="226"/>
        <v>21.375832881029339</v>
      </c>
      <c r="CA89" s="1400">
        <f t="shared" si="226"/>
        <v>21.446806931552544</v>
      </c>
      <c r="CB89" s="1400">
        <f t="shared" si="226"/>
        <v>21.492572878539132</v>
      </c>
      <c r="CC89" s="1400">
        <f t="shared" si="226"/>
        <v>21.538436486772465</v>
      </c>
      <c r="CD89" s="1400">
        <f t="shared" si="226"/>
        <v>21.584397964654634</v>
      </c>
      <c r="CE89" s="1400">
        <f t="shared" si="226"/>
        <v>21.630457521032444</v>
      </c>
      <c r="CF89" s="1400">
        <f t="shared" si="226"/>
        <v>21.676615365198366</v>
      </c>
      <c r="CG89" s="1400">
        <f t="shared" si="226"/>
        <v>21.691602524401322</v>
      </c>
      <c r="CH89" s="1400">
        <f t="shared" si="226"/>
        <v>21.706600045689747</v>
      </c>
      <c r="CI89" s="1400">
        <f t="shared" si="226"/>
        <v>21.721607936227954</v>
      </c>
      <c r="CJ89" s="1400">
        <f t="shared" si="226"/>
        <v>21.736626203185217</v>
      </c>
      <c r="CK89" s="1400">
        <f t="shared" si="226"/>
        <v>21.751654853735772</v>
      </c>
      <c r="CL89" s="1400">
        <f t="shared" si="226"/>
        <v>21.756748899145897</v>
      </c>
      <c r="CM89" s="1400">
        <f t="shared" si="226"/>
        <v>21.76184413753646</v>
      </c>
      <c r="CN89" s="1400">
        <f t="shared" si="226"/>
        <v>21.766940569186843</v>
      </c>
      <c r="CO89" s="1400">
        <f t="shared" si="226"/>
        <v>21.772038194376496</v>
      </c>
      <c r="CP89" s="1400">
        <f t="shared" si="226"/>
        <v>21.777137013384934</v>
      </c>
      <c r="CQ89" s="1400">
        <f t="shared" si="226"/>
        <v>21.784864763140046</v>
      </c>
      <c r="CR89" s="1400">
        <f t="shared" si="226"/>
        <v>21.792595255134241</v>
      </c>
      <c r="CS89" s="1400">
        <f t="shared" si="226"/>
        <v>21.800328490340622</v>
      </c>
      <c r="CT89" s="1400">
        <f t="shared" si="226"/>
        <v>21.808064469732635</v>
      </c>
      <c r="CU89" s="1400">
        <f t="shared" si="226"/>
        <v>21.815803194284069</v>
      </c>
      <c r="CV89" s="1400">
        <f t="shared" si="226"/>
        <v>21.827713124132313</v>
      </c>
      <c r="CW89" s="1400">
        <f t="shared" si="226"/>
        <v>21.839629555984068</v>
      </c>
      <c r="CX89" s="1400">
        <f t="shared" si="226"/>
        <v>21.851552493388983</v>
      </c>
      <c r="CY89" s="1400">
        <f t="shared" si="226"/>
        <v>21.863481939898644</v>
      </c>
      <c r="CZ89" s="1400">
        <f t="shared" si="226"/>
        <v>21.875417899066573</v>
      </c>
    </row>
    <row r="90" spans="1:104" ht="13" x14ac:dyDescent="0.3">
      <c r="A90" s="876" t="str">
        <f>'HyARC Physical Property Data'!A71</f>
        <v>Commercial Natural Gas</v>
      </c>
      <c r="B90" s="264">
        <v>2012</v>
      </c>
      <c r="C90" s="877">
        <f t="shared" si="221"/>
        <v>1.0589185747008452</v>
      </c>
      <c r="D90" s="1260" t="str">
        <f>'HyARC Physical Property Data'!H71</f>
        <v>mmBtu</v>
      </c>
      <c r="E90" s="877" t="s">
        <v>1058</v>
      </c>
      <c r="F90" s="264">
        <f>'HyARC Physical Property Data'!$E$6</f>
        <v>47.141269049911173</v>
      </c>
      <c r="G90" s="264">
        <f>'HyARC Physical Property Data'!$I$6</f>
        <v>52.224661236371581</v>
      </c>
      <c r="H90" s="1071">
        <v>10.902002401006685</v>
      </c>
      <c r="I90" s="1071">
        <v>10.902002401006685</v>
      </c>
      <c r="J90" s="1071">
        <v>10.902002401006685</v>
      </c>
      <c r="K90" s="1071">
        <v>10.902002401006685</v>
      </c>
      <c r="L90" s="1071">
        <v>11.622313273930342</v>
      </c>
      <c r="M90" s="1071">
        <v>8.8092072972420112</v>
      </c>
      <c r="N90" s="1071">
        <v>8.4393179300649965</v>
      </c>
      <c r="O90" s="264">
        <f t="shared" ref="O90:AR90" si="227">O107*($C90/mmBTU_to_GJ*$G90/$F90)</f>
        <v>9.9639823425462914</v>
      </c>
      <c r="P90" s="264">
        <f t="shared" si="227"/>
        <v>9.0210827052924731</v>
      </c>
      <c r="Q90" s="264">
        <f t="shared" si="227"/>
        <v>9.2425705107067522</v>
      </c>
      <c r="R90" s="264">
        <f t="shared" si="227"/>
        <v>10.103223803959281</v>
      </c>
      <c r="S90" s="264">
        <f t="shared" si="227"/>
        <v>9.9169647343242655</v>
      </c>
      <c r="T90" s="264">
        <f t="shared" si="227"/>
        <v>9.6996011439533945</v>
      </c>
      <c r="U90" s="264">
        <f t="shared" si="227"/>
        <v>10.015602303441456</v>
      </c>
      <c r="V90" s="264">
        <f t="shared" si="227"/>
        <v>10.462516434001412</v>
      </c>
      <c r="W90" s="264">
        <f t="shared" si="227"/>
        <v>10.615177995538126</v>
      </c>
      <c r="X90" s="264">
        <f t="shared" si="227"/>
        <v>10.553246941060452</v>
      </c>
      <c r="Y90" s="264">
        <f t="shared" si="227"/>
        <v>10.769181678282015</v>
      </c>
      <c r="Z90" s="264">
        <f t="shared" si="227"/>
        <v>10.850924309850123</v>
      </c>
      <c r="AA90" s="264">
        <f t="shared" si="227"/>
        <v>11.006898364407682</v>
      </c>
      <c r="AB90" s="264">
        <f t="shared" si="227"/>
        <v>11.260741632030943</v>
      </c>
      <c r="AC90" s="264">
        <f t="shared" si="227"/>
        <v>11.438522098348088</v>
      </c>
      <c r="AD90" s="264">
        <f t="shared" si="227"/>
        <v>11.543080790438088</v>
      </c>
      <c r="AE90" s="264">
        <f t="shared" si="227"/>
        <v>11.671986695413095</v>
      </c>
      <c r="AF90" s="264">
        <f t="shared" si="227"/>
        <v>11.850279769747228</v>
      </c>
      <c r="AG90" s="264">
        <f t="shared" si="227"/>
        <v>12.132482158553312</v>
      </c>
      <c r="AH90" s="264">
        <f t="shared" si="227"/>
        <v>12.445283131766116</v>
      </c>
      <c r="AI90" s="264">
        <f t="shared" si="227"/>
        <v>12.558691817798014</v>
      </c>
      <c r="AJ90" s="264">
        <f t="shared" si="227"/>
        <v>12.5569093651923</v>
      </c>
      <c r="AK90" s="264">
        <f t="shared" si="227"/>
        <v>12.763364745917485</v>
      </c>
      <c r="AL90" s="264">
        <f t="shared" si="227"/>
        <v>13.063076979503446</v>
      </c>
      <c r="AM90" s="264">
        <f t="shared" si="227"/>
        <v>13.291592296126769</v>
      </c>
      <c r="AN90" s="264">
        <f t="shared" si="227"/>
        <v>13.636518558317496</v>
      </c>
      <c r="AO90" s="264">
        <f t="shared" si="227"/>
        <v>13.752890585705739</v>
      </c>
      <c r="AP90" s="264">
        <f t="shared" si="227"/>
        <v>13.853987783746099</v>
      </c>
      <c r="AQ90" s="264">
        <f t="shared" si="227"/>
        <v>14.183892740727496</v>
      </c>
      <c r="AR90" s="264">
        <f t="shared" si="227"/>
        <v>14.541374007516533</v>
      </c>
      <c r="AS90" s="264">
        <f t="shared" ref="AS90:BA90" si="228">($BB90-$AR90)/10+AR90</f>
        <v>14.582843496133675</v>
      </c>
      <c r="AT90" s="264">
        <f t="shared" si="228"/>
        <v>14.624312984750818</v>
      </c>
      <c r="AU90" s="264">
        <f t="shared" si="228"/>
        <v>14.66578247336796</v>
      </c>
      <c r="AV90" s="264">
        <f t="shared" si="228"/>
        <v>14.707251961985103</v>
      </c>
      <c r="AW90" s="264">
        <f t="shared" si="228"/>
        <v>14.748721450602245</v>
      </c>
      <c r="AX90" s="264">
        <f t="shared" si="228"/>
        <v>14.790190939219388</v>
      </c>
      <c r="AY90" s="264">
        <f t="shared" si="228"/>
        <v>14.83166042783653</v>
      </c>
      <c r="AZ90" s="264">
        <f t="shared" si="228"/>
        <v>14.873129916453673</v>
      </c>
      <c r="BA90" s="264">
        <f t="shared" si="228"/>
        <v>14.914599405070815</v>
      </c>
      <c r="BB90" s="942">
        <f>'AEO Data'!$B$30*AM90</f>
        <v>14.956068893687954</v>
      </c>
      <c r="BC90" s="264">
        <f t="shared" si="224"/>
        <v>15.077935891497892</v>
      </c>
      <c r="BD90" s="264">
        <f t="shared" si="224"/>
        <v>15.199802889307831</v>
      </c>
      <c r="BE90" s="264">
        <f t="shared" si="224"/>
        <v>15.321669887117769</v>
      </c>
      <c r="BF90" s="264">
        <f t="shared" si="224"/>
        <v>15.443536884927708</v>
      </c>
      <c r="BG90" s="264">
        <f t="shared" si="224"/>
        <v>15.565403882737646</v>
      </c>
      <c r="BH90" s="264">
        <f t="shared" si="224"/>
        <v>15.687270880547585</v>
      </c>
      <c r="BI90" s="264">
        <f t="shared" si="224"/>
        <v>15.809137878357523</v>
      </c>
      <c r="BJ90" s="264">
        <f t="shared" si="224"/>
        <v>15.931004876167462</v>
      </c>
      <c r="BK90" s="264">
        <f t="shared" si="224"/>
        <v>16.052871873977402</v>
      </c>
      <c r="BL90" s="264">
        <f t="shared" si="224"/>
        <v>16.174738871787341</v>
      </c>
      <c r="BM90" s="264">
        <f t="shared" si="224"/>
        <v>16.296605869597279</v>
      </c>
      <c r="BN90" s="264">
        <f t="shared" si="224"/>
        <v>16.418472867407218</v>
      </c>
      <c r="BO90" s="264">
        <f t="shared" si="224"/>
        <v>16.540339865217156</v>
      </c>
      <c r="BP90" s="264">
        <f t="shared" si="224"/>
        <v>16.662206863027095</v>
      </c>
      <c r="BQ90" s="942">
        <f>'AEO Data'!$C$30*BB90</f>
        <v>16.784073860837033</v>
      </c>
      <c r="BR90" s="264">
        <f t="shared" si="225"/>
        <v>16.880009434991543</v>
      </c>
      <c r="BS90" s="264">
        <f t="shared" si="225"/>
        <v>16.975945009146052</v>
      </c>
      <c r="BT90" s="264">
        <f t="shared" si="225"/>
        <v>17.071880583300562</v>
      </c>
      <c r="BU90" s="264">
        <f t="shared" si="225"/>
        <v>17.167816157455071</v>
      </c>
      <c r="BV90" s="966">
        <f>'AEO Data'!$D$30*BQ90</f>
        <v>17.263751731609581</v>
      </c>
      <c r="BW90" s="1400">
        <f>+BV90*BW$134/BV$134</f>
        <v>17.321072463598775</v>
      </c>
      <c r="BX90" s="1400">
        <f t="shared" ref="BX90:CZ90" si="229">+BW90*BX$134/BW$134</f>
        <v>17.378583517272784</v>
      </c>
      <c r="BY90" s="1400">
        <f t="shared" si="229"/>
        <v>17.436285524555561</v>
      </c>
      <c r="BZ90" s="1400">
        <f t="shared" si="229"/>
        <v>17.494179119469241</v>
      </c>
      <c r="CA90" s="1400">
        <f t="shared" si="229"/>
        <v>17.552264938141089</v>
      </c>
      <c r="CB90" s="1400">
        <f t="shared" si="229"/>
        <v>17.589720211982893</v>
      </c>
      <c r="CC90" s="1400">
        <f t="shared" si="229"/>
        <v>17.627255412691312</v>
      </c>
      <c r="CD90" s="1400">
        <f t="shared" si="229"/>
        <v>17.664870710824552</v>
      </c>
      <c r="CE90" s="1400">
        <f t="shared" si="229"/>
        <v>17.702566277304761</v>
      </c>
      <c r="CF90" s="1400">
        <f t="shared" si="229"/>
        <v>17.740342283418837</v>
      </c>
      <c r="CG90" s="1400">
        <f t="shared" si="229"/>
        <v>17.752607912975723</v>
      </c>
      <c r="CH90" s="1400">
        <f t="shared" si="229"/>
        <v>17.764882022959085</v>
      </c>
      <c r="CI90" s="1400">
        <f t="shared" si="229"/>
        <v>17.77716461923227</v>
      </c>
      <c r="CJ90" s="1400">
        <f t="shared" si="229"/>
        <v>17.789455707662682</v>
      </c>
      <c r="CK90" s="1400">
        <f t="shared" si="229"/>
        <v>17.801755294121772</v>
      </c>
      <c r="CL90" s="1400">
        <f t="shared" si="229"/>
        <v>17.805924307948906</v>
      </c>
      <c r="CM90" s="1400">
        <f t="shared" si="229"/>
        <v>17.810094298122248</v>
      </c>
      <c r="CN90" s="1400">
        <f t="shared" si="229"/>
        <v>17.81426526487045</v>
      </c>
      <c r="CO90" s="1400">
        <f t="shared" si="229"/>
        <v>17.818437208422218</v>
      </c>
      <c r="CP90" s="1400">
        <f t="shared" si="229"/>
        <v>17.822610129006311</v>
      </c>
      <c r="CQ90" s="1400">
        <f t="shared" si="229"/>
        <v>17.828934590801964</v>
      </c>
      <c r="CR90" s="1400">
        <f t="shared" si="229"/>
        <v>17.835261296871419</v>
      </c>
      <c r="CS90" s="1400">
        <f t="shared" si="229"/>
        <v>17.84159024801107</v>
      </c>
      <c r="CT90" s="1400">
        <f t="shared" si="229"/>
        <v>17.847921445017597</v>
      </c>
      <c r="CU90" s="1400">
        <f t="shared" si="229"/>
        <v>17.854254888687954</v>
      </c>
      <c r="CV90" s="1400">
        <f t="shared" si="229"/>
        <v>17.864002085310659</v>
      </c>
      <c r="CW90" s="1400">
        <f t="shared" si="229"/>
        <v>17.873754603233113</v>
      </c>
      <c r="CX90" s="1400">
        <f t="shared" si="229"/>
        <v>17.883512445360374</v>
      </c>
      <c r="CY90" s="1400">
        <f t="shared" si="229"/>
        <v>17.893275614599098</v>
      </c>
      <c r="CZ90" s="1400">
        <f t="shared" si="229"/>
        <v>17.903044113857518</v>
      </c>
    </row>
    <row r="91" spans="1:104" ht="13" x14ac:dyDescent="0.3">
      <c r="A91" s="876" t="str">
        <f>'HyARC Physical Property Data'!A72</f>
        <v>Industrial Natural Gas</v>
      </c>
      <c r="B91" s="264">
        <v>2012</v>
      </c>
      <c r="C91" s="877">
        <f t="shared" si="221"/>
        <v>1.0589185747008452</v>
      </c>
      <c r="D91" s="1260" t="str">
        <f>'HyARC Physical Property Data'!H72</f>
        <v>mmBtu</v>
      </c>
      <c r="E91" s="877" t="s">
        <v>1058</v>
      </c>
      <c r="F91" s="264">
        <f>'HyARC Physical Property Data'!$E$6</f>
        <v>47.141269049911173</v>
      </c>
      <c r="G91" s="264">
        <f>'HyARC Physical Property Data'!$I$6</f>
        <v>52.224661236371581</v>
      </c>
      <c r="H91" s="1071">
        <v>7.3783194821098821</v>
      </c>
      <c r="I91" s="1071">
        <v>7.3783194821098821</v>
      </c>
      <c r="J91" s="1071">
        <v>7.3783194821098821</v>
      </c>
      <c r="K91" s="1071">
        <v>7.3783194821098821</v>
      </c>
      <c r="L91" s="1071">
        <v>8.8676108815331158</v>
      </c>
      <c r="M91" s="1071">
        <v>4.0882509003775072</v>
      </c>
      <c r="N91" s="1071">
        <v>4.7404242582948717</v>
      </c>
      <c r="O91" s="264">
        <f t="shared" ref="O91:AR91" si="230">O108*($C91/mmBTU_to_GJ*$G91/$F91)</f>
        <v>5.6639494209981782</v>
      </c>
      <c r="P91" s="264">
        <f t="shared" si="230"/>
        <v>4.1936228360778802</v>
      </c>
      <c r="Q91" s="264">
        <f t="shared" si="230"/>
        <v>5.1091841203909469</v>
      </c>
      <c r="R91" s="264">
        <f t="shared" si="230"/>
        <v>5.3368743716159921</v>
      </c>
      <c r="S91" s="264">
        <f t="shared" si="230"/>
        <v>5.4922435264745477</v>
      </c>
      <c r="T91" s="264">
        <f t="shared" si="230"/>
        <v>5.7249186404765142</v>
      </c>
      <c r="U91" s="264">
        <f t="shared" si="230"/>
        <v>6.0332162243860541</v>
      </c>
      <c r="V91" s="264">
        <f t="shared" si="230"/>
        <v>6.5003155465564157</v>
      </c>
      <c r="W91" s="264">
        <f t="shared" si="230"/>
        <v>6.6134284544266668</v>
      </c>
      <c r="X91" s="264">
        <f t="shared" si="230"/>
        <v>6.4407629487996489</v>
      </c>
      <c r="Y91" s="264">
        <f t="shared" si="230"/>
        <v>6.5991877366965674</v>
      </c>
      <c r="Z91" s="264">
        <f t="shared" si="230"/>
        <v>6.6211298061092361</v>
      </c>
      <c r="AA91" s="264">
        <f t="shared" si="230"/>
        <v>6.729798257918957</v>
      </c>
      <c r="AB91" s="264">
        <f t="shared" si="230"/>
        <v>6.9245136919123249</v>
      </c>
      <c r="AC91" s="264">
        <f t="shared" si="230"/>
        <v>7.0285708954650996</v>
      </c>
      <c r="AD91" s="264">
        <f t="shared" si="230"/>
        <v>7.0676625385133827</v>
      </c>
      <c r="AE91" s="264">
        <f t="shared" si="230"/>
        <v>7.1490882649082979</v>
      </c>
      <c r="AF91" s="264">
        <f t="shared" si="230"/>
        <v>7.2626859820961345</v>
      </c>
      <c r="AG91" s="264">
        <f t="shared" si="230"/>
        <v>7.4897713336221727</v>
      </c>
      <c r="AH91" s="264">
        <f t="shared" si="230"/>
        <v>7.7715211596019786</v>
      </c>
      <c r="AI91" s="264">
        <f t="shared" si="230"/>
        <v>7.8991127420692164</v>
      </c>
      <c r="AJ91" s="264">
        <f t="shared" si="230"/>
        <v>8.0328945389194857</v>
      </c>
      <c r="AK91" s="264">
        <f t="shared" si="230"/>
        <v>8.2510220375499461</v>
      </c>
      <c r="AL91" s="264">
        <f t="shared" si="230"/>
        <v>8.4203839457399265</v>
      </c>
      <c r="AM91" s="264">
        <f t="shared" si="230"/>
        <v>8.6260409478182627</v>
      </c>
      <c r="AN91" s="264">
        <f t="shared" si="230"/>
        <v>8.9436310809641917</v>
      </c>
      <c r="AO91" s="264">
        <f t="shared" si="230"/>
        <v>9.0003437635899601</v>
      </c>
      <c r="AP91" s="264">
        <f t="shared" si="230"/>
        <v>9.040412808909247</v>
      </c>
      <c r="AQ91" s="264">
        <f t="shared" si="230"/>
        <v>9.2706004952886456</v>
      </c>
      <c r="AR91" s="264">
        <f t="shared" si="230"/>
        <v>9.5554192976825281</v>
      </c>
      <c r="AS91" s="264">
        <f t="shared" ref="AS91:BA91" si="231">($BB91-$AR91)/10+AR91</f>
        <v>9.5705034586117605</v>
      </c>
      <c r="AT91" s="264">
        <f t="shared" si="231"/>
        <v>9.585587619540993</v>
      </c>
      <c r="AU91" s="264">
        <f t="shared" si="231"/>
        <v>9.6006717804702255</v>
      </c>
      <c r="AV91" s="264">
        <f t="shared" si="231"/>
        <v>9.615755941399458</v>
      </c>
      <c r="AW91" s="264">
        <f t="shared" si="231"/>
        <v>9.6308401023286905</v>
      </c>
      <c r="AX91" s="264">
        <f t="shared" si="231"/>
        <v>9.645924263257923</v>
      </c>
      <c r="AY91" s="264">
        <f t="shared" si="231"/>
        <v>9.6610084241871554</v>
      </c>
      <c r="AZ91" s="264">
        <f t="shared" si="231"/>
        <v>9.6760925851163879</v>
      </c>
      <c r="BA91" s="264">
        <f t="shared" si="231"/>
        <v>9.6911767460456204</v>
      </c>
      <c r="BB91" s="942">
        <f>'AEO Data'!$B$30*AM91</f>
        <v>9.7062609069748458</v>
      </c>
      <c r="BC91" s="264">
        <f t="shared" si="224"/>
        <v>9.7853507323227493</v>
      </c>
      <c r="BD91" s="264">
        <f t="shared" si="224"/>
        <v>9.8644405576706529</v>
      </c>
      <c r="BE91" s="264">
        <f t="shared" si="224"/>
        <v>9.9435303830185564</v>
      </c>
      <c r="BF91" s="264">
        <f t="shared" si="224"/>
        <v>10.02262020836646</v>
      </c>
      <c r="BG91" s="264">
        <f t="shared" si="224"/>
        <v>10.101710033714363</v>
      </c>
      <c r="BH91" s="264">
        <f t="shared" si="224"/>
        <v>10.180799859062267</v>
      </c>
      <c r="BI91" s="264">
        <f t="shared" si="224"/>
        <v>10.259889684410171</v>
      </c>
      <c r="BJ91" s="264">
        <f t="shared" si="224"/>
        <v>10.338979509758074</v>
      </c>
      <c r="BK91" s="264">
        <f t="shared" si="224"/>
        <v>10.418069335105978</v>
      </c>
      <c r="BL91" s="264">
        <f t="shared" si="224"/>
        <v>10.497159160453881</v>
      </c>
      <c r="BM91" s="264">
        <f t="shared" si="224"/>
        <v>10.576248985801785</v>
      </c>
      <c r="BN91" s="264">
        <f t="shared" si="224"/>
        <v>10.655338811149688</v>
      </c>
      <c r="BO91" s="264">
        <f t="shared" si="224"/>
        <v>10.734428636497592</v>
      </c>
      <c r="BP91" s="264">
        <f t="shared" si="224"/>
        <v>10.813518461845495</v>
      </c>
      <c r="BQ91" s="942">
        <f>'AEO Data'!$C$30*BB91</f>
        <v>10.892608287193402</v>
      </c>
      <c r="BR91" s="264">
        <f t="shared" si="225"/>
        <v>10.954869013566299</v>
      </c>
      <c r="BS91" s="264">
        <f t="shared" si="225"/>
        <v>11.017129739939195</v>
      </c>
      <c r="BT91" s="264">
        <f t="shared" si="225"/>
        <v>11.079390466312091</v>
      </c>
      <c r="BU91" s="264">
        <f t="shared" si="225"/>
        <v>11.141651192684987</v>
      </c>
      <c r="BV91" s="966">
        <f>'AEO Data'!$D$30*BQ91</f>
        <v>11.203911919057887</v>
      </c>
      <c r="BW91" s="1400">
        <f>+BV91*BW$135/BV$135</f>
        <v>11.241112201031763</v>
      </c>
      <c r="BX91" s="1400">
        <f t="shared" ref="BX91:CZ91" si="232">+BW91*BX$135/BW$135</f>
        <v>11.278435998880177</v>
      </c>
      <c r="BY91" s="1400">
        <f t="shared" si="232"/>
        <v>11.315883722712151</v>
      </c>
      <c r="BZ91" s="1400">
        <f t="shared" si="232"/>
        <v>11.35345578399839</v>
      </c>
      <c r="CA91" s="1400">
        <f t="shared" si="232"/>
        <v>11.391152595575804</v>
      </c>
      <c r="CB91" s="1400">
        <f t="shared" si="232"/>
        <v>11.415460497794959</v>
      </c>
      <c r="CC91" s="1400">
        <f t="shared" si="232"/>
        <v>11.439820271333133</v>
      </c>
      <c r="CD91" s="1400">
        <f t="shared" si="232"/>
        <v>11.464232026880003</v>
      </c>
      <c r="CE91" s="1400">
        <f t="shared" si="232"/>
        <v>11.488695875361442</v>
      </c>
      <c r="CF91" s="1400">
        <f t="shared" si="232"/>
        <v>11.513211927940032</v>
      </c>
      <c r="CG91" s="1400">
        <f t="shared" si="232"/>
        <v>11.521172134697148</v>
      </c>
      <c r="CH91" s="1400">
        <f t="shared" si="232"/>
        <v>11.529137845121877</v>
      </c>
      <c r="CI91" s="1400">
        <f t="shared" si="232"/>
        <v>11.537109063019443</v>
      </c>
      <c r="CJ91" s="1400">
        <f t="shared" si="232"/>
        <v>11.545085792197696</v>
      </c>
      <c r="CK91" s="1400">
        <f t="shared" si="232"/>
        <v>11.553068036467128</v>
      </c>
      <c r="CL91" s="1400">
        <f t="shared" si="232"/>
        <v>11.55577366294014</v>
      </c>
      <c r="CM91" s="1400">
        <f t="shared" si="232"/>
        <v>11.558479923046971</v>
      </c>
      <c r="CN91" s="1400">
        <f t="shared" si="232"/>
        <v>11.56118681693601</v>
      </c>
      <c r="CO91" s="1400">
        <f t="shared" si="232"/>
        <v>11.563894344755685</v>
      </c>
      <c r="CP91" s="1400">
        <f t="shared" si="232"/>
        <v>11.566602506654455</v>
      </c>
      <c r="CQ91" s="1400">
        <f t="shared" si="232"/>
        <v>11.570706986028089</v>
      </c>
      <c r="CR91" s="1400">
        <f t="shared" si="232"/>
        <v>11.574812921901238</v>
      </c>
      <c r="CS91" s="1400">
        <f t="shared" si="232"/>
        <v>11.578920314790748</v>
      </c>
      <c r="CT91" s="1400">
        <f t="shared" si="232"/>
        <v>11.583029165213651</v>
      </c>
      <c r="CU91" s="1400">
        <f t="shared" si="232"/>
        <v>11.587139473687161</v>
      </c>
      <c r="CV91" s="1400">
        <f t="shared" si="232"/>
        <v>11.593465255829788</v>
      </c>
      <c r="CW91" s="1400">
        <f t="shared" si="232"/>
        <v>11.599794491414899</v>
      </c>
      <c r="CX91" s="1400">
        <f t="shared" si="232"/>
        <v>11.606127182327835</v>
      </c>
      <c r="CY91" s="1400">
        <f t="shared" si="232"/>
        <v>11.612463330454966</v>
      </c>
      <c r="CZ91" s="1400">
        <f t="shared" si="232"/>
        <v>11.618802937683697</v>
      </c>
    </row>
    <row r="92" spans="1:104" ht="13" x14ac:dyDescent="0.3">
      <c r="A92" s="876" t="str">
        <f>'HyARC Physical Property Data'!A74</f>
        <v>Electric Utility Natural Gas</v>
      </c>
      <c r="B92" s="264">
        <v>2012</v>
      </c>
      <c r="C92" s="877">
        <f t="shared" si="221"/>
        <v>1.0589185747008452</v>
      </c>
      <c r="D92" s="1260" t="str">
        <f>'HyARC Physical Property Data'!H74</f>
        <v>mmBtu</v>
      </c>
      <c r="E92" s="877" t="s">
        <v>1058</v>
      </c>
      <c r="F92" s="264">
        <f>'HyARC Physical Property Data'!$E$6</f>
        <v>47.141269049911173</v>
      </c>
      <c r="G92" s="264">
        <f>'HyARC Physical Property Data'!$I$6</f>
        <v>52.224661236371581</v>
      </c>
      <c r="H92" s="1071">
        <v>7.0668336992239764</v>
      </c>
      <c r="I92" s="1071">
        <v>7.0668336992239764</v>
      </c>
      <c r="J92" s="1071">
        <v>7.0668336992239764</v>
      </c>
      <c r="K92" s="1071">
        <v>7.0668336992239764</v>
      </c>
      <c r="L92" s="1071">
        <v>8.8481430201027482</v>
      </c>
      <c r="M92" s="1071">
        <v>4.0298473160863999</v>
      </c>
      <c r="N92" s="1071">
        <v>4.7209563968645023</v>
      </c>
      <c r="O92" s="264">
        <f t="shared" ref="O92:AR92" si="233">O109*($C92/mmBTU_to_GJ*$G92/$F92)</f>
        <v>5.428419936541526</v>
      </c>
      <c r="P92" s="264">
        <f t="shared" si="233"/>
        <v>3.8227359244888057</v>
      </c>
      <c r="Q92" s="264">
        <f t="shared" si="233"/>
        <v>4.804318007935696</v>
      </c>
      <c r="R92" s="264">
        <f t="shared" si="233"/>
        <v>4.9697558517179701</v>
      </c>
      <c r="S92" s="264">
        <f t="shared" si="233"/>
        <v>4.9242593883272674</v>
      </c>
      <c r="T92" s="264">
        <f t="shared" si="233"/>
        <v>4.9757470274132745</v>
      </c>
      <c r="U92" s="264">
        <f t="shared" si="233"/>
        <v>5.2156664824796266</v>
      </c>
      <c r="V92" s="264">
        <f t="shared" si="233"/>
        <v>5.6287951857333169</v>
      </c>
      <c r="W92" s="264">
        <f t="shared" si="233"/>
        <v>5.7592455864471468</v>
      </c>
      <c r="X92" s="264">
        <f t="shared" si="233"/>
        <v>5.6424810414233342</v>
      </c>
      <c r="Y92" s="264">
        <f t="shared" si="233"/>
        <v>5.8292060172603444</v>
      </c>
      <c r="Z92" s="264">
        <f t="shared" si="233"/>
        <v>5.8870328717581808</v>
      </c>
      <c r="AA92" s="264">
        <f t="shared" si="233"/>
        <v>6.0268258593673236</v>
      </c>
      <c r="AB92" s="264">
        <f t="shared" si="233"/>
        <v>6.2516128144267338</v>
      </c>
      <c r="AC92" s="264">
        <f t="shared" si="233"/>
        <v>6.4022817651902537</v>
      </c>
      <c r="AD92" s="264">
        <f t="shared" si="233"/>
        <v>6.4648666450778842</v>
      </c>
      <c r="AE92" s="264">
        <f t="shared" si="233"/>
        <v>6.5662751885515531</v>
      </c>
      <c r="AF92" s="264">
        <f t="shared" si="233"/>
        <v>6.7024543452383245</v>
      </c>
      <c r="AG92" s="264">
        <f t="shared" si="233"/>
        <v>6.9426740262582278</v>
      </c>
      <c r="AH92" s="264">
        <f t="shared" si="233"/>
        <v>7.2203541226454542</v>
      </c>
      <c r="AI92" s="264">
        <f t="shared" si="233"/>
        <v>7.3578387062561834</v>
      </c>
      <c r="AJ92" s="264">
        <f t="shared" si="233"/>
        <v>7.4795914499008447</v>
      </c>
      <c r="AK92" s="264">
        <f t="shared" si="233"/>
        <v>7.7064221653403528</v>
      </c>
      <c r="AL92" s="264">
        <f t="shared" si="233"/>
        <v>7.8847308069461519</v>
      </c>
      <c r="AM92" s="264">
        <f t="shared" si="233"/>
        <v>8.102560303519013</v>
      </c>
      <c r="AN92" s="264">
        <f t="shared" si="233"/>
        <v>8.418335737567924</v>
      </c>
      <c r="AO92" s="264">
        <f t="shared" si="233"/>
        <v>8.4846512029154173</v>
      </c>
      <c r="AP92" s="264">
        <f t="shared" si="233"/>
        <v>8.5378634733123793</v>
      </c>
      <c r="AQ92" s="264">
        <f t="shared" si="233"/>
        <v>8.7815535439657371</v>
      </c>
      <c r="AR92" s="264">
        <f t="shared" si="233"/>
        <v>9.0721244532400576</v>
      </c>
      <c r="AS92" s="264">
        <f t="shared" ref="AS92:BA92" si="234">($BB92-$AR92)/10+AR92</f>
        <v>9.0766346022812474</v>
      </c>
      <c r="AT92" s="264">
        <f t="shared" si="234"/>
        <v>9.0811447513224373</v>
      </c>
      <c r="AU92" s="264">
        <f t="shared" si="234"/>
        <v>9.0856549003636271</v>
      </c>
      <c r="AV92" s="264">
        <f t="shared" si="234"/>
        <v>9.090165049404817</v>
      </c>
      <c r="AW92" s="264">
        <f t="shared" si="234"/>
        <v>9.0946751984460068</v>
      </c>
      <c r="AX92" s="264">
        <f t="shared" si="234"/>
        <v>9.0991853474871967</v>
      </c>
      <c r="AY92" s="264">
        <f t="shared" si="234"/>
        <v>9.1036954965283865</v>
      </c>
      <c r="AZ92" s="264">
        <f t="shared" si="234"/>
        <v>9.1082056455695763</v>
      </c>
      <c r="BA92" s="264">
        <f t="shared" si="234"/>
        <v>9.1127157946107662</v>
      </c>
      <c r="BB92" s="942">
        <f>'AEO Data'!$B$30*AM92</f>
        <v>9.1172259436519631</v>
      </c>
      <c r="BC92" s="264">
        <f t="shared" si="224"/>
        <v>9.1915161172266959</v>
      </c>
      <c r="BD92" s="264">
        <f t="shared" si="224"/>
        <v>9.2658062908014287</v>
      </c>
      <c r="BE92" s="264">
        <f t="shared" si="224"/>
        <v>9.3400964643761615</v>
      </c>
      <c r="BF92" s="264">
        <f t="shared" si="224"/>
        <v>9.4143866379508943</v>
      </c>
      <c r="BG92" s="264">
        <f t="shared" si="224"/>
        <v>9.488676811525627</v>
      </c>
      <c r="BH92" s="264">
        <f t="shared" si="224"/>
        <v>9.5629669851003598</v>
      </c>
      <c r="BI92" s="264">
        <f t="shared" si="224"/>
        <v>9.6372571586750926</v>
      </c>
      <c r="BJ92" s="264">
        <f t="shared" si="224"/>
        <v>9.7115473322498254</v>
      </c>
      <c r="BK92" s="264">
        <f t="shared" si="224"/>
        <v>9.7858375058245581</v>
      </c>
      <c r="BL92" s="264">
        <f t="shared" si="224"/>
        <v>9.8601276793992909</v>
      </c>
      <c r="BM92" s="264">
        <f t="shared" si="224"/>
        <v>9.9344178529740237</v>
      </c>
      <c r="BN92" s="264">
        <f t="shared" si="224"/>
        <v>10.008708026548756</v>
      </c>
      <c r="BO92" s="264">
        <f t="shared" si="224"/>
        <v>10.082998200123489</v>
      </c>
      <c r="BP92" s="264">
        <f t="shared" si="224"/>
        <v>10.157288373698222</v>
      </c>
      <c r="BQ92" s="942">
        <f>'AEO Data'!$C$30*BB92</f>
        <v>10.231578547272965</v>
      </c>
      <c r="BR92" s="264">
        <f t="shared" si="225"/>
        <v>10.2900609139843</v>
      </c>
      <c r="BS92" s="264">
        <f t="shared" si="225"/>
        <v>10.348543280695635</v>
      </c>
      <c r="BT92" s="264">
        <f t="shared" si="225"/>
        <v>10.40702564740697</v>
      </c>
      <c r="BU92" s="264">
        <f t="shared" si="225"/>
        <v>10.465508014118305</v>
      </c>
      <c r="BV92" s="966">
        <f>'AEO Data'!$D$30*BQ92</f>
        <v>10.523990380829638</v>
      </c>
      <c r="BW92" s="1400">
        <f>+BV92*BW$136/BV$136</f>
        <v>10.558933123372203</v>
      </c>
      <c r="BX92" s="1400">
        <f t="shared" ref="BX92:CZ92" si="235">+BW92*BX$136/BW$136</f>
        <v>10.593991886094585</v>
      </c>
      <c r="BY92" s="1400">
        <f t="shared" si="235"/>
        <v>10.6291670542179</v>
      </c>
      <c r="BZ92" s="1400">
        <f t="shared" si="235"/>
        <v>10.664459014242302</v>
      </c>
      <c r="CA92" s="1400">
        <f t="shared" si="235"/>
        <v>10.699868153951249</v>
      </c>
      <c r="CB92" s="1400">
        <f t="shared" si="235"/>
        <v>10.722700904777984</v>
      </c>
      <c r="CC92" s="1400">
        <f t="shared" si="235"/>
        <v>10.745582379056525</v>
      </c>
      <c r="CD92" s="1400">
        <f t="shared" si="235"/>
        <v>10.768512680759219</v>
      </c>
      <c r="CE92" s="1400">
        <f t="shared" si="235"/>
        <v>10.791491914080288</v>
      </c>
      <c r="CF92" s="1400">
        <f t="shared" si="235"/>
        <v>10.814520183436294</v>
      </c>
      <c r="CG92" s="1400">
        <f t="shared" si="235"/>
        <v>10.82199731641864</v>
      </c>
      <c r="CH92" s="1400">
        <f t="shared" si="235"/>
        <v>10.829479619072567</v>
      </c>
      <c r="CI92" s="1400">
        <f t="shared" si="235"/>
        <v>10.836967094972369</v>
      </c>
      <c r="CJ92" s="1400">
        <f t="shared" si="235"/>
        <v>10.84445974769482</v>
      </c>
      <c r="CK92" s="1400">
        <f t="shared" si="235"/>
        <v>10.851957580819162</v>
      </c>
      <c r="CL92" s="1400">
        <f t="shared" si="235"/>
        <v>10.854499013417151</v>
      </c>
      <c r="CM92" s="1400">
        <f t="shared" si="235"/>
        <v>10.857041041196203</v>
      </c>
      <c r="CN92" s="1400">
        <f t="shared" si="235"/>
        <v>10.859583664295704</v>
      </c>
      <c r="CO92" s="1400">
        <f t="shared" si="235"/>
        <v>10.862126882855071</v>
      </c>
      <c r="CP92" s="1400">
        <f t="shared" si="235"/>
        <v>10.864670697013759</v>
      </c>
      <c r="CQ92" s="1400">
        <f t="shared" si="235"/>
        <v>10.868526091607942</v>
      </c>
      <c r="CR92" s="1400">
        <f t="shared" si="235"/>
        <v>10.872382854312388</v>
      </c>
      <c r="CS92" s="1400">
        <f t="shared" si="235"/>
        <v>10.876240985612579</v>
      </c>
      <c r="CT92" s="1400">
        <f t="shared" si="235"/>
        <v>10.88010048599417</v>
      </c>
      <c r="CU92" s="1400">
        <f t="shared" si="235"/>
        <v>10.883961355942985</v>
      </c>
      <c r="CV92" s="1400">
        <f t="shared" si="235"/>
        <v>10.889903251140053</v>
      </c>
      <c r="CW92" s="1400">
        <f t="shared" si="235"/>
        <v>10.895848390203703</v>
      </c>
      <c r="CX92" s="1400">
        <f t="shared" si="235"/>
        <v>10.901796774904867</v>
      </c>
      <c r="CY92" s="1400">
        <f t="shared" si="235"/>
        <v>10.907748407015436</v>
      </c>
      <c r="CZ92" s="1400">
        <f t="shared" si="235"/>
        <v>10.913703288308273</v>
      </c>
    </row>
    <row r="93" spans="1:104" ht="13" x14ac:dyDescent="0.3">
      <c r="A93" s="876" t="str">
        <f>'HyARC Physical Property Data'!A75</f>
        <v>Bio Methane</v>
      </c>
      <c r="B93" s="264">
        <v>2007</v>
      </c>
      <c r="C93" s="877">
        <f t="shared" si="221"/>
        <v>1.1446359956438654</v>
      </c>
      <c r="D93" s="1260" t="str">
        <f>'HyARC Physical Property Data'!H75</f>
        <v>mmBtu</v>
      </c>
      <c r="E93" s="877" t="s">
        <v>1058</v>
      </c>
      <c r="F93" s="264">
        <f>'HyARC Physical Property Data'!$E$6</f>
        <v>47.141269049911173</v>
      </c>
      <c r="G93" s="264">
        <f>'HyARC Physical Property Data'!$I$6</f>
        <v>52.224661236371581</v>
      </c>
      <c r="H93" s="1071">
        <v>12.42654028436019</v>
      </c>
      <c r="I93" s="1071">
        <v>12.42654028436019</v>
      </c>
      <c r="J93" s="1071">
        <v>12.42654028436019</v>
      </c>
      <c r="K93" s="1071">
        <v>12.42654028436019</v>
      </c>
      <c r="L93" s="1071">
        <v>12.42654028436019</v>
      </c>
      <c r="M93" s="1071">
        <v>12.42654028436019</v>
      </c>
      <c r="N93" s="1071">
        <v>12.42654028436019</v>
      </c>
      <c r="O93" s="264">
        <f t="shared" ref="O93:AM93" si="236">13.11*($C$93/mmBTU_to_GJ)</f>
        <v>14.223865310797228</v>
      </c>
      <c r="P93" s="264">
        <f t="shared" si="236"/>
        <v>14.223865310797228</v>
      </c>
      <c r="Q93" s="264">
        <f t="shared" si="236"/>
        <v>14.223865310797228</v>
      </c>
      <c r="R93" s="264">
        <f t="shared" si="236"/>
        <v>14.223865310797228</v>
      </c>
      <c r="S93" s="264">
        <f t="shared" si="236"/>
        <v>14.223865310797228</v>
      </c>
      <c r="T93" s="264">
        <f t="shared" si="236"/>
        <v>14.223865310797228</v>
      </c>
      <c r="U93" s="264">
        <f t="shared" si="236"/>
        <v>14.223865310797228</v>
      </c>
      <c r="V93" s="264">
        <f t="shared" si="236"/>
        <v>14.223865310797228</v>
      </c>
      <c r="W93" s="264">
        <f t="shared" si="236"/>
        <v>14.223865310797228</v>
      </c>
      <c r="X93" s="264">
        <f t="shared" si="236"/>
        <v>14.223865310797228</v>
      </c>
      <c r="Y93" s="264">
        <f t="shared" si="236"/>
        <v>14.223865310797228</v>
      </c>
      <c r="Z93" s="264">
        <f t="shared" si="236"/>
        <v>14.223865310797228</v>
      </c>
      <c r="AA93" s="264">
        <f t="shared" si="236"/>
        <v>14.223865310797228</v>
      </c>
      <c r="AB93" s="264">
        <f t="shared" si="236"/>
        <v>14.223865310797228</v>
      </c>
      <c r="AC93" s="264">
        <f t="shared" si="236"/>
        <v>14.223865310797228</v>
      </c>
      <c r="AD93" s="264">
        <f t="shared" si="236"/>
        <v>14.223865310797228</v>
      </c>
      <c r="AE93" s="264">
        <f t="shared" si="236"/>
        <v>14.223865310797228</v>
      </c>
      <c r="AF93" s="264">
        <f t="shared" si="236"/>
        <v>14.223865310797228</v>
      </c>
      <c r="AG93" s="264">
        <f t="shared" si="236"/>
        <v>14.223865310797228</v>
      </c>
      <c r="AH93" s="264">
        <f t="shared" si="236"/>
        <v>14.223865310797228</v>
      </c>
      <c r="AI93" s="264">
        <f t="shared" si="236"/>
        <v>14.223865310797228</v>
      </c>
      <c r="AJ93" s="264">
        <f t="shared" si="236"/>
        <v>14.223865310797228</v>
      </c>
      <c r="AK93" s="264">
        <f t="shared" si="236"/>
        <v>14.223865310797228</v>
      </c>
      <c r="AL93" s="264">
        <f t="shared" si="236"/>
        <v>14.223865310797228</v>
      </c>
      <c r="AM93" s="264">
        <f t="shared" si="236"/>
        <v>14.223865310797228</v>
      </c>
      <c r="AN93" s="264">
        <f t="shared" ref="AN93:BV93" si="237">13.11*($C$93/mmBTU_to_GJ)</f>
        <v>14.223865310797228</v>
      </c>
      <c r="AO93" s="264">
        <f t="shared" si="237"/>
        <v>14.223865310797228</v>
      </c>
      <c r="AP93" s="264">
        <f t="shared" si="237"/>
        <v>14.223865310797228</v>
      </c>
      <c r="AQ93" s="264">
        <f t="shared" si="237"/>
        <v>14.223865310797228</v>
      </c>
      <c r="AR93" s="264">
        <f t="shared" si="237"/>
        <v>14.223865310797228</v>
      </c>
      <c r="AS93" s="264">
        <f t="shared" si="237"/>
        <v>14.223865310797228</v>
      </c>
      <c r="AT93" s="264">
        <f t="shared" si="237"/>
        <v>14.223865310797228</v>
      </c>
      <c r="AU93" s="264">
        <f t="shared" si="237"/>
        <v>14.223865310797228</v>
      </c>
      <c r="AV93" s="264">
        <f t="shared" si="237"/>
        <v>14.223865310797228</v>
      </c>
      <c r="AW93" s="264">
        <f t="shared" si="237"/>
        <v>14.223865310797228</v>
      </c>
      <c r="AX93" s="264">
        <f t="shared" si="237"/>
        <v>14.223865310797228</v>
      </c>
      <c r="AY93" s="264">
        <f t="shared" si="237"/>
        <v>14.223865310797228</v>
      </c>
      <c r="AZ93" s="264">
        <f t="shared" si="237"/>
        <v>14.223865310797228</v>
      </c>
      <c r="BA93" s="264">
        <f t="shared" si="237"/>
        <v>14.223865310797228</v>
      </c>
      <c r="BB93" s="264">
        <f t="shared" si="237"/>
        <v>14.223865310797228</v>
      </c>
      <c r="BC93" s="264">
        <f t="shared" si="237"/>
        <v>14.223865310797228</v>
      </c>
      <c r="BD93" s="264">
        <f t="shared" si="237"/>
        <v>14.223865310797228</v>
      </c>
      <c r="BE93" s="264">
        <f t="shared" si="237"/>
        <v>14.223865310797228</v>
      </c>
      <c r="BF93" s="264">
        <f t="shared" si="237"/>
        <v>14.223865310797228</v>
      </c>
      <c r="BG93" s="264">
        <f t="shared" si="237"/>
        <v>14.223865310797228</v>
      </c>
      <c r="BH93" s="264">
        <f t="shared" si="237"/>
        <v>14.223865310797228</v>
      </c>
      <c r="BI93" s="264">
        <f t="shared" si="237"/>
        <v>14.223865310797228</v>
      </c>
      <c r="BJ93" s="264">
        <f t="shared" si="237"/>
        <v>14.223865310797228</v>
      </c>
      <c r="BK93" s="264">
        <f t="shared" si="237"/>
        <v>14.223865310797228</v>
      </c>
      <c r="BL93" s="264">
        <f t="shared" si="237"/>
        <v>14.223865310797228</v>
      </c>
      <c r="BM93" s="264">
        <f t="shared" si="237"/>
        <v>14.223865310797228</v>
      </c>
      <c r="BN93" s="264">
        <f t="shared" si="237"/>
        <v>14.223865310797228</v>
      </c>
      <c r="BO93" s="264">
        <f t="shared" si="237"/>
        <v>14.223865310797228</v>
      </c>
      <c r="BP93" s="264">
        <f t="shared" si="237"/>
        <v>14.223865310797228</v>
      </c>
      <c r="BQ93" s="264">
        <f t="shared" si="237"/>
        <v>14.223865310797228</v>
      </c>
      <c r="BR93" s="264">
        <f t="shared" si="237"/>
        <v>14.223865310797228</v>
      </c>
      <c r="BS93" s="264">
        <f t="shared" si="237"/>
        <v>14.223865310797228</v>
      </c>
      <c r="BT93" s="264">
        <f t="shared" si="237"/>
        <v>14.223865310797228</v>
      </c>
      <c r="BU93" s="264">
        <f t="shared" si="237"/>
        <v>14.223865310797228</v>
      </c>
      <c r="BV93" s="879">
        <f t="shared" si="237"/>
        <v>14.223865310797228</v>
      </c>
      <c r="BW93" s="1400">
        <f>+BV93*BW$136/BV$136</f>
        <v>14.271092726019944</v>
      </c>
      <c r="BX93" s="1400">
        <f t="shared" ref="BX93:CZ93" si="238">+BW93*BX$136/BW$136</f>
        <v>14.318476950147966</v>
      </c>
      <c r="BY93" s="1400">
        <f t="shared" si="238"/>
        <v>14.366018503832969</v>
      </c>
      <c r="BZ93" s="1400">
        <f t="shared" si="238"/>
        <v>14.413717909455341</v>
      </c>
      <c r="CA93" s="1400">
        <f t="shared" si="238"/>
        <v>14.461575691129934</v>
      </c>
      <c r="CB93" s="1400">
        <f t="shared" si="238"/>
        <v>14.49243565590395</v>
      </c>
      <c r="CC93" s="1400">
        <f t="shared" si="238"/>
        <v>14.523361473628309</v>
      </c>
      <c r="CD93" s="1400">
        <f t="shared" si="238"/>
        <v>14.554353284828478</v>
      </c>
      <c r="CE93" s="1400">
        <f t="shared" si="238"/>
        <v>14.585411230329802</v>
      </c>
      <c r="CF93" s="1400">
        <f t="shared" si="238"/>
        <v>14.616535451258134</v>
      </c>
      <c r="CG93" s="1400">
        <f t="shared" si="238"/>
        <v>14.626641288360148</v>
      </c>
      <c r="CH93" s="1400">
        <f t="shared" si="238"/>
        <v>14.636754112613382</v>
      </c>
      <c r="CI93" s="1400">
        <f t="shared" si="238"/>
        <v>14.646873928848736</v>
      </c>
      <c r="CJ93" s="1400">
        <f t="shared" si="238"/>
        <v>14.657000741900452</v>
      </c>
      <c r="CK93" s="1400">
        <f t="shared" si="238"/>
        <v>14.667134556606111</v>
      </c>
      <c r="CL93" s="1400">
        <f t="shared" si="238"/>
        <v>14.670569469948116</v>
      </c>
      <c r="CM93" s="1400">
        <f t="shared" si="238"/>
        <v>14.674005187716483</v>
      </c>
      <c r="CN93" s="1400">
        <f t="shared" si="238"/>
        <v>14.6774417100996</v>
      </c>
      <c r="CO93" s="1400">
        <f t="shared" si="238"/>
        <v>14.6808790372859</v>
      </c>
      <c r="CP93" s="1400">
        <f t="shared" si="238"/>
        <v>14.684317169463862</v>
      </c>
      <c r="CQ93" s="1400">
        <f t="shared" si="238"/>
        <v>14.689527988881515</v>
      </c>
      <c r="CR93" s="1400">
        <f t="shared" si="238"/>
        <v>14.69474065739019</v>
      </c>
      <c r="CS93" s="1400">
        <f t="shared" si="238"/>
        <v>14.699955175646044</v>
      </c>
      <c r="CT93" s="1400">
        <f t="shared" si="238"/>
        <v>14.705171544305472</v>
      </c>
      <c r="CU93" s="1400">
        <f t="shared" si="238"/>
        <v>14.710389764025104</v>
      </c>
      <c r="CV93" s="1400">
        <f t="shared" si="238"/>
        <v>14.718420626266095</v>
      </c>
      <c r="CW93" s="1400">
        <f t="shared" si="238"/>
        <v>14.726455872806168</v>
      </c>
      <c r="CX93" s="1400">
        <f t="shared" si="238"/>
        <v>14.734495506038849</v>
      </c>
      <c r="CY93" s="1400">
        <f t="shared" si="238"/>
        <v>14.74253952835897</v>
      </c>
      <c r="CZ93" s="1400">
        <f t="shared" si="238"/>
        <v>14.750587942162673</v>
      </c>
    </row>
    <row r="94" spans="1:104" ht="13" x14ac:dyDescent="0.3">
      <c r="A94" s="967" t="str">
        <f>'HyARC Physical Property Data'!A85</f>
        <v>Woody Biomass</v>
      </c>
      <c r="B94" s="264">
        <v>2005</v>
      </c>
      <c r="C94" s="877">
        <f t="shared" si="221"/>
        <v>1.2112501494873942</v>
      </c>
      <c r="D94" s="1262" t="str">
        <f>+'HyARC Physical Property Data'!$H$85</f>
        <v>kg</v>
      </c>
      <c r="E94" s="877" t="s">
        <v>1058</v>
      </c>
      <c r="F94" s="264">
        <f>'HyARC Physical Property Data'!$E$45</f>
        <v>19.551069237418005</v>
      </c>
      <c r="G94" s="264">
        <f>'HyARC Physical Property Data'!$I$45</f>
        <v>20.588656379262464</v>
      </c>
      <c r="H94" s="1071">
        <v>1.3438238843289665</v>
      </c>
      <c r="I94" s="1071">
        <v>1.3438238843289665</v>
      </c>
      <c r="J94" s="1071">
        <v>1.3438238843289665</v>
      </c>
      <c r="K94" s="1071">
        <v>1.3438238843289665</v>
      </c>
      <c r="L94" s="1071">
        <v>1.3438238843289665</v>
      </c>
      <c r="M94" s="1071">
        <v>1.3438238843289665</v>
      </c>
      <c r="N94" s="1071">
        <v>1.3438238843289665</v>
      </c>
      <c r="O94" s="264">
        <f>1.27*($C$94)</f>
        <v>1.5382876898489906</v>
      </c>
      <c r="P94" s="264">
        <f>1.28*($C$94)</f>
        <v>1.5504001913438645</v>
      </c>
      <c r="Q94" s="264">
        <f>1.32*($C$94)</f>
        <v>1.5988501973233604</v>
      </c>
      <c r="R94" s="264">
        <f>1.32*($C$94)</f>
        <v>1.5988501973233604</v>
      </c>
      <c r="S94" s="264">
        <f>1.34*($C$94)</f>
        <v>1.6230752003131084</v>
      </c>
      <c r="T94" s="264">
        <f>1.34*($C$94)</f>
        <v>1.6230752003131084</v>
      </c>
      <c r="U94" s="264">
        <f>1.36*($C$94)</f>
        <v>1.6473002033028561</v>
      </c>
      <c r="V94" s="264">
        <f>1.36*($C$94)</f>
        <v>1.6473002033028561</v>
      </c>
      <c r="W94" s="264">
        <f>1.38*($C$94)</f>
        <v>1.6715252062926038</v>
      </c>
      <c r="X94" s="264">
        <f>1.4*($C$94)</f>
        <v>1.6957502092823518</v>
      </c>
      <c r="Y94" s="264">
        <f>1.46*($C$94)</f>
        <v>1.7684252182515954</v>
      </c>
      <c r="Z94" s="264">
        <f>1.48*($C$94)</f>
        <v>1.7926502212413433</v>
      </c>
      <c r="AA94" s="264">
        <f>1.48*($C$94)</f>
        <v>1.7926502212413433</v>
      </c>
      <c r="AB94" s="264">
        <f>1.51*($C$94)</f>
        <v>1.8289877257259652</v>
      </c>
      <c r="AC94" s="264">
        <f>1.52*($C$94)</f>
        <v>1.8411002272208392</v>
      </c>
      <c r="AD94" s="264">
        <f>1.62*($C$94)</f>
        <v>1.9622252421695787</v>
      </c>
      <c r="AE94" s="264">
        <f>1.72*($C$94)</f>
        <v>2.083350257118318</v>
      </c>
      <c r="AF94" s="264">
        <f>1.82*($C$94)</f>
        <v>2.2044752720670573</v>
      </c>
      <c r="AG94" s="264">
        <f>1.91*($C$94)</f>
        <v>2.3134877855209228</v>
      </c>
      <c r="AH94" s="264">
        <f>2.01*($C$94)</f>
        <v>2.4346128004696621</v>
      </c>
      <c r="AI94" s="264">
        <f>2.11*($C$94)</f>
        <v>2.5557378154184014</v>
      </c>
      <c r="AJ94" s="264">
        <f>2.2*($C$94)</f>
        <v>2.6647503288722674</v>
      </c>
      <c r="AK94" s="264">
        <f>2.3*($C$94)</f>
        <v>2.7858753438210062</v>
      </c>
      <c r="AL94" s="264">
        <f>2.4*($C$94)</f>
        <v>2.9070003587697459</v>
      </c>
      <c r="AM94" s="264">
        <f>2.5*($C$94)</f>
        <v>3.0281253737184857</v>
      </c>
      <c r="AN94" s="264">
        <f>2.57*($C$94)</f>
        <v>3.1129128841826028</v>
      </c>
      <c r="AO94" s="264">
        <f>2.64*($C$94)</f>
        <v>3.1977003946467208</v>
      </c>
      <c r="AP94" s="264">
        <f>2.71*($C$94)</f>
        <v>3.282487905110838</v>
      </c>
      <c r="AQ94" s="264">
        <f>2.78*($C$94)</f>
        <v>3.3672754155749556</v>
      </c>
      <c r="AR94" s="264">
        <f>2.85*($C$94)</f>
        <v>3.4520629260390736</v>
      </c>
      <c r="AS94" s="264">
        <f>2.92*($C$94)</f>
        <v>3.5368504365031908</v>
      </c>
      <c r="AT94" s="264">
        <f>2.99*($C$94)</f>
        <v>3.6216379469673088</v>
      </c>
      <c r="AU94" s="264">
        <f>3.07*($C$94)</f>
        <v>3.7185379589263001</v>
      </c>
      <c r="AV94" s="264">
        <f>3.14*($C$94)</f>
        <v>3.8033254693904177</v>
      </c>
      <c r="AW94" s="264">
        <f>3.21*($C$94)</f>
        <v>3.8881129798545353</v>
      </c>
      <c r="AX94" s="264">
        <f>3.28*($C$94)</f>
        <v>3.9729004903186529</v>
      </c>
      <c r="AY94" s="264">
        <f>3.35*($C$94)</f>
        <v>4.0576880007827709</v>
      </c>
      <c r="AZ94" s="264">
        <f>3.42*($C$94)</f>
        <v>4.1424755112468876</v>
      </c>
      <c r="BA94" s="264">
        <f>3.49*($C$94)</f>
        <v>4.2272630217110061</v>
      </c>
      <c r="BB94" s="264">
        <f>3.56*($C$94)</f>
        <v>4.3120505321751237</v>
      </c>
      <c r="BC94" s="264">
        <f>3.64*($C$94)</f>
        <v>4.4089505441341146</v>
      </c>
      <c r="BD94" s="264">
        <f>3.71*($C$94)</f>
        <v>4.4937380545982322</v>
      </c>
      <c r="BE94" s="264">
        <f>3.78*($C$94)</f>
        <v>4.5785255650623498</v>
      </c>
      <c r="BF94" s="264">
        <f>3.85*($C$94)</f>
        <v>4.6633130755264673</v>
      </c>
      <c r="BG94" s="264">
        <f>3.92*($C$94)</f>
        <v>4.7481005859905849</v>
      </c>
      <c r="BH94" s="264">
        <f>3.99*($C$94)</f>
        <v>4.8328880964547034</v>
      </c>
      <c r="BI94" s="264">
        <f>4.06*($C$94)</f>
        <v>4.9176756069188201</v>
      </c>
      <c r="BJ94" s="264">
        <f>4.14*($C$94)</f>
        <v>5.0145756188778119</v>
      </c>
      <c r="BK94" s="264">
        <f>4.21*($C$94)</f>
        <v>5.0993631293419295</v>
      </c>
      <c r="BL94" s="264">
        <f>4.28*($C$94)</f>
        <v>5.1841506398060471</v>
      </c>
      <c r="BM94" s="264">
        <f>4.35*($C$94)</f>
        <v>5.2689381502701647</v>
      </c>
      <c r="BN94" s="264">
        <f>4.42*($C$94)</f>
        <v>5.3537256607342822</v>
      </c>
      <c r="BO94" s="264">
        <f>4.49*($C$94)</f>
        <v>5.4385131711983998</v>
      </c>
      <c r="BP94" s="264">
        <f>4.56*($C$94)</f>
        <v>5.5233006816625174</v>
      </c>
      <c r="BQ94" s="264">
        <f>4.63*($C$94)</f>
        <v>5.608088192126635</v>
      </c>
      <c r="BR94" s="264">
        <f>4.71*($C$94)</f>
        <v>5.7049882040856268</v>
      </c>
      <c r="BS94" s="264">
        <f>4.78*($C$94)</f>
        <v>5.7897757145497444</v>
      </c>
      <c r="BT94" s="264">
        <f>4.85*($C$94)</f>
        <v>5.8745632250138611</v>
      </c>
      <c r="BU94" s="264">
        <f>4.92*($C$94)</f>
        <v>5.9593507354779796</v>
      </c>
      <c r="BV94" s="879">
        <f>4.99*($C$94)</f>
        <v>6.0441382459420971</v>
      </c>
      <c r="BW94" s="1400">
        <f>+BV94*BW$137/BV$137</f>
        <v>6.0586659764672328</v>
      </c>
      <c r="BX94" s="1400">
        <f t="shared" ref="BX94:CZ94" si="239">+BW94*BX$137/BW$137</f>
        <v>6.0732286259412112</v>
      </c>
      <c r="BY94" s="1400">
        <f t="shared" si="239"/>
        <v>6.0878262782954495</v>
      </c>
      <c r="BZ94" s="1400">
        <f t="shared" si="239"/>
        <v>6.1024590176630999</v>
      </c>
      <c r="CA94" s="1400">
        <f t="shared" si="239"/>
        <v>6.1171269283795393</v>
      </c>
      <c r="CB94" s="1400">
        <f t="shared" si="239"/>
        <v>6.1299667153690152</v>
      </c>
      <c r="CC94" s="1400">
        <f t="shared" si="239"/>
        <v>6.1428334529403346</v>
      </c>
      <c r="CD94" s="1400">
        <f t="shared" si="239"/>
        <v>6.155727197662495</v>
      </c>
      <c r="CE94" s="1400">
        <f t="shared" si="239"/>
        <v>6.1686480062232301</v>
      </c>
      <c r="CF94" s="1400">
        <f t="shared" si="239"/>
        <v>6.18159593542926</v>
      </c>
      <c r="CG94" s="1400">
        <f t="shared" si="239"/>
        <v>6.197524392005751</v>
      </c>
      <c r="CH94" s="1400">
        <f t="shared" si="239"/>
        <v>6.2134938923080965</v>
      </c>
      <c r="CI94" s="1400">
        <f t="shared" si="239"/>
        <v>6.229504542095909</v>
      </c>
      <c r="CJ94" s="1400">
        <f t="shared" si="239"/>
        <v>6.245556447401321</v>
      </c>
      <c r="CK94" s="1400">
        <f t="shared" si="239"/>
        <v>6.2616497145296828</v>
      </c>
      <c r="CL94" s="1400">
        <f t="shared" si="239"/>
        <v>6.2750522655841658</v>
      </c>
      <c r="CM94" s="1400">
        <f t="shared" si="239"/>
        <v>6.2884835037072264</v>
      </c>
      <c r="CN94" s="1400">
        <f t="shared" si="239"/>
        <v>6.3019434903011975</v>
      </c>
      <c r="CO94" s="1400">
        <f t="shared" si="239"/>
        <v>6.3154322868998385</v>
      </c>
      <c r="CP94" s="1400">
        <f t="shared" si="239"/>
        <v>6.3289499551686168</v>
      </c>
      <c r="CQ94" s="1400">
        <f t="shared" si="239"/>
        <v>6.3413225489579119</v>
      </c>
      <c r="CR94" s="1400">
        <f t="shared" si="239"/>
        <v>6.3537193301840116</v>
      </c>
      <c r="CS94" s="1400">
        <f t="shared" si="239"/>
        <v>6.3661403461314299</v>
      </c>
      <c r="CT94" s="1400">
        <f t="shared" si="239"/>
        <v>6.3785856441771198</v>
      </c>
      <c r="CU94" s="1400">
        <f t="shared" si="239"/>
        <v>6.3910552717906537</v>
      </c>
      <c r="CV94" s="1400">
        <f t="shared" si="239"/>
        <v>6.4057772391562917</v>
      </c>
      <c r="CW94" s="1400">
        <f t="shared" si="239"/>
        <v>6.4205331189689208</v>
      </c>
      <c r="CX94" s="1400">
        <f t="shared" si="239"/>
        <v>6.4353229893467718</v>
      </c>
      <c r="CY94" s="1400">
        <f t="shared" si="239"/>
        <v>6.4501469285880244</v>
      </c>
      <c r="CZ94" s="1400">
        <f t="shared" si="239"/>
        <v>6.4650050151712186</v>
      </c>
    </row>
    <row r="95" spans="1:104" ht="13" x14ac:dyDescent="0.3">
      <c r="A95" s="913" t="str">
        <f>'HyARC Physical Property Data'!A80</f>
        <v>Metallurgical Coal</v>
      </c>
      <c r="B95" s="264">
        <v>2012</v>
      </c>
      <c r="C95" s="877">
        <f t="shared" si="221"/>
        <v>1.0589185747008452</v>
      </c>
      <c r="D95" s="1261" t="str">
        <f>+'HyARC Physical Property Data'!H80</f>
        <v>kg</v>
      </c>
      <c r="E95" s="904" t="s">
        <v>1052</v>
      </c>
      <c r="F95" s="264">
        <f>'HyARC Physical Property Data'!$E$44</f>
        <v>28.610197070281195</v>
      </c>
      <c r="G95" s="264">
        <f>'HyARC Physical Property Data'!$I$44</f>
        <v>29.865267156269461</v>
      </c>
      <c r="H95" s="1072">
        <v>3.3844321322674711</v>
      </c>
      <c r="I95" s="1072">
        <v>3.3844321322674711</v>
      </c>
      <c r="J95" s="1072">
        <v>3.3844321322674711</v>
      </c>
      <c r="K95" s="1072">
        <v>3.3844321322674711</v>
      </c>
      <c r="L95" s="1072">
        <v>4.1181843560652975</v>
      </c>
      <c r="M95" s="1072">
        <v>4.3291381204071717</v>
      </c>
      <c r="N95" s="1072">
        <v>4.4025133427869543</v>
      </c>
      <c r="O95" s="968">
        <f t="shared" ref="O95:AR95" si="240">O111*($C95/mmBTU_to_GJ*$G95/$F95)</f>
        <v>7.4754647098413036</v>
      </c>
      <c r="P95" s="968">
        <f t="shared" si="240"/>
        <v>7.5961523788362539</v>
      </c>
      <c r="Q95" s="968">
        <f t="shared" si="240"/>
        <v>7.7888515723825718</v>
      </c>
      <c r="R95" s="968">
        <f t="shared" si="240"/>
        <v>7.8710115565120651</v>
      </c>
      <c r="S95" s="968">
        <f t="shared" si="240"/>
        <v>8.1298664269345355</v>
      </c>
      <c r="T95" s="968">
        <f t="shared" si="240"/>
        <v>8.3275528874219908</v>
      </c>
      <c r="U95" s="968">
        <f t="shared" si="240"/>
        <v>8.4326459175194799</v>
      </c>
      <c r="V95" s="968">
        <f t="shared" si="240"/>
        <v>8.5820072281905144</v>
      </c>
      <c r="W95" s="968">
        <f t="shared" si="240"/>
        <v>8.6973241555173413</v>
      </c>
      <c r="X95" s="968">
        <f t="shared" si="240"/>
        <v>8.8306675382480098</v>
      </c>
      <c r="Y95" s="968">
        <f t="shared" si="240"/>
        <v>8.9332721736007059</v>
      </c>
      <c r="Z95" s="968">
        <f t="shared" si="240"/>
        <v>9.0455694993887992</v>
      </c>
      <c r="AA95" s="968">
        <f t="shared" si="240"/>
        <v>9.1556508441725821</v>
      </c>
      <c r="AB95" s="968">
        <f t="shared" si="240"/>
        <v>9.2678109153452777</v>
      </c>
      <c r="AC95" s="968">
        <f t="shared" si="240"/>
        <v>9.379158984022304</v>
      </c>
      <c r="AD95" s="968">
        <f t="shared" si="240"/>
        <v>9.4759674931736608</v>
      </c>
      <c r="AE95" s="968">
        <f t="shared" si="240"/>
        <v>9.5858141430425672</v>
      </c>
      <c r="AF95" s="968">
        <f t="shared" si="240"/>
        <v>9.7090321165885385</v>
      </c>
      <c r="AG95" s="968">
        <f t="shared" si="240"/>
        <v>9.8280622527471682</v>
      </c>
      <c r="AH95" s="968">
        <f t="shared" si="240"/>
        <v>9.9673233001172399</v>
      </c>
      <c r="AI95" s="968">
        <f t="shared" si="240"/>
        <v>10.050780392749491</v>
      </c>
      <c r="AJ95" s="968">
        <f t="shared" si="240"/>
        <v>10.135476967900939</v>
      </c>
      <c r="AK95" s="968">
        <f t="shared" si="240"/>
        <v>10.225183860386949</v>
      </c>
      <c r="AL95" s="968">
        <f t="shared" si="240"/>
        <v>10.307087146953293</v>
      </c>
      <c r="AM95" s="968">
        <f t="shared" si="240"/>
        <v>10.409246490614819</v>
      </c>
      <c r="AN95" s="264">
        <f t="shared" si="240"/>
        <v>10.490880506676149</v>
      </c>
      <c r="AO95" s="264">
        <f t="shared" si="240"/>
        <v>10.58291758438844</v>
      </c>
      <c r="AP95" s="264">
        <f t="shared" si="240"/>
        <v>10.589678683878184</v>
      </c>
      <c r="AQ95" s="264">
        <f t="shared" si="240"/>
        <v>10.619779354456332</v>
      </c>
      <c r="AR95" s="264">
        <f t="shared" si="240"/>
        <v>10.683904501220734</v>
      </c>
      <c r="AS95" s="264">
        <f>($BB95-$AR95)/10+AR95</f>
        <v>10.706641272001209</v>
      </c>
      <c r="AT95" s="264">
        <f t="shared" ref="AT95:BA95" si="241">($BB95-$AR95)/10+AS95</f>
        <v>10.729378042781683</v>
      </c>
      <c r="AU95" s="264">
        <f t="shared" si="241"/>
        <v>10.752114813562157</v>
      </c>
      <c r="AV95" s="264">
        <f t="shared" si="241"/>
        <v>10.774851584342631</v>
      </c>
      <c r="AW95" s="264">
        <f t="shared" si="241"/>
        <v>10.797588355123105</v>
      </c>
      <c r="AX95" s="264">
        <f t="shared" si="241"/>
        <v>10.82032512590358</v>
      </c>
      <c r="AY95" s="264">
        <f t="shared" si="241"/>
        <v>10.843061896684054</v>
      </c>
      <c r="AZ95" s="264">
        <f t="shared" si="241"/>
        <v>10.865798667464528</v>
      </c>
      <c r="BA95" s="264">
        <f t="shared" si="241"/>
        <v>10.888535438245002</v>
      </c>
      <c r="BB95" s="942">
        <f>('AEO Data'!$B$28*AM95)</f>
        <v>10.911272209025483</v>
      </c>
      <c r="BC95" s="264">
        <f t="shared" ref="BC95:BP95" si="242">($BQ95-$BB95)/15+BB95</f>
        <v>10.949564626152206</v>
      </c>
      <c r="BD95" s="264">
        <f t="shared" si="242"/>
        <v>10.987857043278929</v>
      </c>
      <c r="BE95" s="264">
        <f t="shared" si="242"/>
        <v>11.026149460405652</v>
      </c>
      <c r="BF95" s="264">
        <f t="shared" si="242"/>
        <v>11.064441877532374</v>
      </c>
      <c r="BG95" s="264">
        <f t="shared" si="242"/>
        <v>11.102734294659097</v>
      </c>
      <c r="BH95" s="264">
        <f t="shared" si="242"/>
        <v>11.14102671178582</v>
      </c>
      <c r="BI95" s="264">
        <f t="shared" si="242"/>
        <v>11.179319128912542</v>
      </c>
      <c r="BJ95" s="264">
        <f t="shared" si="242"/>
        <v>11.217611546039265</v>
      </c>
      <c r="BK95" s="264">
        <f t="shared" si="242"/>
        <v>11.255903963165988</v>
      </c>
      <c r="BL95" s="264">
        <f t="shared" si="242"/>
        <v>11.294196380292711</v>
      </c>
      <c r="BM95" s="264">
        <f t="shared" si="242"/>
        <v>11.332488797419433</v>
      </c>
      <c r="BN95" s="264">
        <f t="shared" si="242"/>
        <v>11.370781214546156</v>
      </c>
      <c r="BO95" s="264">
        <f t="shared" si="242"/>
        <v>11.409073631672879</v>
      </c>
      <c r="BP95" s="264">
        <f t="shared" si="242"/>
        <v>11.447366048799601</v>
      </c>
      <c r="BQ95" s="942">
        <f>('AEO Data'!$C$28*BB95)</f>
        <v>11.485658465926328</v>
      </c>
      <c r="BR95" s="264">
        <f t="shared" ref="BR95:BU100" si="243">($BV95-$BQ95)/5+BQ95</f>
        <v>11.522480349055732</v>
      </c>
      <c r="BS95" s="264">
        <f t="shared" si="243"/>
        <v>11.559302232185136</v>
      </c>
      <c r="BT95" s="264">
        <f t="shared" si="243"/>
        <v>11.59612411531454</v>
      </c>
      <c r="BU95" s="264">
        <f t="shared" si="243"/>
        <v>11.632945998443944</v>
      </c>
      <c r="BV95" s="966">
        <f>('AEO Data'!$D$28*BQ95)</f>
        <v>11.669767881573351</v>
      </c>
      <c r="BW95" s="1400">
        <f t="shared" ref="BW95:CZ95" si="244">+BV95*BW$138/BV$138</f>
        <v>11.709222844508201</v>
      </c>
      <c r="BX95" s="1400">
        <f t="shared" si="244"/>
        <v>11.748811202906952</v>
      </c>
      <c r="BY95" s="1400">
        <f t="shared" si="244"/>
        <v>11.788533407773697</v>
      </c>
      <c r="BZ95" s="1400">
        <f t="shared" si="244"/>
        <v>11.828389911637355</v>
      </c>
      <c r="CA95" s="1400">
        <f t="shared" si="244"/>
        <v>11.868381168556825</v>
      </c>
      <c r="CB95" s="1400">
        <f t="shared" si="244"/>
        <v>11.902362207175498</v>
      </c>
      <c r="CC95" s="1400">
        <f t="shared" si="244"/>
        <v>11.936440538842751</v>
      </c>
      <c r="CD95" s="1400">
        <f t="shared" si="244"/>
        <v>11.970616442123857</v>
      </c>
      <c r="CE95" s="1400">
        <f t="shared" si="244"/>
        <v>12.004890196381666</v>
      </c>
      <c r="CF95" s="1400">
        <f t="shared" si="244"/>
        <v>12.039262081778887</v>
      </c>
      <c r="CG95" s="1400">
        <f t="shared" si="244"/>
        <v>12.065505052077379</v>
      </c>
      <c r="CH95" s="1400">
        <f t="shared" si="244"/>
        <v>12.091805226337826</v>
      </c>
      <c r="CI95" s="1400">
        <f t="shared" si="244"/>
        <v>12.118162729252409</v>
      </c>
      <c r="CJ95" s="1400">
        <f t="shared" si="244"/>
        <v>12.144577685785119</v>
      </c>
      <c r="CK95" s="1400">
        <f t="shared" si="244"/>
        <v>12.171050221172331</v>
      </c>
      <c r="CL95" s="1400">
        <f t="shared" si="244"/>
        <v>12.188996392854733</v>
      </c>
      <c r="CM95" s="1400">
        <f t="shared" si="244"/>
        <v>12.206969026105547</v>
      </c>
      <c r="CN95" s="1400">
        <f t="shared" si="244"/>
        <v>12.224968159942263</v>
      </c>
      <c r="CO95" s="1400">
        <f t="shared" si="244"/>
        <v>12.242993833439904</v>
      </c>
      <c r="CP95" s="1400">
        <f t="shared" si="244"/>
        <v>12.261046085731108</v>
      </c>
      <c r="CQ95" s="1400">
        <f t="shared" si="244"/>
        <v>12.267091502720543</v>
      </c>
      <c r="CR95" s="1400">
        <f t="shared" si="244"/>
        <v>12.273139900456183</v>
      </c>
      <c r="CS95" s="1400">
        <f t="shared" si="244"/>
        <v>12.27919128040771</v>
      </c>
      <c r="CT95" s="1400">
        <f t="shared" si="244"/>
        <v>12.285245644045531</v>
      </c>
      <c r="CU95" s="1400">
        <f t="shared" si="244"/>
        <v>12.291302992840782</v>
      </c>
      <c r="CV95" s="1400">
        <f t="shared" si="244"/>
        <v>12.282597276301862</v>
      </c>
      <c r="CW95" s="1400">
        <f t="shared" si="244"/>
        <v>12.273897725870841</v>
      </c>
      <c r="CX95" s="1400">
        <f t="shared" si="244"/>
        <v>12.26520433718037</v>
      </c>
      <c r="CY95" s="1400">
        <f t="shared" si="244"/>
        <v>12.256517105866193</v>
      </c>
      <c r="CZ95" s="1400">
        <f t="shared" si="244"/>
        <v>12.247836027567152</v>
      </c>
    </row>
    <row r="96" spans="1:104" ht="13" x14ac:dyDescent="0.3">
      <c r="A96" s="913" t="str">
        <f>'HyARC Physical Property Data'!A81</f>
        <v>Other Industrial Coal</v>
      </c>
      <c r="B96" s="264">
        <v>2012</v>
      </c>
      <c r="C96" s="877">
        <f t="shared" si="221"/>
        <v>1.0589185747008452</v>
      </c>
      <c r="D96" s="1261" t="str">
        <f>+'HyARC Physical Property Data'!H81</f>
        <v>kg</v>
      </c>
      <c r="E96" s="904" t="s">
        <v>1052</v>
      </c>
      <c r="F96" s="264">
        <f>'HyARC Physical Property Data'!$E$42</f>
        <v>22.7322030001394</v>
      </c>
      <c r="G96" s="264">
        <f>'HyARC Physical Property Data'!$I$42</f>
        <v>23.967615189707661</v>
      </c>
      <c r="H96" s="1072">
        <v>1.7045706620386931</v>
      </c>
      <c r="I96" s="1072">
        <v>1.7045706620386931</v>
      </c>
      <c r="J96" s="1072">
        <v>1.7045706620386931</v>
      </c>
      <c r="K96" s="1072">
        <v>1.7045706620386931</v>
      </c>
      <c r="L96" s="1072">
        <v>1.9454339077615519</v>
      </c>
      <c r="M96" s="1072">
        <v>2.0288096466656182</v>
      </c>
      <c r="N96" s="1072">
        <v>1.8805861108361666</v>
      </c>
      <c r="O96" s="968">
        <f t="shared" ref="O96:AR96" si="245">O112*($C96/mmBTU_to_GJ*$G96/$F96)</f>
        <v>3.5000719734406505</v>
      </c>
      <c r="P96" s="968">
        <f t="shared" si="245"/>
        <v>3.4283630486034649</v>
      </c>
      <c r="Q96" s="968">
        <f t="shared" si="245"/>
        <v>3.5082354103172322</v>
      </c>
      <c r="R96" s="968">
        <f t="shared" si="245"/>
        <v>3.4729360065765973</v>
      </c>
      <c r="S96" s="968">
        <f t="shared" si="245"/>
        <v>3.5728444520840283</v>
      </c>
      <c r="T96" s="968">
        <f t="shared" si="245"/>
        <v>3.6374683095257363</v>
      </c>
      <c r="U96" s="968">
        <f t="shared" si="245"/>
        <v>3.6626327333639828</v>
      </c>
      <c r="V96" s="968">
        <f t="shared" si="245"/>
        <v>3.7258057129267965</v>
      </c>
      <c r="W96" s="968">
        <f t="shared" si="245"/>
        <v>3.7685626924606996</v>
      </c>
      <c r="X96" s="968">
        <f t="shared" si="245"/>
        <v>3.8026038220962977</v>
      </c>
      <c r="Y96" s="968">
        <f t="shared" si="245"/>
        <v>3.8249701999011396</v>
      </c>
      <c r="Z96" s="968">
        <f t="shared" si="245"/>
        <v>3.8516352399554865</v>
      </c>
      <c r="AA96" s="968">
        <f t="shared" si="245"/>
        <v>3.8787257015323093</v>
      </c>
      <c r="AB96" s="968">
        <f t="shared" si="245"/>
        <v>3.9124059636575477</v>
      </c>
      <c r="AC96" s="968">
        <f t="shared" si="245"/>
        <v>3.9446681540411968</v>
      </c>
      <c r="AD96" s="968">
        <f t="shared" si="245"/>
        <v>3.9749376361491651</v>
      </c>
      <c r="AE96" s="968">
        <f t="shared" si="245"/>
        <v>4.0052642644317942</v>
      </c>
      <c r="AF96" s="968">
        <f t="shared" si="245"/>
        <v>4.0387455732082129</v>
      </c>
      <c r="AG96" s="968">
        <f t="shared" si="245"/>
        <v>4.0690235214161303</v>
      </c>
      <c r="AH96" s="968">
        <f t="shared" si="245"/>
        <v>4.1108047829308205</v>
      </c>
      <c r="AI96" s="968">
        <f t="shared" si="245"/>
        <v>4.1436733577233733</v>
      </c>
      <c r="AJ96" s="968">
        <f t="shared" si="245"/>
        <v>4.1746317687147547</v>
      </c>
      <c r="AK96" s="968">
        <f t="shared" si="245"/>
        <v>4.2078082978929805</v>
      </c>
      <c r="AL96" s="968">
        <f t="shared" si="245"/>
        <v>4.2335251347529512</v>
      </c>
      <c r="AM96" s="968">
        <f t="shared" si="245"/>
        <v>4.2641893487710778</v>
      </c>
      <c r="AN96" s="264">
        <f t="shared" si="245"/>
        <v>4.2965838219664425</v>
      </c>
      <c r="AO96" s="264">
        <f t="shared" si="245"/>
        <v>4.3287105547508951</v>
      </c>
      <c r="AP96" s="264">
        <f t="shared" si="245"/>
        <v>4.3570423582328557</v>
      </c>
      <c r="AQ96" s="264">
        <f t="shared" si="245"/>
        <v>4.3910559730436169</v>
      </c>
      <c r="AR96" s="264">
        <f t="shared" si="245"/>
        <v>4.4340140224513274</v>
      </c>
      <c r="AS96" s="264">
        <f t="shared" ref="AS96:BA96" si="246">($BB96-$AR96)/10+AR96</f>
        <v>4.4375972389028373</v>
      </c>
      <c r="AT96" s="264">
        <f t="shared" si="246"/>
        <v>4.4411804553543472</v>
      </c>
      <c r="AU96" s="264">
        <f t="shared" si="246"/>
        <v>4.4447636718058572</v>
      </c>
      <c r="AV96" s="264">
        <f t="shared" si="246"/>
        <v>4.4483468882573671</v>
      </c>
      <c r="AW96" s="264">
        <f t="shared" si="246"/>
        <v>4.4519301047088771</v>
      </c>
      <c r="AX96" s="264">
        <f t="shared" si="246"/>
        <v>4.455513321160387</v>
      </c>
      <c r="AY96" s="264">
        <f t="shared" si="246"/>
        <v>4.4590965376118969</v>
      </c>
      <c r="AZ96" s="264">
        <f t="shared" si="246"/>
        <v>4.4626797540634069</v>
      </c>
      <c r="BA96" s="264">
        <f t="shared" si="246"/>
        <v>4.4662629705149168</v>
      </c>
      <c r="BB96" s="942">
        <f>('AEO Data'!$B$28*AM96)</f>
        <v>4.4698461869664294</v>
      </c>
      <c r="BC96" s="264">
        <f t="shared" ref="BC96:BP96" si="247">($BQ96-$BB96)/15+BB96</f>
        <v>4.4855328283960176</v>
      </c>
      <c r="BD96" s="264">
        <f t="shared" si="247"/>
        <v>4.5012194698256058</v>
      </c>
      <c r="BE96" s="264">
        <f t="shared" si="247"/>
        <v>4.516906111255194</v>
      </c>
      <c r="BF96" s="264">
        <f t="shared" si="247"/>
        <v>4.5325927526847822</v>
      </c>
      <c r="BG96" s="264">
        <f t="shared" si="247"/>
        <v>4.5482793941143704</v>
      </c>
      <c r="BH96" s="264">
        <f t="shared" si="247"/>
        <v>4.5639660355439586</v>
      </c>
      <c r="BI96" s="264">
        <f t="shared" si="247"/>
        <v>4.5796526769735468</v>
      </c>
      <c r="BJ96" s="264">
        <f t="shared" si="247"/>
        <v>4.595339318403135</v>
      </c>
      <c r="BK96" s="264">
        <f t="shared" si="247"/>
        <v>4.6110259598327232</v>
      </c>
      <c r="BL96" s="264">
        <f t="shared" si="247"/>
        <v>4.6267126012623114</v>
      </c>
      <c r="BM96" s="264">
        <f t="shared" si="247"/>
        <v>4.6423992426918996</v>
      </c>
      <c r="BN96" s="264">
        <f t="shared" si="247"/>
        <v>4.6580858841214878</v>
      </c>
      <c r="BO96" s="264">
        <f t="shared" si="247"/>
        <v>4.673772525551076</v>
      </c>
      <c r="BP96" s="264">
        <f t="shared" si="247"/>
        <v>4.6894591669806642</v>
      </c>
      <c r="BQ96" s="942">
        <f>('AEO Data'!$C$28*BB96)</f>
        <v>4.705145808410248</v>
      </c>
      <c r="BR96" s="264">
        <f t="shared" si="243"/>
        <v>4.7202300397216757</v>
      </c>
      <c r="BS96" s="264">
        <f t="shared" si="243"/>
        <v>4.7353142710331033</v>
      </c>
      <c r="BT96" s="264">
        <f t="shared" si="243"/>
        <v>4.750398502344531</v>
      </c>
      <c r="BU96" s="264">
        <f t="shared" si="243"/>
        <v>4.7654827336559586</v>
      </c>
      <c r="BV96" s="966">
        <f>('AEO Data'!$D$28*BQ96)</f>
        <v>4.7805669649673872</v>
      </c>
      <c r="BW96" s="1400">
        <f t="shared" ref="BW96:CZ96" si="248">+BV96*BW$138/BV$138</f>
        <v>4.7967298479248255</v>
      </c>
      <c r="BX96" s="1400">
        <f t="shared" si="248"/>
        <v>4.8129473768661839</v>
      </c>
      <c r="BY96" s="1400">
        <f t="shared" si="248"/>
        <v>4.8292197365470884</v>
      </c>
      <c r="BZ96" s="1400">
        <f t="shared" si="248"/>
        <v>4.8455471123478153</v>
      </c>
      <c r="CA96" s="1400">
        <f t="shared" si="248"/>
        <v>4.8619296902754039</v>
      </c>
      <c r="CB96" s="1400">
        <f t="shared" si="248"/>
        <v>4.8758501583004978</v>
      </c>
      <c r="CC96" s="1400">
        <f t="shared" si="248"/>
        <v>4.8898104828110576</v>
      </c>
      <c r="CD96" s="1400">
        <f t="shared" si="248"/>
        <v>4.9038107779224589</v>
      </c>
      <c r="CE96" s="1400">
        <f t="shared" si="248"/>
        <v>4.9178511580768074</v>
      </c>
      <c r="CF96" s="1400">
        <f t="shared" si="248"/>
        <v>4.9319317380438736</v>
      </c>
      <c r="CG96" s="1400">
        <f t="shared" si="248"/>
        <v>4.9426822755134054</v>
      </c>
      <c r="CH96" s="1400">
        <f t="shared" si="248"/>
        <v>4.9534562468141461</v>
      </c>
      <c r="CI96" s="1400">
        <f t="shared" si="248"/>
        <v>4.9642537030267464</v>
      </c>
      <c r="CJ96" s="1400">
        <f t="shared" si="248"/>
        <v>4.9750746953432019</v>
      </c>
      <c r="CK96" s="1400">
        <f t="shared" si="248"/>
        <v>4.9859192750670944</v>
      </c>
      <c r="CL96" s="1400">
        <f t="shared" si="248"/>
        <v>4.993270995886494</v>
      </c>
      <c r="CM96" s="1400">
        <f t="shared" si="248"/>
        <v>5.0006335567929519</v>
      </c>
      <c r="CN96" s="1400">
        <f t="shared" si="248"/>
        <v>5.0080069737701391</v>
      </c>
      <c r="CO96" s="1400">
        <f t="shared" si="248"/>
        <v>5.015391262825295</v>
      </c>
      <c r="CP96" s="1400">
        <f t="shared" si="248"/>
        <v>5.0227864399892601</v>
      </c>
      <c r="CQ96" s="1400">
        <f t="shared" si="248"/>
        <v>5.0252629691749675</v>
      </c>
      <c r="CR96" s="1400">
        <f t="shared" si="248"/>
        <v>5.0277407194352479</v>
      </c>
      <c r="CS96" s="1400">
        <f t="shared" si="248"/>
        <v>5.0302196913721628</v>
      </c>
      <c r="CT96" s="1400">
        <f t="shared" si="248"/>
        <v>5.0326998855880705</v>
      </c>
      <c r="CU96" s="1400">
        <f t="shared" si="248"/>
        <v>5.0351813026856274</v>
      </c>
      <c r="CV96" s="1400">
        <f t="shared" si="248"/>
        <v>5.0316149711771789</v>
      </c>
      <c r="CW96" s="1400">
        <f t="shared" si="248"/>
        <v>5.0280511656394289</v>
      </c>
      <c r="CX96" s="1400">
        <f t="shared" si="248"/>
        <v>5.024489884283275</v>
      </c>
      <c r="CY96" s="1400">
        <f t="shared" si="248"/>
        <v>5.0209311253208835</v>
      </c>
      <c r="CZ96" s="1400">
        <f t="shared" si="248"/>
        <v>5.0173748869656869</v>
      </c>
    </row>
    <row r="97" spans="1:104" ht="13" x14ac:dyDescent="0.3">
      <c r="A97" s="913" t="str">
        <f>'HyARC Physical Property Data'!A79</f>
        <v>Electric Utility Steam Coal</v>
      </c>
      <c r="B97" s="264">
        <v>2012</v>
      </c>
      <c r="C97" s="877">
        <f t="shared" si="221"/>
        <v>1.0589185747008452</v>
      </c>
      <c r="D97" s="1262" t="str">
        <f>+'HyARC Physical Property Data'!$H$79</f>
        <v>kg</v>
      </c>
      <c r="E97" s="904" t="s">
        <v>1052</v>
      </c>
      <c r="F97" s="264">
        <f>'HyARC Physical Property Data'!$E$42</f>
        <v>22.7322030001394</v>
      </c>
      <c r="G97" s="264">
        <f>'HyARC Physical Property Data'!$I$42</f>
        <v>23.967615189707661</v>
      </c>
      <c r="H97" s="1071">
        <v>1.6675147780813302</v>
      </c>
      <c r="I97" s="1071">
        <v>1.6675147780813302</v>
      </c>
      <c r="J97" s="1071">
        <v>1.6675147780813302</v>
      </c>
      <c r="K97" s="1071">
        <v>1.6675147780813302</v>
      </c>
      <c r="L97" s="1071">
        <v>1.899114052814848</v>
      </c>
      <c r="M97" s="1071">
        <v>1.9917537627082553</v>
      </c>
      <c r="N97" s="1071">
        <v>1.8435302268788039</v>
      </c>
      <c r="O97" s="264">
        <f t="shared" ref="O97:AR97" si="249">O113*($C97/mmBTU_to_GJ*$G97/$F97)</f>
        <v>2.563508608233021</v>
      </c>
      <c r="P97" s="264">
        <f t="shared" si="249"/>
        <v>2.5292473599987289</v>
      </c>
      <c r="Q97" s="264">
        <f t="shared" si="249"/>
        <v>2.512156420725097</v>
      </c>
      <c r="R97" s="264">
        <f t="shared" si="249"/>
        <v>2.4655759388013712</v>
      </c>
      <c r="S97" s="264">
        <f t="shared" si="249"/>
        <v>2.5439953061112566</v>
      </c>
      <c r="T97" s="264">
        <f t="shared" si="249"/>
        <v>2.5633361114465441</v>
      </c>
      <c r="U97" s="264">
        <f t="shared" si="249"/>
        <v>2.6312374078313132</v>
      </c>
      <c r="V97" s="264">
        <f t="shared" si="249"/>
        <v>2.6989005951549947</v>
      </c>
      <c r="W97" s="264">
        <f t="shared" si="249"/>
        <v>2.7399495390240283</v>
      </c>
      <c r="X97" s="264">
        <f t="shared" si="249"/>
        <v>2.7634874134094223</v>
      </c>
      <c r="Y97" s="264">
        <f t="shared" si="249"/>
        <v>2.7969877709107278</v>
      </c>
      <c r="Z97" s="264">
        <f t="shared" si="249"/>
        <v>2.8315834300930369</v>
      </c>
      <c r="AA97" s="264">
        <f t="shared" si="249"/>
        <v>2.8599236996749471</v>
      </c>
      <c r="AB97" s="264">
        <f t="shared" si="249"/>
        <v>2.8986106016579902</v>
      </c>
      <c r="AC97" s="264">
        <f t="shared" si="249"/>
        <v>2.9354709425768672</v>
      </c>
      <c r="AD97" s="264">
        <f t="shared" si="249"/>
        <v>2.9708190263922138</v>
      </c>
      <c r="AE97" s="264">
        <f t="shared" si="249"/>
        <v>3.0020991491816877</v>
      </c>
      <c r="AF97" s="264">
        <f t="shared" si="249"/>
        <v>3.0319082871048861</v>
      </c>
      <c r="AG97" s="264">
        <f t="shared" si="249"/>
        <v>3.0598453586766876</v>
      </c>
      <c r="AH97" s="264">
        <f t="shared" si="249"/>
        <v>3.0960559264244187</v>
      </c>
      <c r="AI97" s="264">
        <f t="shared" si="249"/>
        <v>3.1212584477124392</v>
      </c>
      <c r="AJ97" s="264">
        <f t="shared" si="249"/>
        <v>3.1476800873932294</v>
      </c>
      <c r="AK97" s="264">
        <f t="shared" si="249"/>
        <v>3.1754446621785544</v>
      </c>
      <c r="AL97" s="264">
        <f t="shared" si="249"/>
        <v>3.2007075044287174</v>
      </c>
      <c r="AM97" s="264">
        <f t="shared" si="249"/>
        <v>3.2277789172806535</v>
      </c>
      <c r="AN97" s="264">
        <f t="shared" si="249"/>
        <v>3.2553731118044889</v>
      </c>
      <c r="AO97" s="264">
        <f t="shared" si="249"/>
        <v>3.279584041135891</v>
      </c>
      <c r="AP97" s="264">
        <f t="shared" si="249"/>
        <v>3.3026478139240969</v>
      </c>
      <c r="AQ97" s="264">
        <f t="shared" si="249"/>
        <v>3.3375450779171172</v>
      </c>
      <c r="AR97" s="264">
        <f t="shared" si="249"/>
        <v>3.3755134196669223</v>
      </c>
      <c r="AS97" s="264">
        <f t="shared" ref="AS97:BA97" si="250">($BB97-$AR97)/10+AR97</f>
        <v>3.3763071676042595</v>
      </c>
      <c r="AT97" s="264">
        <f t="shared" si="250"/>
        <v>3.3771009155415967</v>
      </c>
      <c r="AU97" s="264">
        <f t="shared" si="250"/>
        <v>3.377894663478934</v>
      </c>
      <c r="AV97" s="264">
        <f t="shared" si="250"/>
        <v>3.3786884114162712</v>
      </c>
      <c r="AW97" s="264">
        <f t="shared" si="250"/>
        <v>3.3794821593536084</v>
      </c>
      <c r="AX97" s="264">
        <f t="shared" si="250"/>
        <v>3.3802759072909456</v>
      </c>
      <c r="AY97" s="264">
        <f t="shared" si="250"/>
        <v>3.3810696552282828</v>
      </c>
      <c r="AZ97" s="264">
        <f t="shared" si="250"/>
        <v>3.3818634031656201</v>
      </c>
      <c r="BA97" s="264">
        <f t="shared" si="250"/>
        <v>3.3826571511029573</v>
      </c>
      <c r="BB97" s="942">
        <f>('AEO Data'!$B$28*AM97)</f>
        <v>3.3834508990402963</v>
      </c>
      <c r="BC97" s="264">
        <f t="shared" ref="BC97:BP97" si="251">($BQ97-$BB97)/15+BB97</f>
        <v>3.3953249051755909</v>
      </c>
      <c r="BD97" s="264">
        <f t="shared" si="251"/>
        <v>3.4071989113108856</v>
      </c>
      <c r="BE97" s="264">
        <f t="shared" si="251"/>
        <v>3.4190729174461802</v>
      </c>
      <c r="BF97" s="264">
        <f t="shared" si="251"/>
        <v>3.4309469235814749</v>
      </c>
      <c r="BG97" s="264">
        <f t="shared" si="251"/>
        <v>3.4428209297167696</v>
      </c>
      <c r="BH97" s="264">
        <f t="shared" si="251"/>
        <v>3.4546949358520642</v>
      </c>
      <c r="BI97" s="264">
        <f t="shared" si="251"/>
        <v>3.4665689419873589</v>
      </c>
      <c r="BJ97" s="264">
        <f t="shared" si="251"/>
        <v>3.4784429481226535</v>
      </c>
      <c r="BK97" s="264">
        <f t="shared" si="251"/>
        <v>3.4903169542579482</v>
      </c>
      <c r="BL97" s="264">
        <f t="shared" si="251"/>
        <v>3.5021909603932428</v>
      </c>
      <c r="BM97" s="264">
        <f t="shared" si="251"/>
        <v>3.5140649665285375</v>
      </c>
      <c r="BN97" s="264">
        <f t="shared" si="251"/>
        <v>3.5259389726638322</v>
      </c>
      <c r="BO97" s="264">
        <f t="shared" si="251"/>
        <v>3.5378129787991268</v>
      </c>
      <c r="BP97" s="264">
        <f t="shared" si="251"/>
        <v>3.5496869849344215</v>
      </c>
      <c r="BQ97" s="942">
        <f>('AEO Data'!$C$28*BB97)</f>
        <v>3.5615609910697135</v>
      </c>
      <c r="BR97" s="264">
        <f t="shared" si="243"/>
        <v>3.5729790027545003</v>
      </c>
      <c r="BS97" s="264">
        <f t="shared" si="243"/>
        <v>3.5843970144392872</v>
      </c>
      <c r="BT97" s="264">
        <f t="shared" si="243"/>
        <v>3.595815026124074</v>
      </c>
      <c r="BU97" s="264">
        <f t="shared" si="243"/>
        <v>3.6072330378088608</v>
      </c>
      <c r="BV97" s="966">
        <f>('AEO Data'!$D$28*BQ97)</f>
        <v>3.6186510494936472</v>
      </c>
      <c r="BW97" s="1400">
        <f t="shared" ref="BW97:CZ97" si="252">+BV97*BW$138/BV$138</f>
        <v>3.6308855467416481</v>
      </c>
      <c r="BX97" s="1400">
        <f t="shared" si="252"/>
        <v>3.6431614082772978</v>
      </c>
      <c r="BY97" s="1400">
        <f t="shared" si="252"/>
        <v>3.6554787739514016</v>
      </c>
      <c r="BZ97" s="1400">
        <f t="shared" si="252"/>
        <v>3.6678377840875944</v>
      </c>
      <c r="CA97" s="1400">
        <f t="shared" si="252"/>
        <v>3.6802385794839378</v>
      </c>
      <c r="CB97" s="1400">
        <f t="shared" si="252"/>
        <v>3.6907756803336049</v>
      </c>
      <c r="CC97" s="1400">
        <f t="shared" si="252"/>
        <v>3.701342950557327</v>
      </c>
      <c r="CD97" s="1400">
        <f t="shared" si="252"/>
        <v>3.7119404765347586</v>
      </c>
      <c r="CE97" s="1400">
        <f t="shared" si="252"/>
        <v>3.7225683448928724</v>
      </c>
      <c r="CF97" s="1400">
        <f t="shared" si="252"/>
        <v>3.7332266425066685</v>
      </c>
      <c r="CG97" s="1400">
        <f t="shared" si="252"/>
        <v>3.7413642638352314</v>
      </c>
      <c r="CH97" s="1400">
        <f t="shared" si="252"/>
        <v>3.7495196234066683</v>
      </c>
      <c r="CI97" s="1400">
        <f t="shared" si="252"/>
        <v>3.7576927598864862</v>
      </c>
      <c r="CJ97" s="1400">
        <f t="shared" si="252"/>
        <v>3.7658837120244759</v>
      </c>
      <c r="CK97" s="1400">
        <f t="shared" si="252"/>
        <v>3.7740925186548933</v>
      </c>
      <c r="CL97" s="1400">
        <f t="shared" si="252"/>
        <v>3.7796574050906777</v>
      </c>
      <c r="CM97" s="1400">
        <f t="shared" si="252"/>
        <v>3.785230496932368</v>
      </c>
      <c r="CN97" s="1400">
        <f t="shared" si="252"/>
        <v>3.7908118062788079</v>
      </c>
      <c r="CO97" s="1400">
        <f t="shared" si="252"/>
        <v>3.7964013452466796</v>
      </c>
      <c r="CP97" s="1400">
        <f t="shared" si="252"/>
        <v>3.8019991259705304</v>
      </c>
      <c r="CQ97" s="1400">
        <f t="shared" si="252"/>
        <v>3.803873735196305</v>
      </c>
      <c r="CR97" s="1400">
        <f t="shared" si="252"/>
        <v>3.8057492687147039</v>
      </c>
      <c r="CS97" s="1400">
        <f t="shared" si="252"/>
        <v>3.807625726981458</v>
      </c>
      <c r="CT97" s="1400">
        <f t="shared" si="252"/>
        <v>3.8095031104525217</v>
      </c>
      <c r="CU97" s="1400">
        <f t="shared" si="252"/>
        <v>3.8113814195840758</v>
      </c>
      <c r="CV97" s="1400">
        <f t="shared" si="252"/>
        <v>3.808681884288271</v>
      </c>
      <c r="CW97" s="1400">
        <f t="shared" si="252"/>
        <v>3.8059842610264538</v>
      </c>
      <c r="CX97" s="1400">
        <f t="shared" si="252"/>
        <v>3.8032885484443635</v>
      </c>
      <c r="CY97" s="1400">
        <f t="shared" si="252"/>
        <v>3.8005947451886986</v>
      </c>
      <c r="CZ97" s="1400">
        <f t="shared" si="252"/>
        <v>3.7979028499071168</v>
      </c>
    </row>
    <row r="98" spans="1:104" ht="13" x14ac:dyDescent="0.3">
      <c r="A98" s="880" t="str">
        <f>'HyARC Physical Property Data'!A76</f>
        <v>Commercial Electricity</v>
      </c>
      <c r="B98" s="264">
        <v>2012</v>
      </c>
      <c r="C98" s="877">
        <f t="shared" si="221"/>
        <v>1.0589185747008452</v>
      </c>
      <c r="D98" s="1250" t="str">
        <f>'HyARC Physical Property Data'!$H$76</f>
        <v>kWh</v>
      </c>
      <c r="E98" s="877" t="s">
        <v>1071</v>
      </c>
      <c r="F98" s="881"/>
      <c r="G98" s="877"/>
      <c r="H98" s="1071">
        <v>26.706046857142852</v>
      </c>
      <c r="I98" s="1071">
        <v>26.706046857142852</v>
      </c>
      <c r="J98" s="1071">
        <v>26.706046857142852</v>
      </c>
      <c r="K98" s="1071">
        <v>26.706046857142852</v>
      </c>
      <c r="L98" s="1071">
        <v>28.244819428571425</v>
      </c>
      <c r="M98" s="1071">
        <v>26.82655314285714</v>
      </c>
      <c r="N98" s="1071">
        <v>25.371207999999996</v>
      </c>
      <c r="O98" s="264">
        <f>O114*($C98)</f>
        <v>32.330007136570579</v>
      </c>
      <c r="P98" s="264">
        <f t="shared" ref="P98:AR98" si="253">P114*($C98)</f>
        <v>31.294588082879496</v>
      </c>
      <c r="Q98" s="264">
        <f t="shared" si="253"/>
        <v>31.198589701652843</v>
      </c>
      <c r="R98" s="264">
        <f t="shared" si="253"/>
        <v>31.36496487027269</v>
      </c>
      <c r="S98" s="264">
        <f t="shared" si="253"/>
        <v>31.759086951346323</v>
      </c>
      <c r="T98" s="264">
        <f t="shared" si="253"/>
        <v>31.913488927642028</v>
      </c>
      <c r="U98" s="264">
        <f t="shared" si="253"/>
        <v>32.158172183779577</v>
      </c>
      <c r="V98" s="264">
        <f t="shared" si="253"/>
        <v>32.533567289859626</v>
      </c>
      <c r="W98" s="264">
        <f t="shared" si="253"/>
        <v>32.841645883227365</v>
      </c>
      <c r="X98" s="264">
        <f t="shared" si="253"/>
        <v>32.614198644730223</v>
      </c>
      <c r="Y98" s="264">
        <f t="shared" si="253"/>
        <v>32.436733421877534</v>
      </c>
      <c r="Z98" s="264">
        <f t="shared" si="253"/>
        <v>32.079793148717371</v>
      </c>
      <c r="AA98" s="264">
        <f t="shared" si="253"/>
        <v>31.936446282341542</v>
      </c>
      <c r="AB98" s="264">
        <f t="shared" si="253"/>
        <v>32.294334287626057</v>
      </c>
      <c r="AC98" s="264">
        <f t="shared" si="253"/>
        <v>32.349416055126277</v>
      </c>
      <c r="AD98" s="264">
        <f t="shared" si="253"/>
        <v>32.432684117247874</v>
      </c>
      <c r="AE98" s="264">
        <f t="shared" si="253"/>
        <v>32.648171929362348</v>
      </c>
      <c r="AF98" s="264">
        <f t="shared" si="253"/>
        <v>32.727937088838836</v>
      </c>
      <c r="AG98" s="264">
        <f t="shared" si="253"/>
        <v>32.843544524231802</v>
      </c>
      <c r="AH98" s="264">
        <f t="shared" si="253"/>
        <v>33.101402845275778</v>
      </c>
      <c r="AI98" s="264">
        <f t="shared" si="253"/>
        <v>33.362655000351673</v>
      </c>
      <c r="AJ98" s="264">
        <f t="shared" si="253"/>
        <v>33.40757114953476</v>
      </c>
      <c r="AK98" s="264">
        <f t="shared" si="253"/>
        <v>33.395441237261558</v>
      </c>
      <c r="AL98" s="264">
        <f t="shared" si="253"/>
        <v>33.59644198435555</v>
      </c>
      <c r="AM98" s="264">
        <f t="shared" si="253"/>
        <v>33.868319328409996</v>
      </c>
      <c r="AN98" s="264">
        <f t="shared" si="253"/>
        <v>34.152252460437403</v>
      </c>
      <c r="AO98" s="264">
        <f t="shared" si="253"/>
        <v>34.36864670685182</v>
      </c>
      <c r="AP98" s="264">
        <f t="shared" si="253"/>
        <v>34.442402503416886</v>
      </c>
      <c r="AQ98" s="264">
        <f t="shared" si="253"/>
        <v>34.677078979023513</v>
      </c>
      <c r="AR98" s="264">
        <f t="shared" si="253"/>
        <v>34.95210131124481</v>
      </c>
      <c r="AS98" s="264">
        <f t="shared" ref="AS98:BA98" si="254">($BB98-$AR98)/10+AR98</f>
        <v>34.759294585447087</v>
      </c>
      <c r="AT98" s="264">
        <f t="shared" si="254"/>
        <v>34.566487859649364</v>
      </c>
      <c r="AU98" s="264">
        <f t="shared" si="254"/>
        <v>34.37368113385164</v>
      </c>
      <c r="AV98" s="264">
        <f t="shared" si="254"/>
        <v>34.180874408053917</v>
      </c>
      <c r="AW98" s="264">
        <f t="shared" si="254"/>
        <v>33.988067682256194</v>
      </c>
      <c r="AX98" s="264">
        <f t="shared" si="254"/>
        <v>33.795260956458471</v>
      </c>
      <c r="AY98" s="264">
        <f t="shared" si="254"/>
        <v>33.602454230660747</v>
      </c>
      <c r="AZ98" s="264">
        <f t="shared" si="254"/>
        <v>33.409647504863024</v>
      </c>
      <c r="BA98" s="264">
        <f t="shared" si="254"/>
        <v>33.216840779065301</v>
      </c>
      <c r="BB98" s="942">
        <f>'AEO Data'!$B$33*AM98</f>
        <v>33.024034053267563</v>
      </c>
      <c r="BC98" s="264">
        <f t="shared" ref="BC98:BP98" si="255">($BQ98-$BB98)/15+BB98</f>
        <v>33.043274641864315</v>
      </c>
      <c r="BD98" s="264">
        <f t="shared" si="255"/>
        <v>33.062515230461067</v>
      </c>
      <c r="BE98" s="264">
        <f t="shared" si="255"/>
        <v>33.081755819057818</v>
      </c>
      <c r="BF98" s="264">
        <f t="shared" si="255"/>
        <v>33.10099640765457</v>
      </c>
      <c r="BG98" s="264">
        <f t="shared" si="255"/>
        <v>33.120236996251322</v>
      </c>
      <c r="BH98" s="264">
        <f t="shared" si="255"/>
        <v>33.139477584848073</v>
      </c>
      <c r="BI98" s="264">
        <f t="shared" si="255"/>
        <v>33.158718173444825</v>
      </c>
      <c r="BJ98" s="264">
        <f t="shared" si="255"/>
        <v>33.177958762041577</v>
      </c>
      <c r="BK98" s="264">
        <f t="shared" si="255"/>
        <v>33.197199350638328</v>
      </c>
      <c r="BL98" s="264">
        <f t="shared" si="255"/>
        <v>33.21643993923508</v>
      </c>
      <c r="BM98" s="264">
        <f t="shared" si="255"/>
        <v>33.235680527831832</v>
      </c>
      <c r="BN98" s="264">
        <f t="shared" si="255"/>
        <v>33.254921116428584</v>
      </c>
      <c r="BO98" s="264">
        <f t="shared" si="255"/>
        <v>33.274161705025335</v>
      </c>
      <c r="BP98" s="264">
        <f t="shared" si="255"/>
        <v>33.293402293622087</v>
      </c>
      <c r="BQ98" s="942">
        <f>'AEO Data'!$C$33*BB98</f>
        <v>33.312642882218888</v>
      </c>
      <c r="BR98" s="264">
        <f t="shared" si="243"/>
        <v>33.29021180684974</v>
      </c>
      <c r="BS98" s="264">
        <f t="shared" si="243"/>
        <v>33.267780731480592</v>
      </c>
      <c r="BT98" s="264">
        <f t="shared" si="243"/>
        <v>33.245349656111443</v>
      </c>
      <c r="BU98" s="264">
        <f t="shared" si="243"/>
        <v>33.222918580742295</v>
      </c>
      <c r="BV98" s="966">
        <f>'AEO Data'!$D$33*BQ98</f>
        <v>33.200487505373161</v>
      </c>
      <c r="BW98" s="1400">
        <f>+BV98*BW$139/BV$139</f>
        <v>33.185869205539639</v>
      </c>
      <c r="BX98" s="1400">
        <f t="shared" ref="BX98:CZ98" si="256">+BW98*BX$139/BW$139</f>
        <v>33.171257342198651</v>
      </c>
      <c r="BY98" s="1400">
        <f t="shared" si="256"/>
        <v>33.156651912516189</v>
      </c>
      <c r="BZ98" s="1400">
        <f t="shared" si="256"/>
        <v>33.142052913659484</v>
      </c>
      <c r="CA98" s="1400">
        <f t="shared" si="256"/>
        <v>33.127460342797029</v>
      </c>
      <c r="CB98" s="1400">
        <f t="shared" si="256"/>
        <v>33.100925764400195</v>
      </c>
      <c r="CC98" s="1400">
        <f t="shared" si="256"/>
        <v>33.074412439786272</v>
      </c>
      <c r="CD98" s="1400">
        <f t="shared" si="256"/>
        <v>33.047920351931317</v>
      </c>
      <c r="CE98" s="1400">
        <f t="shared" si="256"/>
        <v>33.021449483825023</v>
      </c>
      <c r="CF98" s="1400">
        <f t="shared" si="256"/>
        <v>32.994999818470696</v>
      </c>
      <c r="CG98" s="1400">
        <f t="shared" si="256"/>
        <v>32.958563922192354</v>
      </c>
      <c r="CH98" s="1400">
        <f t="shared" si="256"/>
        <v>32.922168261541977</v>
      </c>
      <c r="CI98" s="1400">
        <f t="shared" si="256"/>
        <v>32.885812792087954</v>
      </c>
      <c r="CJ98" s="1400">
        <f t="shared" si="256"/>
        <v>32.849497469447741</v>
      </c>
      <c r="CK98" s="1400">
        <f t="shared" si="256"/>
        <v>32.81322224928779</v>
      </c>
      <c r="CL98" s="1400">
        <f t="shared" si="256"/>
        <v>32.773673393987664</v>
      </c>
      <c r="CM98" s="1400">
        <f t="shared" si="256"/>
        <v>32.734172205812207</v>
      </c>
      <c r="CN98" s="1400">
        <f t="shared" si="256"/>
        <v>32.694718627309562</v>
      </c>
      <c r="CO98" s="1400">
        <f t="shared" si="256"/>
        <v>32.65531260109713</v>
      </c>
      <c r="CP98" s="1400">
        <f t="shared" si="256"/>
        <v>32.615954069861473</v>
      </c>
      <c r="CQ98" s="1400">
        <f t="shared" si="256"/>
        <v>32.57036661325251</v>
      </c>
      <c r="CR98" s="1400">
        <f t="shared" si="256"/>
        <v>32.524842874423982</v>
      </c>
      <c r="CS98" s="1400">
        <f t="shared" si="256"/>
        <v>32.479382764317279</v>
      </c>
      <c r="CT98" s="1400">
        <f t="shared" si="256"/>
        <v>32.433986193998265</v>
      </c>
      <c r="CU98" s="1400">
        <f t="shared" si="256"/>
        <v>32.388653074657114</v>
      </c>
      <c r="CV98" s="1400">
        <f t="shared" si="256"/>
        <v>32.344399879459552</v>
      </c>
      <c r="CW98" s="1400">
        <f t="shared" si="256"/>
        <v>32.300207148193003</v>
      </c>
      <c r="CX98" s="1400">
        <f t="shared" si="256"/>
        <v>32.256074798244526</v>
      </c>
      <c r="CY98" s="1400">
        <f t="shared" si="256"/>
        <v>32.212002747114042</v>
      </c>
      <c r="CZ98" s="1400">
        <f t="shared" si="256"/>
        <v>32.167990912414197</v>
      </c>
    </row>
    <row r="99" spans="1:104" ht="13" x14ac:dyDescent="0.3">
      <c r="A99" s="880" t="str">
        <f>'HyARC Physical Property Data'!A77</f>
        <v>Industrial Electricity</v>
      </c>
      <c r="B99" s="264">
        <v>2012</v>
      </c>
      <c r="C99" s="877">
        <f t="shared" si="221"/>
        <v>1.0589185747008452</v>
      </c>
      <c r="D99" s="1250" t="str">
        <f>'HyARC Physical Property Data'!$H$77</f>
        <v>kWh</v>
      </c>
      <c r="E99" s="877" t="s">
        <v>1071</v>
      </c>
      <c r="F99" s="888"/>
      <c r="G99" s="226"/>
      <c r="H99" s="1071">
        <v>17.630996571428568</v>
      </c>
      <c r="I99" s="1071">
        <v>17.630996571428568</v>
      </c>
      <c r="J99" s="1071">
        <v>17.630996571428568</v>
      </c>
      <c r="K99" s="1071">
        <v>17.630996571428568</v>
      </c>
      <c r="L99" s="1071">
        <v>18.734092571428569</v>
      </c>
      <c r="M99" s="1071">
        <v>18.576507428571425</v>
      </c>
      <c r="N99" s="1071">
        <v>17.751502857142853</v>
      </c>
      <c r="O99" s="264">
        <f t="shared" ref="O99:AR99" si="257">O115*($C99)</f>
        <v>21.546913279081487</v>
      </c>
      <c r="P99" s="264">
        <f t="shared" si="257"/>
        <v>20.644255082774947</v>
      </c>
      <c r="Q99" s="264">
        <f t="shared" si="257"/>
        <v>21.265150930132211</v>
      </c>
      <c r="R99" s="264">
        <f t="shared" si="257"/>
        <v>21.043453619495697</v>
      </c>
      <c r="S99" s="264">
        <f t="shared" si="257"/>
        <v>21.290934538507603</v>
      </c>
      <c r="T99" s="264">
        <f t="shared" si="257"/>
        <v>21.295208333875095</v>
      </c>
      <c r="U99" s="264">
        <f t="shared" si="257"/>
        <v>21.481681777042766</v>
      </c>
      <c r="V99" s="264">
        <f t="shared" si="257"/>
        <v>21.805181401613872</v>
      </c>
      <c r="W99" s="264">
        <f t="shared" si="257"/>
        <v>22.088499301949383</v>
      </c>
      <c r="X99" s="264">
        <f t="shared" si="257"/>
        <v>21.993341702071042</v>
      </c>
      <c r="Y99" s="264">
        <f t="shared" si="257"/>
        <v>21.973911605143858</v>
      </c>
      <c r="Z99" s="264">
        <f t="shared" si="257"/>
        <v>21.871052490471715</v>
      </c>
      <c r="AA99" s="264">
        <f t="shared" si="257"/>
        <v>21.880460982007932</v>
      </c>
      <c r="AB99" s="264">
        <f t="shared" si="257"/>
        <v>22.180329779666014</v>
      </c>
      <c r="AC99" s="264">
        <f t="shared" si="257"/>
        <v>22.321195599821319</v>
      </c>
      <c r="AD99" s="264">
        <f t="shared" si="257"/>
        <v>22.488160586087275</v>
      </c>
      <c r="AE99" s="264">
        <f t="shared" si="257"/>
        <v>22.726148300076993</v>
      </c>
      <c r="AF99" s="264">
        <f t="shared" si="257"/>
        <v>22.858293925769633</v>
      </c>
      <c r="AG99" s="264">
        <f t="shared" si="257"/>
        <v>23.018536896923386</v>
      </c>
      <c r="AH99" s="264">
        <f t="shared" si="257"/>
        <v>23.283823531768892</v>
      </c>
      <c r="AI99" s="264">
        <f t="shared" si="257"/>
        <v>23.547517553078045</v>
      </c>
      <c r="AJ99" s="264">
        <f t="shared" si="257"/>
        <v>23.658798247174783</v>
      </c>
      <c r="AK99" s="264">
        <f t="shared" si="257"/>
        <v>23.759156196173482</v>
      </c>
      <c r="AL99" s="264">
        <f t="shared" si="257"/>
        <v>23.989354505127697</v>
      </c>
      <c r="AM99" s="264">
        <f t="shared" si="257"/>
        <v>24.26178778143386</v>
      </c>
      <c r="AN99" s="264">
        <f t="shared" si="257"/>
        <v>24.557527855569184</v>
      </c>
      <c r="AO99" s="264">
        <f t="shared" si="257"/>
        <v>24.788558474523114</v>
      </c>
      <c r="AP99" s="264">
        <f t="shared" si="257"/>
        <v>24.907507856937837</v>
      </c>
      <c r="AQ99" s="264">
        <f t="shared" si="257"/>
        <v>25.164130420005137</v>
      </c>
      <c r="AR99" s="264">
        <f t="shared" si="257"/>
        <v>25.469928102762971</v>
      </c>
      <c r="AS99" s="264">
        <f t="shared" ref="AS99:BA99" si="258">($BB99-$AR99)/10+AR99</f>
        <v>25.288633153422833</v>
      </c>
      <c r="AT99" s="264">
        <f t="shared" si="258"/>
        <v>25.107338204082694</v>
      </c>
      <c r="AU99" s="264">
        <f t="shared" si="258"/>
        <v>24.926043254742556</v>
      </c>
      <c r="AV99" s="264">
        <f t="shared" si="258"/>
        <v>24.744748305402418</v>
      </c>
      <c r="AW99" s="264">
        <f t="shared" si="258"/>
        <v>24.563453356062279</v>
      </c>
      <c r="AX99" s="264">
        <f t="shared" si="258"/>
        <v>24.382158406722141</v>
      </c>
      <c r="AY99" s="264">
        <f t="shared" si="258"/>
        <v>24.200863457382003</v>
      </c>
      <c r="AZ99" s="264">
        <f t="shared" si="258"/>
        <v>24.019568508041864</v>
      </c>
      <c r="BA99" s="264">
        <f t="shared" si="258"/>
        <v>23.838273558701726</v>
      </c>
      <c r="BB99" s="942">
        <f>'AEO Data'!$B$33*AM99</f>
        <v>23.65697860936158</v>
      </c>
      <c r="BC99" s="264">
        <f t="shared" ref="BC99:BP99" si="259">($BQ99-$BB99)/15+BB99</f>
        <v>23.670761728411506</v>
      </c>
      <c r="BD99" s="264">
        <f t="shared" si="259"/>
        <v>23.684544847461432</v>
      </c>
      <c r="BE99" s="264">
        <f t="shared" si="259"/>
        <v>23.698327966511357</v>
      </c>
      <c r="BF99" s="264">
        <f t="shared" si="259"/>
        <v>23.712111085561283</v>
      </c>
      <c r="BG99" s="264">
        <f t="shared" si="259"/>
        <v>23.725894204611208</v>
      </c>
      <c r="BH99" s="264">
        <f t="shared" si="259"/>
        <v>23.739677323661134</v>
      </c>
      <c r="BI99" s="264">
        <f t="shared" si="259"/>
        <v>23.753460442711059</v>
      </c>
      <c r="BJ99" s="264">
        <f t="shared" si="259"/>
        <v>23.767243561760985</v>
      </c>
      <c r="BK99" s="264">
        <f t="shared" si="259"/>
        <v>23.781026680810911</v>
      </c>
      <c r="BL99" s="264">
        <f t="shared" si="259"/>
        <v>23.794809799860836</v>
      </c>
      <c r="BM99" s="264">
        <f t="shared" si="259"/>
        <v>23.808592918910762</v>
      </c>
      <c r="BN99" s="264">
        <f t="shared" si="259"/>
        <v>23.822376037960687</v>
      </c>
      <c r="BO99" s="264">
        <f t="shared" si="259"/>
        <v>23.836159157010613</v>
      </c>
      <c r="BP99" s="264">
        <f t="shared" si="259"/>
        <v>23.849942276060538</v>
      </c>
      <c r="BQ99" s="942">
        <f>'AEO Data'!$C$33*BB99</f>
        <v>23.863725395110453</v>
      </c>
      <c r="BR99" s="264">
        <f t="shared" si="243"/>
        <v>23.847656750397427</v>
      </c>
      <c r="BS99" s="264">
        <f t="shared" si="243"/>
        <v>23.8315881056844</v>
      </c>
      <c r="BT99" s="264">
        <f t="shared" si="243"/>
        <v>23.815519460971373</v>
      </c>
      <c r="BU99" s="264">
        <f t="shared" si="243"/>
        <v>23.799450816258346</v>
      </c>
      <c r="BV99" s="966">
        <f>'AEO Data'!$D$33*BQ99</f>
        <v>23.783382171545323</v>
      </c>
      <c r="BW99" s="1400">
        <f>+BV99*BW$140/BV$140</f>
        <v>23.79056855003947</v>
      </c>
      <c r="BX99" s="1400">
        <f t="shared" ref="BX99:CZ99" si="260">+BW99*BX$140/BW$140</f>
        <v>23.797757099967246</v>
      </c>
      <c r="BY99" s="1400">
        <f t="shared" si="260"/>
        <v>23.804947821984772</v>
      </c>
      <c r="BZ99" s="1400">
        <f t="shared" si="260"/>
        <v>23.812140716748367</v>
      </c>
      <c r="CA99" s="1400">
        <f t="shared" si="260"/>
        <v>23.819335784914539</v>
      </c>
      <c r="CB99" s="1400">
        <f t="shared" si="260"/>
        <v>23.816642001078176</v>
      </c>
      <c r="CC99" s="1400">
        <f t="shared" si="260"/>
        <v>23.813948521888062</v>
      </c>
      <c r="CD99" s="1400">
        <f t="shared" si="260"/>
        <v>23.811255347309746</v>
      </c>
      <c r="CE99" s="1400">
        <f t="shared" si="260"/>
        <v>23.808562477308776</v>
      </c>
      <c r="CF99" s="1400">
        <f t="shared" si="260"/>
        <v>23.805869911850717</v>
      </c>
      <c r="CG99" s="1400">
        <f t="shared" si="260"/>
        <v>23.795071358532098</v>
      </c>
      <c r="CH99" s="1400">
        <f t="shared" si="260"/>
        <v>23.784277703532847</v>
      </c>
      <c r="CI99" s="1400">
        <f t="shared" si="260"/>
        <v>23.773488944631048</v>
      </c>
      <c r="CJ99" s="1400">
        <f t="shared" si="260"/>
        <v>23.762705079605791</v>
      </c>
      <c r="CK99" s="1400">
        <f t="shared" si="260"/>
        <v>23.751926106237168</v>
      </c>
      <c r="CL99" s="1400">
        <f t="shared" si="260"/>
        <v>23.738702519984074</v>
      </c>
      <c r="CM99" s="1400">
        <f t="shared" si="260"/>
        <v>23.725486295796383</v>
      </c>
      <c r="CN99" s="1400">
        <f t="shared" si="260"/>
        <v>23.712277429575355</v>
      </c>
      <c r="CO99" s="1400">
        <f t="shared" si="260"/>
        <v>23.699075917224537</v>
      </c>
      <c r="CP99" s="1400">
        <f t="shared" si="260"/>
        <v>23.685881754649749</v>
      </c>
      <c r="CQ99" s="1400">
        <f t="shared" si="260"/>
        <v>23.667805095398695</v>
      </c>
      <c r="CR99" s="1400">
        <f t="shared" si="260"/>
        <v>23.649742231944352</v>
      </c>
      <c r="CS99" s="1400">
        <f t="shared" si="260"/>
        <v>23.631693153758011</v>
      </c>
      <c r="CT99" s="1400">
        <f t="shared" si="260"/>
        <v>23.613657850318987</v>
      </c>
      <c r="CU99" s="1400">
        <f t="shared" si="260"/>
        <v>23.595636311114628</v>
      </c>
      <c r="CV99" s="1400">
        <f t="shared" si="260"/>
        <v>23.578692647144699</v>
      </c>
      <c r="CW99" s="1400">
        <f t="shared" si="260"/>
        <v>23.561761150159583</v>
      </c>
      <c r="CX99" s="1400">
        <f t="shared" si="260"/>
        <v>23.544841811422359</v>
      </c>
      <c r="CY99" s="1400">
        <f t="shared" si="260"/>
        <v>23.527934622202373</v>
      </c>
      <c r="CZ99" s="1400">
        <f t="shared" si="260"/>
        <v>23.511039573775246</v>
      </c>
    </row>
    <row r="100" spans="1:104" ht="13.5" thickBot="1" x14ac:dyDescent="0.35">
      <c r="A100" s="882" t="str">
        <f>'HyARC Physical Property Data'!A78</f>
        <v>Residential Electricity</v>
      </c>
      <c r="B100" s="883">
        <v>2012</v>
      </c>
      <c r="C100" s="884">
        <f t="shared" si="221"/>
        <v>1.0589185747008452</v>
      </c>
      <c r="D100" s="1251" t="str">
        <f>'HyARC Physical Property Data'!$H$78</f>
        <v>kWh</v>
      </c>
      <c r="E100" s="884" t="s">
        <v>1071</v>
      </c>
      <c r="F100" s="889"/>
      <c r="G100" s="573"/>
      <c r="H100" s="1073">
        <v>29.496230857142855</v>
      </c>
      <c r="I100" s="1073">
        <v>29.496230857142855</v>
      </c>
      <c r="J100" s="1073">
        <v>29.496230857142855</v>
      </c>
      <c r="K100" s="1073">
        <v>29.496230857142855</v>
      </c>
      <c r="L100" s="1073">
        <v>30.858878857142852</v>
      </c>
      <c r="M100" s="1073">
        <v>29.96898628571428</v>
      </c>
      <c r="N100" s="1073">
        <v>28.680495999999998</v>
      </c>
      <c r="O100" s="883">
        <f t="shared" ref="O100:AR100" si="261">O116*($C100)</f>
        <v>37.012259165882554</v>
      </c>
      <c r="P100" s="883">
        <f t="shared" si="261"/>
        <v>36.883387716422881</v>
      </c>
      <c r="Q100" s="883">
        <f t="shared" si="261"/>
        <v>36.020153058652454</v>
      </c>
      <c r="R100" s="883">
        <f t="shared" si="261"/>
        <v>36.437036594489285</v>
      </c>
      <c r="S100" s="883">
        <f t="shared" si="261"/>
        <v>37.000471284308979</v>
      </c>
      <c r="T100" s="883">
        <f t="shared" si="261"/>
        <v>37.234901031887702</v>
      </c>
      <c r="U100" s="883">
        <f t="shared" si="261"/>
        <v>37.611895105015549</v>
      </c>
      <c r="V100" s="883">
        <f t="shared" si="261"/>
        <v>38.029256213129564</v>
      </c>
      <c r="W100" s="883">
        <f t="shared" si="261"/>
        <v>38.30980398247366</v>
      </c>
      <c r="X100" s="883">
        <f t="shared" si="261"/>
        <v>38.276616415423959</v>
      </c>
      <c r="Y100" s="883">
        <f t="shared" si="261"/>
        <v>38.186511974984086</v>
      </c>
      <c r="Z100" s="883">
        <f t="shared" si="261"/>
        <v>37.913659366922346</v>
      </c>
      <c r="AA100" s="883">
        <f t="shared" si="261"/>
        <v>37.798756112381561</v>
      </c>
      <c r="AB100" s="883">
        <f t="shared" si="261"/>
        <v>38.164246094113849</v>
      </c>
      <c r="AC100" s="883">
        <f t="shared" si="261"/>
        <v>38.270815659471751</v>
      </c>
      <c r="AD100" s="883">
        <f t="shared" si="261"/>
        <v>38.382554865311334</v>
      </c>
      <c r="AE100" s="883">
        <f t="shared" si="261"/>
        <v>38.619545078003675</v>
      </c>
      <c r="AF100" s="883">
        <f t="shared" si="261"/>
        <v>38.734851780521424</v>
      </c>
      <c r="AG100" s="883">
        <f t="shared" si="261"/>
        <v>38.88910974389097</v>
      </c>
      <c r="AH100" s="883">
        <f t="shared" si="261"/>
        <v>39.160747772347534</v>
      </c>
      <c r="AI100" s="883">
        <f t="shared" si="261"/>
        <v>39.451321382756888</v>
      </c>
      <c r="AJ100" s="883">
        <f t="shared" si="261"/>
        <v>39.535438697575401</v>
      </c>
      <c r="AK100" s="883">
        <f t="shared" si="261"/>
        <v>39.570735630425908</v>
      </c>
      <c r="AL100" s="883">
        <f t="shared" si="261"/>
        <v>39.780803897275057</v>
      </c>
      <c r="AM100" s="883">
        <f t="shared" si="261"/>
        <v>40.046078884016239</v>
      </c>
      <c r="AN100" s="883">
        <f t="shared" si="261"/>
        <v>40.326008244912707</v>
      </c>
      <c r="AO100" s="883">
        <f t="shared" si="261"/>
        <v>40.555429307633098</v>
      </c>
      <c r="AP100" s="883">
        <f t="shared" si="261"/>
        <v>40.630021649872177</v>
      </c>
      <c r="AQ100" s="883">
        <f t="shared" si="261"/>
        <v>40.855427293357288</v>
      </c>
      <c r="AR100" s="883">
        <f t="shared" si="261"/>
        <v>41.122689870263187</v>
      </c>
      <c r="AS100" s="883">
        <f t="shared" ref="AS100:BA100" si="262">($BB100-$AR100)/10+AR100</f>
        <v>40.915200036704469</v>
      </c>
      <c r="AT100" s="883">
        <f t="shared" si="262"/>
        <v>40.707710203145751</v>
      </c>
      <c r="AU100" s="883">
        <f t="shared" si="262"/>
        <v>40.500220369587034</v>
      </c>
      <c r="AV100" s="883">
        <f t="shared" si="262"/>
        <v>40.292730536028316</v>
      </c>
      <c r="AW100" s="883">
        <f t="shared" si="262"/>
        <v>40.085240702469598</v>
      </c>
      <c r="AX100" s="883">
        <f t="shared" si="262"/>
        <v>39.87775086891088</v>
      </c>
      <c r="AY100" s="883">
        <f t="shared" si="262"/>
        <v>39.670261035352162</v>
      </c>
      <c r="AZ100" s="883">
        <f t="shared" si="262"/>
        <v>39.462771201793444</v>
      </c>
      <c r="BA100" s="883">
        <f t="shared" si="262"/>
        <v>39.255281368234726</v>
      </c>
      <c r="BB100" s="971">
        <f>'AEO Data'!$B$33*AM100</f>
        <v>39.047791534675994</v>
      </c>
      <c r="BC100" s="883">
        <f t="shared" ref="BC100:BP100" si="263">($BQ100-$BB100)/15+BB100</f>
        <v>39.070541707817128</v>
      </c>
      <c r="BD100" s="883">
        <f t="shared" si="263"/>
        <v>39.093291880958262</v>
      </c>
      <c r="BE100" s="883">
        <f t="shared" si="263"/>
        <v>39.116042054099395</v>
      </c>
      <c r="BF100" s="883">
        <f t="shared" si="263"/>
        <v>39.138792227240529</v>
      </c>
      <c r="BG100" s="883">
        <f t="shared" si="263"/>
        <v>39.161542400381663</v>
      </c>
      <c r="BH100" s="883">
        <f t="shared" si="263"/>
        <v>39.184292573522796</v>
      </c>
      <c r="BI100" s="883">
        <f t="shared" si="263"/>
        <v>39.20704274666393</v>
      </c>
      <c r="BJ100" s="883">
        <f t="shared" si="263"/>
        <v>39.229792919805064</v>
      </c>
      <c r="BK100" s="883">
        <f t="shared" si="263"/>
        <v>39.252543092946198</v>
      </c>
      <c r="BL100" s="883">
        <f t="shared" si="263"/>
        <v>39.275293266087331</v>
      </c>
      <c r="BM100" s="883">
        <f t="shared" si="263"/>
        <v>39.298043439228465</v>
      </c>
      <c r="BN100" s="883">
        <f t="shared" si="263"/>
        <v>39.320793612369599</v>
      </c>
      <c r="BO100" s="883">
        <f t="shared" si="263"/>
        <v>39.343543785510732</v>
      </c>
      <c r="BP100" s="883">
        <f t="shared" si="263"/>
        <v>39.366293958651866</v>
      </c>
      <c r="BQ100" s="971">
        <f>'AEO Data'!$C$33*BB100</f>
        <v>39.389044131793007</v>
      </c>
      <c r="BR100" s="883">
        <f t="shared" si="243"/>
        <v>39.362521510313748</v>
      </c>
      <c r="BS100" s="883">
        <f t="shared" si="243"/>
        <v>39.335998888834489</v>
      </c>
      <c r="BT100" s="883">
        <f t="shared" si="243"/>
        <v>39.30947626735523</v>
      </c>
      <c r="BU100" s="883">
        <f t="shared" si="243"/>
        <v>39.28295364587597</v>
      </c>
      <c r="BV100" s="972">
        <f>'AEO Data'!$D$33*BQ100</f>
        <v>39.256431024396711</v>
      </c>
      <c r="BW100" s="1400">
        <f>+BV100*BW$141/BV$141</f>
        <v>39.239146269797381</v>
      </c>
      <c r="BX100" s="1400">
        <f t="shared" ref="BX100:CZ100" si="264">+BW100*BX$141/BW$141</f>
        <v>39.221869125740675</v>
      </c>
      <c r="BY100" s="1400">
        <f t="shared" si="264"/>
        <v>39.204599588875645</v>
      </c>
      <c r="BZ100" s="1400">
        <f t="shared" si="264"/>
        <v>39.187337655852808</v>
      </c>
      <c r="CA100" s="1400">
        <f t="shared" si="264"/>
        <v>39.170083323324171</v>
      </c>
      <c r="CB100" s="1400">
        <f t="shared" si="264"/>
        <v>39.138708698285058</v>
      </c>
      <c r="CC100" s="1400">
        <f t="shared" si="264"/>
        <v>39.107359203830633</v>
      </c>
      <c r="CD100" s="1400">
        <f t="shared" si="264"/>
        <v>39.076034819831698</v>
      </c>
      <c r="CE100" s="1400">
        <f t="shared" si="264"/>
        <v>39.044735526175167</v>
      </c>
      <c r="CF100" s="1400">
        <f t="shared" si="264"/>
        <v>39.013461302764064</v>
      </c>
      <c r="CG100" s="1400">
        <f t="shared" si="264"/>
        <v>38.970379307391816</v>
      </c>
      <c r="CH100" s="1400">
        <f t="shared" si="264"/>
        <v>38.927344886837673</v>
      </c>
      <c r="CI100" s="1400">
        <f t="shared" si="264"/>
        <v>38.884357988565462</v>
      </c>
      <c r="CJ100" s="1400">
        <f t="shared" si="264"/>
        <v>38.841418560097019</v>
      </c>
      <c r="CK100" s="1400">
        <f t="shared" si="264"/>
        <v>38.798526549012138</v>
      </c>
      <c r="CL100" s="1400">
        <f t="shared" si="264"/>
        <v>38.751763774521798</v>
      </c>
      <c r="CM100" s="1400">
        <f t="shared" si="264"/>
        <v>38.70505736189034</v>
      </c>
      <c r="CN100" s="1400">
        <f t="shared" si="264"/>
        <v>38.658407243186389</v>
      </c>
      <c r="CO100" s="1400">
        <f t="shared" si="264"/>
        <v>38.61181335056046</v>
      </c>
      <c r="CP100" s="1400">
        <f t="shared" si="264"/>
        <v>38.565275616244847</v>
      </c>
      <c r="CQ100" s="1400">
        <f t="shared" si="264"/>
        <v>38.511372767810535</v>
      </c>
      <c r="CR100" s="1400">
        <f t="shared" si="264"/>
        <v>38.457545259614896</v>
      </c>
      <c r="CS100" s="1400">
        <f t="shared" si="264"/>
        <v>38.403792986354553</v>
      </c>
      <c r="CT100" s="1400">
        <f t="shared" si="264"/>
        <v>38.350115842873322</v>
      </c>
      <c r="CU100" s="1400">
        <f t="shared" si="264"/>
        <v>38.296513724162004</v>
      </c>
      <c r="CV100" s="1400">
        <f t="shared" si="264"/>
        <v>38.244188513437287</v>
      </c>
      <c r="CW100" s="1400">
        <f t="shared" si="264"/>
        <v>38.191934795582569</v>
      </c>
      <c r="CX100" s="1400">
        <f t="shared" si="264"/>
        <v>38.139752472915873</v>
      </c>
      <c r="CY100" s="1400">
        <f t="shared" si="264"/>
        <v>38.087641447888679</v>
      </c>
      <c r="CZ100" s="1400">
        <f t="shared" si="264"/>
        <v>38.035601623085753</v>
      </c>
    </row>
    <row r="101" spans="1:104" ht="13" thickTop="1" x14ac:dyDescent="0.25">
      <c r="D101" s="1098"/>
    </row>
    <row r="102" spans="1:104" ht="13" thickBot="1" x14ac:dyDescent="0.3">
      <c r="D102" s="1098"/>
    </row>
    <row r="103" spans="1:104" s="1055" customFormat="1" ht="13" x14ac:dyDescent="0.3">
      <c r="A103" s="1051" t="s">
        <v>1159</v>
      </c>
      <c r="B103" s="1052"/>
      <c r="C103" s="1053"/>
      <c r="D103" s="1254"/>
      <c r="E103" s="1053"/>
      <c r="F103" s="1052"/>
      <c r="G103" s="1052"/>
      <c r="H103" s="1052"/>
      <c r="I103" s="1052"/>
      <c r="J103" s="1052"/>
      <c r="K103" s="1052"/>
      <c r="L103" s="1052"/>
      <c r="M103" s="1052"/>
      <c r="N103" s="1052"/>
      <c r="O103" s="1052"/>
      <c r="P103" s="1052"/>
      <c r="Q103" s="1052"/>
      <c r="R103" s="1052"/>
      <c r="S103" s="1052"/>
      <c r="T103" s="1052"/>
      <c r="U103" s="1052"/>
      <c r="V103" s="1052"/>
      <c r="W103" s="1052"/>
      <c r="X103" s="1052"/>
      <c r="Y103" s="1052"/>
      <c r="Z103" s="1052"/>
      <c r="AA103" s="1052"/>
      <c r="AB103" s="1052"/>
      <c r="AC103" s="1052"/>
      <c r="AD103" s="1052"/>
      <c r="AE103" s="1052"/>
      <c r="AF103" s="1052"/>
      <c r="AG103" s="1052"/>
      <c r="AH103" s="1052"/>
      <c r="AI103" s="1052"/>
      <c r="AJ103" s="1052"/>
      <c r="AK103" s="1052"/>
      <c r="AL103" s="1052"/>
      <c r="AM103" s="1052"/>
      <c r="AN103" s="1052"/>
      <c r="AO103" s="1052"/>
      <c r="AP103" s="1052"/>
      <c r="AQ103" s="1052"/>
      <c r="AR103" s="1052"/>
      <c r="AS103" s="1052"/>
      <c r="AT103" s="1052"/>
      <c r="AU103" s="1052"/>
      <c r="AV103" s="1052"/>
      <c r="AW103" s="1052"/>
      <c r="AX103" s="1052"/>
      <c r="AY103" s="1052"/>
      <c r="AZ103" s="1052"/>
      <c r="BA103" s="1052"/>
      <c r="BB103" s="1052"/>
      <c r="BC103" s="1052"/>
      <c r="BD103" s="1052"/>
      <c r="BE103" s="1052"/>
      <c r="BF103" s="1052"/>
      <c r="BG103" s="1052"/>
      <c r="BH103" s="1052"/>
      <c r="BI103" s="1052"/>
      <c r="BJ103" s="1052"/>
      <c r="BK103" s="1052"/>
      <c r="BL103" s="1052"/>
      <c r="BM103" s="1052"/>
      <c r="BN103" s="1052"/>
      <c r="BO103" s="1052"/>
      <c r="BP103" s="1052"/>
      <c r="BQ103" s="1052"/>
      <c r="BR103" s="1052"/>
      <c r="BS103" s="1052"/>
      <c r="BT103" s="1052"/>
      <c r="BU103" s="1052"/>
      <c r="BV103" s="1054"/>
    </row>
    <row r="104" spans="1:104" s="1055" customFormat="1" ht="13" x14ac:dyDescent="0.3">
      <c r="A104" s="1056" t="s">
        <v>1113</v>
      </c>
      <c r="B104" s="1057"/>
      <c r="C104" s="1058"/>
      <c r="D104" s="1255"/>
      <c r="E104" s="1058"/>
      <c r="F104" s="1057"/>
      <c r="G104" s="1057"/>
      <c r="H104" s="1057"/>
      <c r="I104" s="1057"/>
      <c r="J104" s="1057"/>
      <c r="K104" s="1057"/>
      <c r="L104" s="1057"/>
      <c r="M104" s="1057"/>
      <c r="N104" s="1057"/>
      <c r="O104" s="1057"/>
      <c r="P104" s="1057"/>
      <c r="Q104" s="1057"/>
      <c r="R104" s="1057"/>
      <c r="S104" s="1057"/>
      <c r="T104" s="1057"/>
      <c r="U104" s="1057"/>
      <c r="V104" s="1057"/>
      <c r="W104" s="1057"/>
      <c r="X104" s="1057"/>
      <c r="Y104" s="1057"/>
      <c r="Z104" s="1057"/>
      <c r="AA104" s="1057"/>
      <c r="AB104" s="1057"/>
      <c r="AC104" s="1057"/>
      <c r="AD104" s="1057"/>
      <c r="AE104" s="1057"/>
      <c r="AF104" s="1057"/>
      <c r="AG104" s="1057"/>
      <c r="AH104" s="1057"/>
      <c r="AI104" s="1057"/>
      <c r="AJ104" s="1057"/>
      <c r="AK104" s="1057"/>
      <c r="AL104" s="1057"/>
      <c r="AM104" s="1057"/>
      <c r="AN104" s="1057"/>
      <c r="AO104" s="1057"/>
      <c r="AP104" s="1057"/>
      <c r="AQ104" s="1057"/>
      <c r="AR104" s="1057"/>
      <c r="AS104" s="1057"/>
      <c r="AT104" s="1057"/>
      <c r="AU104" s="1057"/>
      <c r="AV104" s="1057"/>
      <c r="AW104" s="1057"/>
      <c r="AX104" s="1057"/>
      <c r="AY104" s="1057"/>
      <c r="AZ104" s="1057"/>
      <c r="BA104" s="1057"/>
      <c r="BB104" s="1057"/>
      <c r="BC104" s="1057"/>
      <c r="BD104" s="1057"/>
      <c r="BE104" s="1057"/>
      <c r="BF104" s="1057"/>
      <c r="BG104" s="1057"/>
      <c r="BH104" s="1057"/>
      <c r="BI104" s="1057"/>
      <c r="BJ104" s="1057"/>
      <c r="BK104" s="1057"/>
      <c r="BL104" s="1057"/>
      <c r="BM104" s="1057"/>
      <c r="BN104" s="1057"/>
      <c r="BO104" s="1057"/>
      <c r="BP104" s="1057"/>
      <c r="BQ104" s="1057"/>
      <c r="BR104" s="1057"/>
      <c r="BS104" s="1057"/>
      <c r="BT104" s="1057"/>
      <c r="BU104" s="1057"/>
      <c r="BV104" s="1059"/>
    </row>
    <row r="105" spans="1:104" s="1055" customFormat="1" x14ac:dyDescent="0.25">
      <c r="A105" s="1060"/>
      <c r="B105" s="1057"/>
      <c r="C105" s="1058"/>
      <c r="D105" s="1255"/>
      <c r="E105" s="1058"/>
      <c r="F105" s="1057"/>
      <c r="G105" s="1057"/>
      <c r="H105" s="1057"/>
      <c r="I105" s="1057"/>
      <c r="J105" s="1057"/>
      <c r="K105" s="1057"/>
      <c r="L105" s="1057"/>
      <c r="M105" s="1057"/>
      <c r="N105" s="1057"/>
      <c r="O105" s="1057"/>
      <c r="P105" s="1057"/>
      <c r="Q105" s="1057"/>
      <c r="R105" s="1057"/>
      <c r="S105" s="1057"/>
      <c r="T105" s="1057"/>
      <c r="U105" s="1057"/>
      <c r="V105" s="1057"/>
      <c r="W105" s="1057"/>
      <c r="X105" s="1057"/>
      <c r="Y105" s="1057"/>
      <c r="Z105" s="1057"/>
      <c r="AA105" s="1057"/>
      <c r="AB105" s="1057"/>
      <c r="AC105" s="1057"/>
      <c r="AD105" s="1057"/>
      <c r="AE105" s="1057"/>
      <c r="AF105" s="1057"/>
      <c r="AG105" s="1057"/>
      <c r="AH105" s="1057"/>
      <c r="AI105" s="1057"/>
      <c r="AJ105" s="1057"/>
      <c r="AK105" s="1057"/>
      <c r="AL105" s="1057"/>
      <c r="AM105" s="1057"/>
      <c r="AN105" s="1057"/>
      <c r="AO105" s="1057"/>
      <c r="AP105" s="1057"/>
      <c r="AQ105" s="1057"/>
      <c r="AR105" s="1057"/>
      <c r="AS105" s="1057"/>
      <c r="AT105" s="1057"/>
      <c r="AU105" s="1057"/>
      <c r="AV105" s="1057"/>
      <c r="AW105" s="1057"/>
      <c r="AX105" s="1057"/>
      <c r="AY105" s="1057"/>
      <c r="AZ105" s="1057"/>
      <c r="BA105" s="1057"/>
      <c r="BB105" s="1057"/>
      <c r="BC105" s="1057"/>
      <c r="BD105" s="1057"/>
      <c r="BE105" s="1057"/>
      <c r="BF105" s="1057"/>
      <c r="BG105" s="1057"/>
      <c r="BH105" s="1057"/>
      <c r="BI105" s="1057"/>
      <c r="BJ105" s="1057"/>
      <c r="BK105" s="1057"/>
      <c r="BL105" s="1057"/>
      <c r="BM105" s="1057"/>
      <c r="BN105" s="1057"/>
      <c r="BO105" s="1057"/>
      <c r="BP105" s="1057"/>
      <c r="BQ105" s="1057"/>
      <c r="BR105" s="1057"/>
      <c r="BS105" s="1057"/>
      <c r="BT105" s="1057"/>
      <c r="BU105" s="1057"/>
      <c r="BV105" s="1059"/>
    </row>
    <row r="106" spans="1:104" s="1055" customFormat="1" x14ac:dyDescent="0.25">
      <c r="A106" s="1060" t="s">
        <v>681</v>
      </c>
      <c r="B106" s="1057"/>
      <c r="C106" s="1058"/>
      <c r="D106" s="1255"/>
      <c r="E106" s="1058"/>
      <c r="F106" s="1057"/>
      <c r="G106" s="1057"/>
      <c r="H106" s="1057"/>
      <c r="I106" s="1057"/>
      <c r="J106" s="1057"/>
      <c r="K106" s="1057"/>
      <c r="L106" s="1057"/>
      <c r="M106" s="1057"/>
      <c r="N106" s="1057"/>
      <c r="O106" s="1061">
        <v>10.979644</v>
      </c>
      <c r="P106" s="1061">
        <v>10.458463</v>
      </c>
      <c r="Q106" s="1061">
        <v>10.386789</v>
      </c>
      <c r="R106" s="1061">
        <v>11.197535999999999</v>
      </c>
      <c r="S106" s="1061">
        <v>10.997512</v>
      </c>
      <c r="T106" s="1061">
        <v>10.684602</v>
      </c>
      <c r="U106" s="1061">
        <v>11.01057</v>
      </c>
      <c r="V106" s="1061">
        <v>11.455973999999999</v>
      </c>
      <c r="W106" s="1061">
        <v>11.627091999999999</v>
      </c>
      <c r="X106" s="1061">
        <v>11.591965</v>
      </c>
      <c r="Y106" s="1061">
        <v>11.804651</v>
      </c>
      <c r="Z106" s="1061">
        <v>11.896172</v>
      </c>
      <c r="AA106" s="1061">
        <v>12.056948999999999</v>
      </c>
      <c r="AB106" s="1061">
        <v>12.305148000000001</v>
      </c>
      <c r="AC106" s="1061">
        <v>12.475469</v>
      </c>
      <c r="AD106" s="1061">
        <v>12.579926</v>
      </c>
      <c r="AE106" s="1061">
        <v>12.716393999999999</v>
      </c>
      <c r="AF106" s="1061">
        <v>12.897914999999999</v>
      </c>
      <c r="AG106" s="1061">
        <v>13.184208999999999</v>
      </c>
      <c r="AH106" s="1061">
        <v>13.502886999999999</v>
      </c>
      <c r="AI106" s="1061">
        <v>13.64997</v>
      </c>
      <c r="AJ106" s="1061">
        <v>13.712135</v>
      </c>
      <c r="AK106" s="1061">
        <v>13.943460999999999</v>
      </c>
      <c r="AL106" s="1061">
        <v>14.339456999999999</v>
      </c>
      <c r="AM106" s="1061">
        <v>14.605688000000001</v>
      </c>
      <c r="AN106" s="1061">
        <v>14.994783</v>
      </c>
      <c r="AO106" s="1061">
        <v>15.152347000000001</v>
      </c>
      <c r="AP106" s="1061">
        <v>15.279963</v>
      </c>
      <c r="AQ106" s="1061">
        <v>15.618371</v>
      </c>
      <c r="AR106" s="1061">
        <v>15.977807</v>
      </c>
      <c r="AS106" s="1057"/>
      <c r="AT106" s="1057"/>
      <c r="AU106" s="1057"/>
      <c r="AV106" s="1057"/>
      <c r="AW106" s="1057"/>
      <c r="AX106" s="1057"/>
      <c r="AY106" s="1057"/>
      <c r="AZ106" s="1057"/>
      <c r="BA106" s="1057"/>
      <c r="BB106" s="1057"/>
      <c r="BC106" s="1057"/>
      <c r="BD106" s="1057"/>
      <c r="BE106" s="1057"/>
      <c r="BF106" s="1057"/>
      <c r="BG106" s="1057"/>
      <c r="BH106" s="1057"/>
      <c r="BI106" s="1057"/>
      <c r="BJ106" s="1057"/>
      <c r="BK106" s="1057"/>
      <c r="BL106" s="1057"/>
      <c r="BM106" s="1057"/>
      <c r="BN106" s="1057"/>
      <c r="BO106" s="1057"/>
      <c r="BP106" s="1057"/>
      <c r="BQ106" s="1057"/>
      <c r="BR106" s="1057"/>
      <c r="BS106" s="1057"/>
      <c r="BT106" s="1057"/>
      <c r="BU106" s="1057"/>
      <c r="BV106" s="1059"/>
    </row>
    <row r="107" spans="1:104" s="1055" customFormat="1" x14ac:dyDescent="0.25">
      <c r="A107" s="1060" t="s">
        <v>1085</v>
      </c>
      <c r="B107" s="1057"/>
      <c r="C107" s="1058"/>
      <c r="D107" s="1255"/>
      <c r="E107" s="1058"/>
      <c r="F107" s="1057"/>
      <c r="G107" s="1057"/>
      <c r="H107" s="1057"/>
      <c r="I107" s="1057"/>
      <c r="J107" s="1057"/>
      <c r="K107" s="1057"/>
      <c r="L107" s="1057"/>
      <c r="M107" s="1057"/>
      <c r="N107" s="1057"/>
      <c r="O107" s="1061">
        <v>8.9608349999999994</v>
      </c>
      <c r="P107" s="1061">
        <v>8.1128640000000001</v>
      </c>
      <c r="Q107" s="1061">
        <v>8.3120530000000006</v>
      </c>
      <c r="R107" s="1061">
        <v>9.0860579999999995</v>
      </c>
      <c r="S107" s="1061">
        <v>8.9185510000000008</v>
      </c>
      <c r="T107" s="1061">
        <v>8.7230709999999991</v>
      </c>
      <c r="U107" s="1061">
        <v>9.0072580000000002</v>
      </c>
      <c r="V107" s="1061">
        <v>9.4091780000000007</v>
      </c>
      <c r="W107" s="1061">
        <v>9.5464699999999993</v>
      </c>
      <c r="X107" s="1061">
        <v>9.490774</v>
      </c>
      <c r="Y107" s="1061">
        <v>9.6849690000000006</v>
      </c>
      <c r="Z107" s="1061">
        <v>9.7584820000000008</v>
      </c>
      <c r="AA107" s="1061">
        <v>9.8987529999999992</v>
      </c>
      <c r="AB107" s="1061">
        <v>10.127039999999999</v>
      </c>
      <c r="AC107" s="1061">
        <v>10.286922000000001</v>
      </c>
      <c r="AD107" s="1061">
        <v>10.380953999999999</v>
      </c>
      <c r="AE107" s="1061">
        <v>10.496881999999999</v>
      </c>
      <c r="AF107" s="1061">
        <v>10.657225</v>
      </c>
      <c r="AG107" s="1061">
        <v>10.911016</v>
      </c>
      <c r="AH107" s="1061">
        <v>11.192325</v>
      </c>
      <c r="AI107" s="1061">
        <v>11.294316</v>
      </c>
      <c r="AJ107" s="1061">
        <v>11.292712999999999</v>
      </c>
      <c r="AK107" s="1061">
        <v>11.478382999999999</v>
      </c>
      <c r="AL107" s="1061">
        <v>11.747921</v>
      </c>
      <c r="AM107" s="1061">
        <v>11.953430000000001</v>
      </c>
      <c r="AN107" s="1061">
        <v>12.263629999999999</v>
      </c>
      <c r="AO107" s="1061">
        <v>12.368285999999999</v>
      </c>
      <c r="AP107" s="1061">
        <v>12.459205000000001</v>
      </c>
      <c r="AQ107" s="1061">
        <v>12.755896</v>
      </c>
      <c r="AR107" s="1061">
        <v>13.077387</v>
      </c>
      <c r="AS107" s="1057"/>
      <c r="AT107" s="1057"/>
      <c r="AU107" s="1057"/>
      <c r="AV107" s="1057"/>
      <c r="AW107" s="1057"/>
      <c r="AX107" s="1057"/>
      <c r="AY107" s="1057"/>
      <c r="AZ107" s="1057"/>
      <c r="BA107" s="1057"/>
      <c r="BB107" s="1057"/>
      <c r="BC107" s="1057"/>
      <c r="BD107" s="1057"/>
      <c r="BE107" s="1057"/>
      <c r="BF107" s="1057"/>
      <c r="BG107" s="1057"/>
      <c r="BH107" s="1057"/>
      <c r="BI107" s="1057"/>
      <c r="BJ107" s="1057"/>
      <c r="BK107" s="1057"/>
      <c r="BL107" s="1057"/>
      <c r="BM107" s="1057"/>
      <c r="BN107" s="1057"/>
      <c r="BO107" s="1057"/>
      <c r="BP107" s="1057"/>
      <c r="BQ107" s="1057"/>
      <c r="BR107" s="1057"/>
      <c r="BS107" s="1057"/>
      <c r="BT107" s="1057"/>
      <c r="BU107" s="1057"/>
      <c r="BV107" s="1059"/>
    </row>
    <row r="108" spans="1:104" s="1055" customFormat="1" x14ac:dyDescent="0.25">
      <c r="A108" s="1060" t="s">
        <v>283</v>
      </c>
      <c r="B108" s="1057"/>
      <c r="C108" s="1058"/>
      <c r="D108" s="1255"/>
      <c r="E108" s="1058"/>
      <c r="F108" s="1057"/>
      <c r="G108" s="1057"/>
      <c r="H108" s="1057"/>
      <c r="I108" s="1057"/>
      <c r="J108" s="1057"/>
      <c r="K108" s="1057"/>
      <c r="L108" s="1057"/>
      <c r="M108" s="1057"/>
      <c r="N108" s="1057"/>
      <c r="O108" s="1061">
        <v>5.093718</v>
      </c>
      <c r="P108" s="1061">
        <v>3.77142</v>
      </c>
      <c r="Q108" s="1061">
        <v>4.594805</v>
      </c>
      <c r="R108" s="1061">
        <v>4.7995720000000004</v>
      </c>
      <c r="S108" s="1061">
        <v>4.9392990000000001</v>
      </c>
      <c r="T108" s="1061">
        <v>5.148549</v>
      </c>
      <c r="U108" s="1061">
        <v>5.425808</v>
      </c>
      <c r="V108" s="1061">
        <v>5.8458810000000003</v>
      </c>
      <c r="W108" s="1061">
        <v>5.9476060000000004</v>
      </c>
      <c r="X108" s="1061">
        <v>5.7923239999999998</v>
      </c>
      <c r="Y108" s="1061">
        <v>5.9347989999999999</v>
      </c>
      <c r="Z108" s="1061">
        <v>5.9545320000000004</v>
      </c>
      <c r="AA108" s="1061">
        <v>6.0522600000000004</v>
      </c>
      <c r="AB108" s="1061">
        <v>6.2273719999999999</v>
      </c>
      <c r="AC108" s="1061">
        <v>6.3209530000000003</v>
      </c>
      <c r="AD108" s="1061">
        <v>6.356109</v>
      </c>
      <c r="AE108" s="1061">
        <v>6.4293370000000003</v>
      </c>
      <c r="AF108" s="1061">
        <v>6.531498</v>
      </c>
      <c r="AG108" s="1061">
        <v>6.7357209999999998</v>
      </c>
      <c r="AH108" s="1061">
        <v>6.9891050000000003</v>
      </c>
      <c r="AI108" s="1061">
        <v>7.1038509999999997</v>
      </c>
      <c r="AJ108" s="1061">
        <v>7.224164</v>
      </c>
      <c r="AK108" s="1061">
        <v>7.420331</v>
      </c>
      <c r="AL108" s="1061">
        <v>7.5726420000000001</v>
      </c>
      <c r="AM108" s="1061">
        <v>7.7575940000000001</v>
      </c>
      <c r="AN108" s="1061">
        <v>8.0432100000000002</v>
      </c>
      <c r="AO108" s="1061">
        <v>8.0942129999999999</v>
      </c>
      <c r="AP108" s="1061">
        <v>8.1302479999999999</v>
      </c>
      <c r="AQ108" s="1061">
        <v>8.3372609999999998</v>
      </c>
      <c r="AR108" s="1061">
        <v>8.5934050000000006</v>
      </c>
      <c r="AS108" s="1057"/>
      <c r="AT108" s="1057"/>
      <c r="AU108" s="1057"/>
      <c r="AV108" s="1057"/>
      <c r="AW108" s="1057"/>
      <c r="AX108" s="1057"/>
      <c r="AY108" s="1057"/>
      <c r="AZ108" s="1057"/>
      <c r="BA108" s="1057"/>
      <c r="BB108" s="1057"/>
      <c r="BC108" s="1057"/>
      <c r="BD108" s="1057"/>
      <c r="BE108" s="1057"/>
      <c r="BF108" s="1057"/>
      <c r="BG108" s="1057"/>
      <c r="BH108" s="1057"/>
      <c r="BI108" s="1057"/>
      <c r="BJ108" s="1057"/>
      <c r="BK108" s="1057"/>
      <c r="BL108" s="1057"/>
      <c r="BM108" s="1057"/>
      <c r="BN108" s="1057"/>
      <c r="BO108" s="1057"/>
      <c r="BP108" s="1057"/>
      <c r="BQ108" s="1057"/>
      <c r="BR108" s="1057"/>
      <c r="BS108" s="1057"/>
      <c r="BT108" s="1057"/>
      <c r="BU108" s="1057"/>
      <c r="BV108" s="1059"/>
    </row>
    <row r="109" spans="1:104" s="1055" customFormat="1" x14ac:dyDescent="0.25">
      <c r="A109" s="1062" t="str">
        <f>'HyARC Physical Property Data'!$A$74</f>
        <v>Electric Utility Natural Gas</v>
      </c>
      <c r="B109" s="1057"/>
      <c r="C109" s="1058"/>
      <c r="D109" s="1255"/>
      <c r="E109" s="1058"/>
      <c r="F109" s="1057"/>
      <c r="G109" s="1057"/>
      <c r="H109" s="1057"/>
      <c r="I109" s="1057"/>
      <c r="J109" s="1057"/>
      <c r="K109" s="1057"/>
      <c r="L109" s="1057"/>
      <c r="M109" s="1057"/>
      <c r="N109" s="1057"/>
      <c r="O109" s="1061">
        <v>4.881901</v>
      </c>
      <c r="P109" s="1061">
        <v>3.4378730000000002</v>
      </c>
      <c r="Q109" s="1061">
        <v>4.3206319999999998</v>
      </c>
      <c r="R109" s="1061">
        <v>4.4694140000000004</v>
      </c>
      <c r="S109" s="1061">
        <v>4.4284980000000003</v>
      </c>
      <c r="T109" s="1061">
        <v>4.4748020000000004</v>
      </c>
      <c r="U109" s="1061">
        <v>4.6905669999999997</v>
      </c>
      <c r="V109" s="1061">
        <v>5.0621029999999996</v>
      </c>
      <c r="W109" s="1061">
        <v>5.1794200000000004</v>
      </c>
      <c r="X109" s="1061">
        <v>5.0744109999999996</v>
      </c>
      <c r="Y109" s="1061">
        <v>5.242337</v>
      </c>
      <c r="Z109" s="1061">
        <v>5.2943420000000003</v>
      </c>
      <c r="AA109" s="1061">
        <v>5.4200609999999996</v>
      </c>
      <c r="AB109" s="1061">
        <v>5.622217</v>
      </c>
      <c r="AC109" s="1061">
        <v>5.7577170000000004</v>
      </c>
      <c r="AD109" s="1061">
        <v>5.8140010000000002</v>
      </c>
      <c r="AE109" s="1061">
        <v>5.9051999999999998</v>
      </c>
      <c r="AF109" s="1061">
        <v>6.0276690000000004</v>
      </c>
      <c r="AG109" s="1061">
        <v>6.2437040000000001</v>
      </c>
      <c r="AH109" s="1061">
        <v>6.4934279999999998</v>
      </c>
      <c r="AI109" s="1061">
        <v>6.6170710000000001</v>
      </c>
      <c r="AJ109" s="1061">
        <v>6.726566</v>
      </c>
      <c r="AK109" s="1061">
        <v>6.9305599999999998</v>
      </c>
      <c r="AL109" s="1061">
        <v>7.0909170000000001</v>
      </c>
      <c r="AM109" s="1061">
        <v>7.286816</v>
      </c>
      <c r="AN109" s="1061">
        <v>7.5708000000000002</v>
      </c>
      <c r="AO109" s="1061">
        <v>7.630439</v>
      </c>
      <c r="AP109" s="1061">
        <v>7.6782940000000002</v>
      </c>
      <c r="AQ109" s="1061">
        <v>7.8974500000000001</v>
      </c>
      <c r="AR109" s="1061">
        <v>8.1587669999999992</v>
      </c>
      <c r="AS109" s="1057"/>
      <c r="AT109" s="1057"/>
      <c r="AU109" s="1057"/>
      <c r="AV109" s="1057"/>
      <c r="AW109" s="1057"/>
      <c r="AX109" s="1057"/>
      <c r="AY109" s="1057"/>
      <c r="AZ109" s="1057"/>
      <c r="BA109" s="1057"/>
      <c r="BB109" s="1057"/>
      <c r="BC109" s="1057"/>
      <c r="BD109" s="1057"/>
      <c r="BE109" s="1057"/>
      <c r="BF109" s="1057"/>
      <c r="BG109" s="1057"/>
      <c r="BH109" s="1057"/>
      <c r="BI109" s="1057"/>
      <c r="BJ109" s="1057"/>
      <c r="BK109" s="1057"/>
      <c r="BL109" s="1057"/>
      <c r="BM109" s="1057"/>
      <c r="BN109" s="1057"/>
      <c r="BO109" s="1057"/>
      <c r="BP109" s="1057"/>
      <c r="BQ109" s="1057"/>
      <c r="BR109" s="1057"/>
      <c r="BS109" s="1057"/>
      <c r="BT109" s="1057"/>
      <c r="BU109" s="1057"/>
      <c r="BV109" s="1059"/>
    </row>
    <row r="110" spans="1:104" s="1055" customFormat="1" x14ac:dyDescent="0.25">
      <c r="A110" s="1057" t="s">
        <v>1081</v>
      </c>
      <c r="B110" s="1057"/>
      <c r="C110" s="1058"/>
      <c r="D110" s="1255"/>
      <c r="E110" s="1058"/>
      <c r="F110" s="1057"/>
      <c r="G110" s="1057"/>
      <c r="H110" s="1057"/>
      <c r="I110" s="1057"/>
      <c r="J110" s="1057"/>
      <c r="K110" s="1057"/>
      <c r="L110" s="1057"/>
      <c r="M110" s="1057"/>
      <c r="N110" s="1057"/>
      <c r="O110" s="1061"/>
      <c r="P110" s="1061"/>
      <c r="Q110" s="1061"/>
      <c r="R110" s="1061"/>
      <c r="S110" s="1061"/>
      <c r="T110" s="1061"/>
      <c r="U110" s="1061"/>
      <c r="V110" s="1061"/>
      <c r="W110" s="1061"/>
      <c r="X110" s="1061"/>
      <c r="Y110" s="1061"/>
      <c r="Z110" s="1061"/>
      <c r="AA110" s="1061"/>
      <c r="AB110" s="1061"/>
      <c r="AC110" s="1061"/>
      <c r="AD110" s="1061"/>
      <c r="AE110" s="1061"/>
      <c r="AF110" s="1061"/>
      <c r="AG110" s="1061"/>
      <c r="AH110" s="1061"/>
      <c r="AI110" s="1061"/>
      <c r="AJ110" s="1061"/>
      <c r="AK110" s="1061"/>
      <c r="AL110" s="1061"/>
      <c r="AM110" s="1061"/>
      <c r="AN110" s="1061"/>
      <c r="AO110" s="1061"/>
      <c r="AP110" s="1061"/>
      <c r="AQ110" s="1061"/>
      <c r="AR110" s="1061"/>
      <c r="AS110" s="1057"/>
      <c r="AT110" s="1057"/>
      <c r="AU110" s="1057"/>
      <c r="AV110" s="1057"/>
      <c r="AW110" s="1057"/>
      <c r="AX110" s="1057"/>
      <c r="AY110" s="1057"/>
      <c r="AZ110" s="1057"/>
      <c r="BA110" s="1057"/>
      <c r="BB110" s="1057"/>
      <c r="BC110" s="1057"/>
      <c r="BD110" s="1057"/>
      <c r="BE110" s="1057"/>
      <c r="BF110" s="1057"/>
      <c r="BG110" s="1057"/>
      <c r="BH110" s="1057"/>
      <c r="BI110" s="1057"/>
      <c r="BJ110" s="1057"/>
      <c r="BK110" s="1057"/>
      <c r="BL110" s="1057"/>
      <c r="BM110" s="1057"/>
      <c r="BN110" s="1057"/>
      <c r="BO110" s="1057"/>
      <c r="BP110" s="1057"/>
      <c r="BQ110" s="1057"/>
      <c r="BR110" s="1057"/>
      <c r="BS110" s="1057"/>
      <c r="BT110" s="1057"/>
      <c r="BU110" s="1057"/>
      <c r="BV110" s="1059"/>
    </row>
    <row r="111" spans="1:104" s="1055" customFormat="1" x14ac:dyDescent="0.25">
      <c r="A111" s="1077" t="s">
        <v>716</v>
      </c>
      <c r="B111" s="1057"/>
      <c r="C111" s="1058"/>
      <c r="D111" s="1255"/>
      <c r="E111" s="1058"/>
      <c r="F111" s="1057"/>
      <c r="G111" s="1057"/>
      <c r="H111" s="1057"/>
      <c r="I111" s="1057"/>
      <c r="J111" s="1057"/>
      <c r="K111" s="1057"/>
      <c r="L111" s="1057"/>
      <c r="M111" s="1057"/>
      <c r="N111" s="1057"/>
      <c r="O111" s="1061">
        <v>7.1348120000000002</v>
      </c>
      <c r="P111" s="1061">
        <v>7.25</v>
      </c>
      <c r="Q111" s="1061">
        <v>7.4339180000000002</v>
      </c>
      <c r="R111" s="1061">
        <v>7.5123340000000001</v>
      </c>
      <c r="S111" s="1061">
        <v>7.7593930000000002</v>
      </c>
      <c r="T111" s="1061">
        <v>7.9480709999999997</v>
      </c>
      <c r="U111" s="1061">
        <v>8.0483750000000001</v>
      </c>
      <c r="V111" s="1061">
        <v>8.1909299999999998</v>
      </c>
      <c r="W111" s="1061">
        <v>8.3009920000000008</v>
      </c>
      <c r="X111" s="1061">
        <v>8.4282590000000006</v>
      </c>
      <c r="Y111" s="1061">
        <v>8.5261879999999994</v>
      </c>
      <c r="Z111" s="1061">
        <v>8.6333680000000008</v>
      </c>
      <c r="AA111" s="1061">
        <v>8.7384330000000006</v>
      </c>
      <c r="AB111" s="1061">
        <v>8.8454820000000005</v>
      </c>
      <c r="AC111" s="1061">
        <v>8.9517559999999996</v>
      </c>
      <c r="AD111" s="1061">
        <v>9.0441529999999997</v>
      </c>
      <c r="AE111" s="1061">
        <v>9.1489940000000001</v>
      </c>
      <c r="AF111" s="1061">
        <v>9.2665970000000009</v>
      </c>
      <c r="AG111" s="1061">
        <v>9.3802029999999998</v>
      </c>
      <c r="AH111" s="1061">
        <v>9.5131180000000004</v>
      </c>
      <c r="AI111" s="1061">
        <v>9.5927720000000001</v>
      </c>
      <c r="AJ111" s="1061">
        <v>9.6736090000000008</v>
      </c>
      <c r="AK111" s="1061">
        <v>9.7592280000000002</v>
      </c>
      <c r="AL111" s="1061">
        <v>9.8373989999999996</v>
      </c>
      <c r="AM111" s="1061">
        <v>9.9349030000000003</v>
      </c>
      <c r="AN111" s="1061">
        <v>10.012817</v>
      </c>
      <c r="AO111" s="1061">
        <v>10.10066</v>
      </c>
      <c r="AP111" s="1061">
        <v>10.107113</v>
      </c>
      <c r="AQ111" s="1061">
        <v>10.135842</v>
      </c>
      <c r="AR111" s="1061">
        <v>10.197044999999999</v>
      </c>
      <c r="AS111" s="1057"/>
      <c r="AT111" s="1057"/>
      <c r="AU111" s="1057"/>
      <c r="AV111" s="1057"/>
      <c r="AW111" s="1057"/>
      <c r="AX111" s="1057"/>
      <c r="AY111" s="1057"/>
      <c r="AZ111" s="1057"/>
      <c r="BA111" s="1057"/>
      <c r="BB111" s="1057"/>
      <c r="BC111" s="1057"/>
      <c r="BD111" s="1057"/>
      <c r="BE111" s="1057"/>
      <c r="BF111" s="1057"/>
      <c r="BG111" s="1057"/>
      <c r="BH111" s="1057"/>
      <c r="BI111" s="1057"/>
      <c r="BJ111" s="1057"/>
      <c r="BK111" s="1057"/>
      <c r="BL111" s="1057"/>
      <c r="BM111" s="1057"/>
      <c r="BN111" s="1057"/>
      <c r="BO111" s="1057"/>
      <c r="BP111" s="1057"/>
      <c r="BQ111" s="1057"/>
      <c r="BR111" s="1057"/>
      <c r="BS111" s="1057"/>
      <c r="BT111" s="1057"/>
      <c r="BU111" s="1057"/>
      <c r="BV111" s="1059"/>
    </row>
    <row r="112" spans="1:104" s="1055" customFormat="1" x14ac:dyDescent="0.25">
      <c r="A112" s="1077" t="s">
        <v>717</v>
      </c>
      <c r="B112" s="1057"/>
      <c r="C112" s="1058"/>
      <c r="D112" s="1255"/>
      <c r="E112" s="1058"/>
      <c r="F112" s="1057"/>
      <c r="G112" s="1057"/>
      <c r="H112" s="1057"/>
      <c r="I112" s="1057"/>
      <c r="J112" s="1057"/>
      <c r="K112" s="1057"/>
      <c r="L112" s="1057"/>
      <c r="M112" s="1057"/>
      <c r="N112" s="1057"/>
      <c r="O112" s="1061">
        <v>3.3073760000000001</v>
      </c>
      <c r="P112" s="1061">
        <v>3.2396150000000001</v>
      </c>
      <c r="Q112" s="1061">
        <v>3.3150900000000001</v>
      </c>
      <c r="R112" s="1061">
        <v>3.2817340000000002</v>
      </c>
      <c r="S112" s="1061">
        <v>3.3761420000000002</v>
      </c>
      <c r="T112" s="1061">
        <v>3.437208</v>
      </c>
      <c r="U112" s="1061">
        <v>3.4609869999999998</v>
      </c>
      <c r="V112" s="1061">
        <v>3.5206819999999999</v>
      </c>
      <c r="W112" s="1061">
        <v>3.5610849999999998</v>
      </c>
      <c r="X112" s="1061">
        <v>3.5932520000000001</v>
      </c>
      <c r="Y112" s="1061">
        <v>3.6143869999999998</v>
      </c>
      <c r="Z112" s="1061">
        <v>3.6395840000000002</v>
      </c>
      <c r="AA112" s="1061">
        <v>3.6651829999999999</v>
      </c>
      <c r="AB112" s="1061">
        <v>3.697009</v>
      </c>
      <c r="AC112" s="1061">
        <v>3.7274949999999998</v>
      </c>
      <c r="AD112" s="1061">
        <v>3.7560980000000002</v>
      </c>
      <c r="AE112" s="1061">
        <v>3.7847550000000001</v>
      </c>
      <c r="AF112" s="1061">
        <v>3.8163930000000001</v>
      </c>
      <c r="AG112" s="1061">
        <v>3.8450039999999999</v>
      </c>
      <c r="AH112" s="1061">
        <v>3.8844850000000002</v>
      </c>
      <c r="AI112" s="1061">
        <v>3.9155440000000001</v>
      </c>
      <c r="AJ112" s="1061">
        <v>3.944798</v>
      </c>
      <c r="AK112" s="1061">
        <v>3.9761479999999998</v>
      </c>
      <c r="AL112" s="1061">
        <v>4.0004489999999997</v>
      </c>
      <c r="AM112" s="1061">
        <v>4.0294249999999998</v>
      </c>
      <c r="AN112" s="1061">
        <v>4.0600360000000002</v>
      </c>
      <c r="AO112" s="1061">
        <v>4.0903939999999999</v>
      </c>
      <c r="AP112" s="1061">
        <v>4.1171660000000001</v>
      </c>
      <c r="AQ112" s="1061">
        <v>4.1493070000000003</v>
      </c>
      <c r="AR112" s="1061">
        <v>4.1898999999999997</v>
      </c>
      <c r="AS112" s="1057"/>
      <c r="AT112" s="1057"/>
      <c r="AU112" s="1057"/>
      <c r="AV112" s="1057"/>
      <c r="AW112" s="1057"/>
      <c r="AX112" s="1057"/>
      <c r="AY112" s="1057"/>
      <c r="AZ112" s="1057"/>
      <c r="BA112" s="1057"/>
      <c r="BB112" s="1057"/>
      <c r="BC112" s="1057"/>
      <c r="BD112" s="1057"/>
      <c r="BE112" s="1057"/>
      <c r="BF112" s="1057"/>
      <c r="BG112" s="1057"/>
      <c r="BH112" s="1057"/>
      <c r="BI112" s="1057"/>
      <c r="BJ112" s="1057"/>
      <c r="BK112" s="1057"/>
      <c r="BL112" s="1057"/>
      <c r="BM112" s="1057"/>
      <c r="BN112" s="1057"/>
      <c r="BO112" s="1057"/>
      <c r="BP112" s="1057"/>
      <c r="BQ112" s="1057"/>
      <c r="BR112" s="1057"/>
      <c r="BS112" s="1057"/>
      <c r="BT112" s="1057"/>
      <c r="BU112" s="1057"/>
      <c r="BV112" s="1059"/>
    </row>
    <row r="113" spans="1:74" s="1055" customFormat="1" x14ac:dyDescent="0.25">
      <c r="A113" s="1060" t="s">
        <v>1087</v>
      </c>
      <c r="B113" s="1057"/>
      <c r="C113" s="1058"/>
      <c r="D113" s="1255"/>
      <c r="E113" s="1058"/>
      <c r="F113" s="1057"/>
      <c r="G113" s="1057"/>
      <c r="H113" s="1057"/>
      <c r="I113" s="1057"/>
      <c r="J113" s="1057"/>
      <c r="K113" s="1057"/>
      <c r="L113" s="1057"/>
      <c r="M113" s="1057"/>
      <c r="N113" s="1057"/>
      <c r="O113" s="1061">
        <v>2.4223750000000002</v>
      </c>
      <c r="P113" s="1061">
        <v>2.39</v>
      </c>
      <c r="Q113" s="1061">
        <v>2.37385</v>
      </c>
      <c r="R113" s="1061">
        <v>2.329834</v>
      </c>
      <c r="S113" s="1061">
        <v>2.4039359999999999</v>
      </c>
      <c r="T113" s="1061">
        <v>2.422212</v>
      </c>
      <c r="U113" s="1061">
        <v>2.4863749999999998</v>
      </c>
      <c r="V113" s="1061">
        <v>2.5503130000000001</v>
      </c>
      <c r="W113" s="1061">
        <v>2.589102</v>
      </c>
      <c r="X113" s="1061">
        <v>2.6113439999999999</v>
      </c>
      <c r="Y113" s="1061">
        <v>2.6429999999999998</v>
      </c>
      <c r="Z113" s="1061">
        <v>2.675691</v>
      </c>
      <c r="AA113" s="1061">
        <v>2.7024710000000001</v>
      </c>
      <c r="AB113" s="1061">
        <v>2.7390279999999998</v>
      </c>
      <c r="AC113" s="1061">
        <v>2.7738589999999999</v>
      </c>
      <c r="AD113" s="1061">
        <v>2.807261</v>
      </c>
      <c r="AE113" s="1061">
        <v>2.8368190000000002</v>
      </c>
      <c r="AF113" s="1061">
        <v>2.8649870000000002</v>
      </c>
      <c r="AG113" s="1061">
        <v>2.8913859999999998</v>
      </c>
      <c r="AH113" s="1061">
        <v>2.9256030000000002</v>
      </c>
      <c r="AI113" s="1061">
        <v>2.9494180000000001</v>
      </c>
      <c r="AJ113" s="1061">
        <v>2.9743849999999998</v>
      </c>
      <c r="AK113" s="1061">
        <v>3.0006210000000002</v>
      </c>
      <c r="AL113" s="1061">
        <v>3.0244930000000001</v>
      </c>
      <c r="AM113" s="1061">
        <v>3.050074</v>
      </c>
      <c r="AN113" s="1061">
        <v>3.076149</v>
      </c>
      <c r="AO113" s="1061">
        <v>3.099027</v>
      </c>
      <c r="AP113" s="1061">
        <v>3.1208209999999998</v>
      </c>
      <c r="AQ113" s="1061">
        <v>3.153797</v>
      </c>
      <c r="AR113" s="1061">
        <v>3.1896749999999998</v>
      </c>
      <c r="AS113" s="1057"/>
      <c r="AT113" s="1057"/>
      <c r="AU113" s="1057"/>
      <c r="AV113" s="1057"/>
      <c r="AW113" s="1057"/>
      <c r="AX113" s="1057"/>
      <c r="AY113" s="1057"/>
      <c r="AZ113" s="1057"/>
      <c r="BA113" s="1057"/>
      <c r="BB113" s="1057"/>
      <c r="BC113" s="1057"/>
      <c r="BD113" s="1057"/>
      <c r="BE113" s="1057"/>
      <c r="BF113" s="1057"/>
      <c r="BG113" s="1057"/>
      <c r="BH113" s="1057"/>
      <c r="BI113" s="1057"/>
      <c r="BJ113" s="1057"/>
      <c r="BK113" s="1057"/>
      <c r="BL113" s="1057"/>
      <c r="BM113" s="1057"/>
      <c r="BN113" s="1057"/>
      <c r="BO113" s="1057"/>
      <c r="BP113" s="1057"/>
      <c r="BQ113" s="1057"/>
      <c r="BR113" s="1057"/>
      <c r="BS113" s="1057"/>
      <c r="BT113" s="1057"/>
      <c r="BU113" s="1057"/>
      <c r="BV113" s="1059"/>
    </row>
    <row r="114" spans="1:74" s="1055" customFormat="1" x14ac:dyDescent="0.25">
      <c r="A114" s="1060" t="s">
        <v>683</v>
      </c>
      <c r="B114" s="1057"/>
      <c r="C114" s="1058"/>
      <c r="D114" s="1255"/>
      <c r="E114" s="1058"/>
      <c r="F114" s="1057"/>
      <c r="G114" s="1057"/>
      <c r="H114" s="1057"/>
      <c r="I114" s="1057"/>
      <c r="J114" s="1057"/>
      <c r="K114" s="1057"/>
      <c r="L114" s="1057"/>
      <c r="M114" s="1057"/>
      <c r="N114" s="1057"/>
      <c r="O114" s="1061">
        <v>30.531154999999998</v>
      </c>
      <c r="P114" s="1061">
        <v>29.553346999999999</v>
      </c>
      <c r="Q114" s="1061">
        <v>29.462689999999998</v>
      </c>
      <c r="R114" s="1061">
        <v>29.619807999999999</v>
      </c>
      <c r="S114" s="1061">
        <v>29.992000999999998</v>
      </c>
      <c r="T114" s="1061">
        <v>30.137812</v>
      </c>
      <c r="U114" s="1061">
        <v>30.368880999999998</v>
      </c>
      <c r="V114" s="1061">
        <v>30.723389000000001</v>
      </c>
      <c r="W114" s="1061">
        <v>31.014326000000001</v>
      </c>
      <c r="X114" s="1061">
        <v>30.799534000000001</v>
      </c>
      <c r="Y114" s="1061">
        <v>30.631943</v>
      </c>
      <c r="Z114" s="1061">
        <v>30.294862999999999</v>
      </c>
      <c r="AA114" s="1061">
        <v>30.159492</v>
      </c>
      <c r="AB114" s="1061">
        <v>30.497467</v>
      </c>
      <c r="AC114" s="1061">
        <v>30.549484</v>
      </c>
      <c r="AD114" s="1061">
        <v>30.628119000000002</v>
      </c>
      <c r="AE114" s="1061">
        <v>30.831617000000001</v>
      </c>
      <c r="AF114" s="1061">
        <v>30.906943999999999</v>
      </c>
      <c r="AG114" s="1061">
        <v>31.016119</v>
      </c>
      <c r="AH114" s="1061">
        <v>31.259630000000001</v>
      </c>
      <c r="AI114" s="1061">
        <v>31.506346000000001</v>
      </c>
      <c r="AJ114" s="1061">
        <v>31.548763000000001</v>
      </c>
      <c r="AK114" s="1061">
        <v>31.537307999999999</v>
      </c>
      <c r="AL114" s="1061">
        <v>31.727125000000001</v>
      </c>
      <c r="AM114" s="1061">
        <v>31.983875000000001</v>
      </c>
      <c r="AN114" s="1061">
        <v>32.252009999999999</v>
      </c>
      <c r="AO114" s="1061">
        <v>32.456364000000001</v>
      </c>
      <c r="AP114" s="1061">
        <v>32.526015999999998</v>
      </c>
      <c r="AQ114" s="1061">
        <v>32.747635000000002</v>
      </c>
      <c r="AR114" s="1061">
        <v>33.007354999999997</v>
      </c>
      <c r="AS114" s="1057"/>
      <c r="AT114" s="1057"/>
      <c r="AU114" s="1057"/>
      <c r="AV114" s="1057"/>
      <c r="AW114" s="1057"/>
      <c r="AX114" s="1057"/>
      <c r="AY114" s="1057"/>
      <c r="AZ114" s="1057"/>
      <c r="BA114" s="1057"/>
      <c r="BB114" s="1057"/>
      <c r="BC114" s="1057"/>
      <c r="BD114" s="1057"/>
      <c r="BE114" s="1057"/>
      <c r="BF114" s="1057"/>
      <c r="BG114" s="1057"/>
      <c r="BH114" s="1057"/>
      <c r="BI114" s="1057"/>
      <c r="BJ114" s="1057"/>
      <c r="BK114" s="1057"/>
      <c r="BL114" s="1057"/>
      <c r="BM114" s="1057"/>
      <c r="BN114" s="1057"/>
      <c r="BO114" s="1057"/>
      <c r="BP114" s="1057"/>
      <c r="BQ114" s="1057"/>
      <c r="BR114" s="1057"/>
      <c r="BS114" s="1057"/>
      <c r="BT114" s="1057"/>
      <c r="BU114" s="1057"/>
      <c r="BV114" s="1059"/>
    </row>
    <row r="115" spans="1:74" s="1055" customFormat="1" x14ac:dyDescent="0.25">
      <c r="A115" s="1060" t="s">
        <v>698</v>
      </c>
      <c r="B115" s="1057"/>
      <c r="C115" s="1058"/>
      <c r="D115" s="1255"/>
      <c r="E115" s="1058"/>
      <c r="F115" s="1057"/>
      <c r="G115" s="1057"/>
      <c r="H115" s="1057"/>
      <c r="I115" s="1057"/>
      <c r="J115" s="1057"/>
      <c r="K115" s="1057"/>
      <c r="L115" s="1057"/>
      <c r="M115" s="1057"/>
      <c r="N115" s="1057"/>
      <c r="O115" s="1061">
        <v>20.348036</v>
      </c>
      <c r="P115" s="1061">
        <v>19.495602000000002</v>
      </c>
      <c r="Q115" s="1061">
        <v>20.081951</v>
      </c>
      <c r="R115" s="1061">
        <v>19.872589000000001</v>
      </c>
      <c r="S115" s="1061">
        <v>20.106300000000001</v>
      </c>
      <c r="T115" s="1061">
        <v>20.110336</v>
      </c>
      <c r="U115" s="1061">
        <v>20.286434</v>
      </c>
      <c r="V115" s="1061">
        <v>20.591933999999998</v>
      </c>
      <c r="W115" s="1061">
        <v>20.859487999999999</v>
      </c>
      <c r="X115" s="1061">
        <v>20.769625000000001</v>
      </c>
      <c r="Y115" s="1061">
        <v>20.751276000000001</v>
      </c>
      <c r="Z115" s="1061">
        <v>20.654140000000002</v>
      </c>
      <c r="AA115" s="1061">
        <v>20.663025000000001</v>
      </c>
      <c r="AB115" s="1061">
        <v>20.946209</v>
      </c>
      <c r="AC115" s="1061">
        <v>21.079236999999999</v>
      </c>
      <c r="AD115" s="1061">
        <v>21.236912</v>
      </c>
      <c r="AE115" s="1061">
        <v>21.461658</v>
      </c>
      <c r="AF115" s="1061">
        <v>21.586451</v>
      </c>
      <c r="AG115" s="1061">
        <v>21.737777999999999</v>
      </c>
      <c r="AH115" s="1061">
        <v>21.988303999999999</v>
      </c>
      <c r="AI115" s="1061">
        <v>22.237325999999999</v>
      </c>
      <c r="AJ115" s="1061">
        <v>22.342414999999999</v>
      </c>
      <c r="AK115" s="1061">
        <v>22.437189</v>
      </c>
      <c r="AL115" s="1061">
        <v>22.654578999999998</v>
      </c>
      <c r="AM115" s="1061">
        <v>22.911854000000002</v>
      </c>
      <c r="AN115" s="1061">
        <v>23.191139</v>
      </c>
      <c r="AO115" s="1061">
        <v>23.409314999999999</v>
      </c>
      <c r="AP115" s="1061">
        <v>23.521646</v>
      </c>
      <c r="AQ115" s="1061">
        <v>23.76399</v>
      </c>
      <c r="AR115" s="1061">
        <v>24.052772999999998</v>
      </c>
      <c r="AS115" s="1057"/>
      <c r="AT115" s="1057"/>
      <c r="AU115" s="1057"/>
      <c r="AV115" s="1057"/>
      <c r="AW115" s="1057"/>
      <c r="AX115" s="1057"/>
      <c r="AY115" s="1057"/>
      <c r="AZ115" s="1057"/>
      <c r="BA115" s="1057"/>
      <c r="BB115" s="1057"/>
      <c r="BC115" s="1057"/>
      <c r="BD115" s="1057"/>
      <c r="BE115" s="1057"/>
      <c r="BF115" s="1057"/>
      <c r="BG115" s="1057"/>
      <c r="BH115" s="1057"/>
      <c r="BI115" s="1057"/>
      <c r="BJ115" s="1057"/>
      <c r="BK115" s="1057"/>
      <c r="BL115" s="1057"/>
      <c r="BM115" s="1057"/>
      <c r="BN115" s="1057"/>
      <c r="BO115" s="1057"/>
      <c r="BP115" s="1057"/>
      <c r="BQ115" s="1057"/>
      <c r="BR115" s="1057"/>
      <c r="BS115" s="1057"/>
      <c r="BT115" s="1057"/>
      <c r="BU115" s="1057"/>
      <c r="BV115" s="1059"/>
    </row>
    <row r="116" spans="1:74" s="1055" customFormat="1" ht="13" thickBot="1" x14ac:dyDescent="0.3">
      <c r="A116" s="1064" t="s">
        <v>684</v>
      </c>
      <c r="B116" s="1065"/>
      <c r="C116" s="1066"/>
      <c r="D116" s="1066"/>
      <c r="E116" s="1066"/>
      <c r="F116" s="1065"/>
      <c r="G116" s="1065"/>
      <c r="H116" s="1065"/>
      <c r="I116" s="1065"/>
      <c r="J116" s="1065"/>
      <c r="K116" s="1065"/>
      <c r="L116" s="1065"/>
      <c r="M116" s="1065"/>
      <c r="N116" s="1065"/>
      <c r="O116" s="1067">
        <v>34.952885000000002</v>
      </c>
      <c r="P116" s="1067">
        <v>34.831184</v>
      </c>
      <c r="Q116" s="1067">
        <v>34.015979999999999</v>
      </c>
      <c r="R116" s="1067">
        <v>34.409668000000003</v>
      </c>
      <c r="S116" s="1067">
        <v>34.941752999999999</v>
      </c>
      <c r="T116" s="1067">
        <v>35.163139000000001</v>
      </c>
      <c r="U116" s="1067">
        <v>35.519157</v>
      </c>
      <c r="V116" s="1067">
        <v>35.913296000000003</v>
      </c>
      <c r="W116" s="1067">
        <v>36.178234000000003</v>
      </c>
      <c r="X116" s="1067">
        <v>36.146892999999999</v>
      </c>
      <c r="Y116" s="1067">
        <v>36.061802</v>
      </c>
      <c r="Z116" s="1067">
        <v>35.804130999999998</v>
      </c>
      <c r="AA116" s="1067">
        <v>35.695621000000003</v>
      </c>
      <c r="AB116" s="1067">
        <v>36.040774999999996</v>
      </c>
      <c r="AC116" s="1067">
        <v>36.141415000000002</v>
      </c>
      <c r="AD116" s="1067">
        <v>36.246937000000003</v>
      </c>
      <c r="AE116" s="1067">
        <v>36.470740999999997</v>
      </c>
      <c r="AF116" s="1067">
        <v>36.579631999999997</v>
      </c>
      <c r="AG116" s="1067">
        <v>36.725307000000001</v>
      </c>
      <c r="AH116" s="1067">
        <v>36.981831</v>
      </c>
      <c r="AI116" s="1067">
        <v>37.256236999999999</v>
      </c>
      <c r="AJ116" s="1067">
        <v>37.335673999999997</v>
      </c>
      <c r="AK116" s="1067">
        <v>37.369007000000003</v>
      </c>
      <c r="AL116" s="1067">
        <v>37.567386999999997</v>
      </c>
      <c r="AM116" s="1067">
        <v>37.817901999999997</v>
      </c>
      <c r="AN116" s="1067">
        <v>38.082256000000001</v>
      </c>
      <c r="AO116" s="1067">
        <v>38.298912000000001</v>
      </c>
      <c r="AP116" s="1067">
        <v>38.369354000000001</v>
      </c>
      <c r="AQ116" s="1067">
        <v>38.582217999999997</v>
      </c>
      <c r="AR116" s="1067">
        <v>38.834609999999998</v>
      </c>
      <c r="AS116" s="1065"/>
      <c r="AT116" s="1065"/>
      <c r="AU116" s="1065"/>
      <c r="AV116" s="1065"/>
      <c r="AW116" s="1065"/>
      <c r="AX116" s="1065"/>
      <c r="AY116" s="1065"/>
      <c r="AZ116" s="1065"/>
      <c r="BA116" s="1065"/>
      <c r="BB116" s="1065"/>
      <c r="BC116" s="1065"/>
      <c r="BD116" s="1065"/>
      <c r="BE116" s="1065"/>
      <c r="BF116" s="1065"/>
      <c r="BG116" s="1065"/>
      <c r="BH116" s="1065"/>
      <c r="BI116" s="1065"/>
      <c r="BJ116" s="1065"/>
      <c r="BK116" s="1065"/>
      <c r="BL116" s="1065"/>
      <c r="BM116" s="1065"/>
      <c r="BN116" s="1065"/>
      <c r="BO116" s="1065"/>
      <c r="BP116" s="1065"/>
      <c r="BQ116" s="1065"/>
      <c r="BR116" s="1065"/>
      <c r="BS116" s="1065"/>
      <c r="BT116" s="1065"/>
      <c r="BU116" s="1065"/>
      <c r="BV116" s="1068"/>
    </row>
    <row r="129" spans="1:104" ht="13" thickBot="1" x14ac:dyDescent="0.3"/>
    <row r="130" spans="1:104" ht="13" x14ac:dyDescent="0.3">
      <c r="A130" s="1384" t="s">
        <v>1290</v>
      </c>
      <c r="B130" s="1385" t="str">
        <f>"Prices are in $(" &amp; ref_year&amp;")/GJ LHV"</f>
        <v>Prices are in $(2016)/GJ LHV</v>
      </c>
      <c r="C130" s="1385"/>
      <c r="D130" s="1386"/>
      <c r="E130" s="1385"/>
      <c r="F130" s="962"/>
      <c r="G130" s="962"/>
      <c r="H130" s="962"/>
      <c r="I130" s="962"/>
      <c r="J130" s="962"/>
      <c r="K130" s="962"/>
      <c r="L130" s="962"/>
      <c r="M130" s="962"/>
      <c r="N130" s="962"/>
      <c r="O130" s="962"/>
      <c r="P130" s="962"/>
      <c r="Q130" s="962"/>
      <c r="R130" s="962"/>
      <c r="S130" s="962"/>
      <c r="T130" s="962"/>
      <c r="U130" s="962"/>
      <c r="V130" s="962"/>
      <c r="W130" s="962"/>
      <c r="X130" s="962"/>
      <c r="Y130" s="962"/>
      <c r="Z130" s="962"/>
      <c r="AA130" s="962"/>
      <c r="AB130" s="962"/>
      <c r="AC130" s="962"/>
      <c r="AD130" s="962"/>
      <c r="AE130" s="962"/>
      <c r="AF130" s="962"/>
      <c r="AG130" s="962"/>
      <c r="AH130" s="962"/>
      <c r="AI130" s="962"/>
      <c r="AJ130" s="962"/>
      <c r="AK130" s="962"/>
      <c r="AL130" s="962"/>
      <c r="AM130" s="962"/>
      <c r="AN130" s="962"/>
      <c r="AO130" s="962"/>
      <c r="AP130" s="962"/>
      <c r="AQ130" s="962"/>
      <c r="AR130" s="962"/>
      <c r="AS130" s="1387"/>
      <c r="AT130" s="1387"/>
      <c r="AU130" s="1387"/>
      <c r="AV130" s="1387"/>
      <c r="AW130" s="1387"/>
      <c r="AX130" s="1387"/>
      <c r="AY130" s="1387"/>
      <c r="AZ130" s="1387"/>
      <c r="BA130" s="1387"/>
      <c r="BB130" s="1388" t="s">
        <v>1291</v>
      </c>
      <c r="BC130" s="1389"/>
      <c r="BD130" s="1389"/>
      <c r="BE130" s="1389"/>
      <c r="BF130" s="1389"/>
      <c r="BG130" s="1389"/>
      <c r="BH130" s="1389"/>
      <c r="BI130" s="1389"/>
      <c r="BJ130" s="1389"/>
      <c r="BK130" s="1389"/>
      <c r="BL130" s="1389"/>
      <c r="BM130" s="1389"/>
      <c r="BN130" s="1389"/>
      <c r="BO130" s="1389"/>
      <c r="BP130" s="1389"/>
      <c r="BQ130" s="1389"/>
      <c r="BR130" s="1389"/>
      <c r="BS130" s="1389"/>
      <c r="BT130" s="1389"/>
      <c r="BU130" s="1389"/>
      <c r="BV130" s="1389"/>
      <c r="BW130" s="1389"/>
      <c r="BX130" s="1389"/>
      <c r="BY130" s="1389"/>
      <c r="BZ130" s="1389"/>
      <c r="CA130" s="1389"/>
      <c r="CB130" s="1389"/>
      <c r="CC130" s="1389"/>
      <c r="CD130" s="1389"/>
      <c r="CE130" s="1389"/>
      <c r="CF130" s="1389"/>
      <c r="CG130" s="1389"/>
      <c r="CH130" s="1389"/>
      <c r="CI130" s="1389"/>
      <c r="CJ130" s="1389"/>
      <c r="CK130" s="1389"/>
      <c r="CL130" s="1389"/>
      <c r="CM130" s="1389"/>
      <c r="CN130" s="1389"/>
      <c r="CO130" s="1389"/>
      <c r="CP130" s="1389"/>
      <c r="CQ130" s="1389"/>
      <c r="CR130" s="1389"/>
      <c r="CS130" s="1389"/>
      <c r="CT130" s="1389"/>
      <c r="CU130" s="1389"/>
      <c r="CV130" s="1389"/>
      <c r="CW130" s="1389"/>
      <c r="CX130" s="1389"/>
      <c r="CY130" s="1389"/>
      <c r="CZ130" s="1390"/>
    </row>
    <row r="131" spans="1:104" ht="39.5" thickBot="1" x14ac:dyDescent="0.35">
      <c r="A131" s="1391" t="s">
        <v>1084</v>
      </c>
      <c r="B131" s="1125" t="s">
        <v>678</v>
      </c>
      <c r="C131" s="1125" t="s">
        <v>679</v>
      </c>
      <c r="D131" s="1258" t="s">
        <v>690</v>
      </c>
      <c r="E131" s="1125" t="s">
        <v>691</v>
      </c>
      <c r="F131" s="1126" t="s">
        <v>680</v>
      </c>
      <c r="G131" s="1126" t="s">
        <v>692</v>
      </c>
      <c r="H131" s="892">
        <v>2004</v>
      </c>
      <c r="I131" s="892">
        <f>+H131+1</f>
        <v>2005</v>
      </c>
      <c r="J131" s="892">
        <f t="shared" ref="J131:BU131" si="265">+I131+1</f>
        <v>2006</v>
      </c>
      <c r="K131" s="892">
        <f t="shared" si="265"/>
        <v>2007</v>
      </c>
      <c r="L131" s="892">
        <f t="shared" si="265"/>
        <v>2008</v>
      </c>
      <c r="M131" s="892">
        <f t="shared" si="265"/>
        <v>2009</v>
      </c>
      <c r="N131" s="892">
        <f t="shared" si="265"/>
        <v>2010</v>
      </c>
      <c r="O131" s="892">
        <f t="shared" si="265"/>
        <v>2011</v>
      </c>
      <c r="P131" s="892">
        <f t="shared" si="265"/>
        <v>2012</v>
      </c>
      <c r="Q131" s="892">
        <f t="shared" si="265"/>
        <v>2013</v>
      </c>
      <c r="R131" s="892">
        <f t="shared" si="265"/>
        <v>2014</v>
      </c>
      <c r="S131" s="892">
        <f t="shared" si="265"/>
        <v>2015</v>
      </c>
      <c r="T131" s="892">
        <f t="shared" si="265"/>
        <v>2016</v>
      </c>
      <c r="U131" s="892">
        <f t="shared" si="265"/>
        <v>2017</v>
      </c>
      <c r="V131" s="892">
        <f t="shared" si="265"/>
        <v>2018</v>
      </c>
      <c r="W131" s="892">
        <f t="shared" si="265"/>
        <v>2019</v>
      </c>
      <c r="X131" s="892">
        <f t="shared" si="265"/>
        <v>2020</v>
      </c>
      <c r="Y131" s="892">
        <f t="shared" si="265"/>
        <v>2021</v>
      </c>
      <c r="Z131" s="892">
        <f t="shared" si="265"/>
        <v>2022</v>
      </c>
      <c r="AA131" s="892">
        <f t="shared" si="265"/>
        <v>2023</v>
      </c>
      <c r="AB131" s="892">
        <f t="shared" si="265"/>
        <v>2024</v>
      </c>
      <c r="AC131" s="892">
        <f t="shared" si="265"/>
        <v>2025</v>
      </c>
      <c r="AD131" s="892">
        <f t="shared" si="265"/>
        <v>2026</v>
      </c>
      <c r="AE131" s="892">
        <f t="shared" si="265"/>
        <v>2027</v>
      </c>
      <c r="AF131" s="892">
        <f t="shared" si="265"/>
        <v>2028</v>
      </c>
      <c r="AG131" s="892">
        <f t="shared" si="265"/>
        <v>2029</v>
      </c>
      <c r="AH131" s="892">
        <f t="shared" si="265"/>
        <v>2030</v>
      </c>
      <c r="AI131" s="892">
        <f t="shared" si="265"/>
        <v>2031</v>
      </c>
      <c r="AJ131" s="892">
        <f t="shared" si="265"/>
        <v>2032</v>
      </c>
      <c r="AK131" s="892">
        <f t="shared" si="265"/>
        <v>2033</v>
      </c>
      <c r="AL131" s="892">
        <f t="shared" si="265"/>
        <v>2034</v>
      </c>
      <c r="AM131" s="892">
        <f t="shared" si="265"/>
        <v>2035</v>
      </c>
      <c r="AN131" s="892">
        <f t="shared" si="265"/>
        <v>2036</v>
      </c>
      <c r="AO131" s="892">
        <f t="shared" si="265"/>
        <v>2037</v>
      </c>
      <c r="AP131" s="892">
        <f t="shared" si="265"/>
        <v>2038</v>
      </c>
      <c r="AQ131" s="892">
        <f t="shared" si="265"/>
        <v>2039</v>
      </c>
      <c r="AR131" s="892">
        <f t="shared" si="265"/>
        <v>2040</v>
      </c>
      <c r="AS131" s="892">
        <f t="shared" si="265"/>
        <v>2041</v>
      </c>
      <c r="AT131" s="892">
        <f t="shared" si="265"/>
        <v>2042</v>
      </c>
      <c r="AU131" s="892">
        <f t="shared" si="265"/>
        <v>2043</v>
      </c>
      <c r="AV131" s="892">
        <f t="shared" si="265"/>
        <v>2044</v>
      </c>
      <c r="AW131" s="892">
        <f t="shared" si="265"/>
        <v>2045</v>
      </c>
      <c r="AX131" s="892">
        <f t="shared" si="265"/>
        <v>2046</v>
      </c>
      <c r="AY131" s="892">
        <f t="shared" si="265"/>
        <v>2047</v>
      </c>
      <c r="AZ131" s="892">
        <f t="shared" si="265"/>
        <v>2048</v>
      </c>
      <c r="BA131" s="892">
        <f t="shared" si="265"/>
        <v>2049</v>
      </c>
      <c r="BB131" s="892">
        <f t="shared" si="265"/>
        <v>2050</v>
      </c>
      <c r="BC131" s="892">
        <f t="shared" si="265"/>
        <v>2051</v>
      </c>
      <c r="BD131" s="892">
        <f t="shared" si="265"/>
        <v>2052</v>
      </c>
      <c r="BE131" s="892">
        <f t="shared" si="265"/>
        <v>2053</v>
      </c>
      <c r="BF131" s="892">
        <f t="shared" si="265"/>
        <v>2054</v>
      </c>
      <c r="BG131" s="892">
        <f t="shared" si="265"/>
        <v>2055</v>
      </c>
      <c r="BH131" s="892">
        <f t="shared" si="265"/>
        <v>2056</v>
      </c>
      <c r="BI131" s="892">
        <f t="shared" si="265"/>
        <v>2057</v>
      </c>
      <c r="BJ131" s="892">
        <f t="shared" si="265"/>
        <v>2058</v>
      </c>
      <c r="BK131" s="892">
        <f t="shared" si="265"/>
        <v>2059</v>
      </c>
      <c r="BL131" s="892">
        <f t="shared" si="265"/>
        <v>2060</v>
      </c>
      <c r="BM131" s="892">
        <f t="shared" si="265"/>
        <v>2061</v>
      </c>
      <c r="BN131" s="892">
        <f t="shared" si="265"/>
        <v>2062</v>
      </c>
      <c r="BO131" s="892">
        <f t="shared" si="265"/>
        <v>2063</v>
      </c>
      <c r="BP131" s="892">
        <f t="shared" si="265"/>
        <v>2064</v>
      </c>
      <c r="BQ131" s="892">
        <f t="shared" si="265"/>
        <v>2065</v>
      </c>
      <c r="BR131" s="892">
        <f t="shared" si="265"/>
        <v>2066</v>
      </c>
      <c r="BS131" s="892">
        <f t="shared" si="265"/>
        <v>2067</v>
      </c>
      <c r="BT131" s="892">
        <f t="shared" si="265"/>
        <v>2068</v>
      </c>
      <c r="BU131" s="892">
        <f t="shared" si="265"/>
        <v>2069</v>
      </c>
      <c r="BV131" s="892">
        <f t="shared" ref="BV131:CZ131" si="266">+BU131+1</f>
        <v>2070</v>
      </c>
      <c r="BW131" s="892">
        <f t="shared" si="266"/>
        <v>2071</v>
      </c>
      <c r="BX131" s="892">
        <f t="shared" si="266"/>
        <v>2072</v>
      </c>
      <c r="BY131" s="892">
        <f t="shared" si="266"/>
        <v>2073</v>
      </c>
      <c r="BZ131" s="892">
        <f t="shared" si="266"/>
        <v>2074</v>
      </c>
      <c r="CA131" s="892">
        <f t="shared" si="266"/>
        <v>2075</v>
      </c>
      <c r="CB131" s="892">
        <f t="shared" si="266"/>
        <v>2076</v>
      </c>
      <c r="CC131" s="892">
        <f t="shared" si="266"/>
        <v>2077</v>
      </c>
      <c r="CD131" s="892">
        <f t="shared" si="266"/>
        <v>2078</v>
      </c>
      <c r="CE131" s="892">
        <f t="shared" si="266"/>
        <v>2079</v>
      </c>
      <c r="CF131" s="892">
        <f t="shared" si="266"/>
        <v>2080</v>
      </c>
      <c r="CG131" s="892">
        <f t="shared" si="266"/>
        <v>2081</v>
      </c>
      <c r="CH131" s="892">
        <f t="shared" si="266"/>
        <v>2082</v>
      </c>
      <c r="CI131" s="892">
        <f t="shared" si="266"/>
        <v>2083</v>
      </c>
      <c r="CJ131" s="892">
        <f t="shared" si="266"/>
        <v>2084</v>
      </c>
      <c r="CK131" s="892">
        <f t="shared" si="266"/>
        <v>2085</v>
      </c>
      <c r="CL131" s="892">
        <f t="shared" si="266"/>
        <v>2086</v>
      </c>
      <c r="CM131" s="892">
        <f t="shared" si="266"/>
        <v>2087</v>
      </c>
      <c r="CN131" s="892">
        <f t="shared" si="266"/>
        <v>2088</v>
      </c>
      <c r="CO131" s="892">
        <f t="shared" si="266"/>
        <v>2089</v>
      </c>
      <c r="CP131" s="892">
        <f t="shared" si="266"/>
        <v>2090</v>
      </c>
      <c r="CQ131" s="892">
        <f t="shared" si="266"/>
        <v>2091</v>
      </c>
      <c r="CR131" s="892">
        <f t="shared" si="266"/>
        <v>2092</v>
      </c>
      <c r="CS131" s="892">
        <f t="shared" si="266"/>
        <v>2093</v>
      </c>
      <c r="CT131" s="892">
        <f t="shared" si="266"/>
        <v>2094</v>
      </c>
      <c r="CU131" s="892">
        <f t="shared" si="266"/>
        <v>2095</v>
      </c>
      <c r="CV131" s="892">
        <f t="shared" si="266"/>
        <v>2096</v>
      </c>
      <c r="CW131" s="892">
        <f t="shared" si="266"/>
        <v>2097</v>
      </c>
      <c r="CX131" s="892">
        <f t="shared" si="266"/>
        <v>2098</v>
      </c>
      <c r="CY131" s="892">
        <f t="shared" si="266"/>
        <v>2099</v>
      </c>
      <c r="CZ131" s="1392">
        <f t="shared" si="266"/>
        <v>2100</v>
      </c>
    </row>
    <row r="132" spans="1:104" ht="13" thickBot="1" x14ac:dyDescent="0.3">
      <c r="A132" s="1393" t="s">
        <v>1090</v>
      </c>
      <c r="B132" s="874"/>
      <c r="C132" s="874"/>
      <c r="D132" s="1259"/>
      <c r="E132" s="874"/>
      <c r="F132" s="874"/>
      <c r="G132" s="874"/>
      <c r="H132" s="962"/>
      <c r="I132" s="962"/>
      <c r="J132" s="962"/>
      <c r="K132" s="962"/>
      <c r="L132" s="962"/>
      <c r="M132" s="962"/>
      <c r="N132" s="962"/>
      <c r="O132" s="962"/>
      <c r="P132" s="962"/>
      <c r="Q132" s="962"/>
      <c r="R132" s="962"/>
      <c r="S132" s="962"/>
      <c r="T132" s="962"/>
      <c r="U132" s="962"/>
      <c r="V132" s="962"/>
      <c r="W132" s="962"/>
      <c r="X132" s="962"/>
      <c r="Y132" s="962"/>
      <c r="Z132" s="962"/>
      <c r="AA132" s="962"/>
      <c r="AB132" s="962"/>
      <c r="AC132" s="962"/>
      <c r="AD132" s="962"/>
      <c r="AE132" s="962"/>
      <c r="AF132" s="962"/>
      <c r="AG132" s="962"/>
      <c r="AH132" s="962"/>
      <c r="AI132" s="962"/>
      <c r="AJ132" s="962"/>
      <c r="AK132" s="962"/>
      <c r="AL132" s="962"/>
      <c r="AM132" s="962"/>
      <c r="AN132" s="962"/>
      <c r="AO132" s="962"/>
      <c r="AP132" s="962"/>
      <c r="AQ132" s="962"/>
      <c r="AR132" s="962"/>
      <c r="AS132" s="962"/>
      <c r="AT132" s="962"/>
      <c r="AU132" s="962"/>
      <c r="AV132" s="962"/>
      <c r="AW132" s="962"/>
      <c r="AX132" s="962"/>
      <c r="AY132" s="962"/>
      <c r="AZ132" s="962"/>
      <c r="BA132" s="962"/>
      <c r="BB132" s="962"/>
      <c r="BC132" s="962"/>
      <c r="BD132" s="962"/>
      <c r="BE132" s="962"/>
      <c r="BF132" s="962"/>
      <c r="BG132" s="962"/>
      <c r="BH132" s="962"/>
      <c r="BI132" s="962"/>
      <c r="BJ132" s="962"/>
      <c r="BK132" s="962"/>
      <c r="BL132" s="962"/>
      <c r="BM132" s="962"/>
      <c r="BN132" s="962"/>
      <c r="BO132" s="962"/>
      <c r="BP132" s="962"/>
      <c r="BQ132" s="962"/>
      <c r="BR132" s="962"/>
      <c r="BS132" s="962"/>
      <c r="BT132" s="962"/>
      <c r="BU132" s="962"/>
      <c r="BV132" s="962"/>
      <c r="BW132" s="962"/>
      <c r="BX132" s="962"/>
      <c r="BY132" s="962"/>
      <c r="BZ132" s="962"/>
      <c r="CA132" s="962"/>
      <c r="CB132" s="962"/>
      <c r="CC132" s="962"/>
      <c r="CD132" s="962"/>
      <c r="CE132" s="962"/>
      <c r="CF132" s="962"/>
      <c r="CG132" s="962"/>
      <c r="CH132" s="962"/>
      <c r="CI132" s="962"/>
      <c r="CJ132" s="962"/>
      <c r="CK132" s="962"/>
      <c r="CL132" s="962"/>
      <c r="CM132" s="962"/>
      <c r="CN132" s="962"/>
      <c r="CO132" s="962"/>
      <c r="CP132" s="962"/>
      <c r="CQ132" s="962"/>
      <c r="CR132" s="962"/>
      <c r="CS132" s="962"/>
      <c r="CT132" s="962"/>
      <c r="CU132" s="962"/>
      <c r="CV132" s="962"/>
      <c r="CW132" s="962"/>
      <c r="CX132" s="962"/>
      <c r="CY132" s="962"/>
      <c r="CZ132" s="1394"/>
    </row>
    <row r="133" spans="1:104" ht="13" x14ac:dyDescent="0.3">
      <c r="A133" s="1502" t="s">
        <v>681</v>
      </c>
      <c r="B133" s="264">
        <v>2016</v>
      </c>
      <c r="C133" s="877">
        <f t="shared" ref="C133:C141" si="267">VLOOKUP(ref_year,DeflatorTable,2,FALSE)/VLOOKUP(B133,DeflatorTable,2,FALSE)</f>
        <v>1</v>
      </c>
      <c r="D133" s="1260" t="s">
        <v>864</v>
      </c>
      <c r="E133" s="877" t="s">
        <v>1058</v>
      </c>
      <c r="F133" s="264">
        <v>47.141269049911173</v>
      </c>
      <c r="G133" s="264">
        <v>52.224661236371581</v>
      </c>
      <c r="H133" s="1070">
        <f>+H153*$C133</f>
        <v>13.604875014867702</v>
      </c>
      <c r="I133" s="1070">
        <f t="shared" ref="I133:BT141" si="268">+I153*$C133</f>
        <v>15.571757228276402</v>
      </c>
      <c r="J133" s="1070">
        <f t="shared" si="268"/>
        <v>16.331995797204218</v>
      </c>
      <c r="K133" s="1070">
        <f t="shared" si="268"/>
        <v>15.155672177020728</v>
      </c>
      <c r="L133" s="1070">
        <f t="shared" si="268"/>
        <v>15.783516201764996</v>
      </c>
      <c r="M133" s="1070">
        <f t="shared" si="268"/>
        <v>13.69149010361817</v>
      </c>
      <c r="N133" s="1070">
        <f t="shared" si="268"/>
        <v>12.691188457250465</v>
      </c>
      <c r="O133" s="962">
        <f t="shared" si="268"/>
        <v>12.04142243701838</v>
      </c>
      <c r="P133" s="962">
        <f t="shared" si="268"/>
        <v>11.415954621928984</v>
      </c>
      <c r="Q133" s="962">
        <f t="shared" si="268"/>
        <v>10.886628367710442</v>
      </c>
      <c r="R133" s="962">
        <f t="shared" si="268"/>
        <v>11.368469484946878</v>
      </c>
      <c r="S133" s="962">
        <f t="shared" si="268"/>
        <v>9.7183315387998359</v>
      </c>
      <c r="T133" s="962">
        <f t="shared" si="268"/>
        <v>9.390001099467705</v>
      </c>
      <c r="U133" s="962">
        <f t="shared" si="268"/>
        <v>10.023002570479671</v>
      </c>
      <c r="V133" s="962">
        <f t="shared" si="268"/>
        <v>10.033707215541167</v>
      </c>
      <c r="W133" s="962">
        <f t="shared" si="268"/>
        <v>10.158951752324048</v>
      </c>
      <c r="X133" s="962">
        <f t="shared" si="268"/>
        <v>10.289627280447673</v>
      </c>
      <c r="Y133" s="962">
        <f t="shared" si="268"/>
        <v>10.38663350570965</v>
      </c>
      <c r="Z133" s="962">
        <f t="shared" si="268"/>
        <v>10.458822090960101</v>
      </c>
      <c r="AA133" s="962">
        <f t="shared" si="268"/>
        <v>10.541361785535555</v>
      </c>
      <c r="AB133" s="962">
        <f t="shared" si="268"/>
        <v>10.671303703310535</v>
      </c>
      <c r="AC133" s="962">
        <f t="shared" si="268"/>
        <v>10.821196220864106</v>
      </c>
      <c r="AD133" s="962">
        <f t="shared" si="268"/>
        <v>10.961130973142659</v>
      </c>
      <c r="AE133" s="962">
        <f t="shared" si="268"/>
        <v>11.387951919139837</v>
      </c>
      <c r="AF133" s="962">
        <f t="shared" si="268"/>
        <v>11.524366479125279</v>
      </c>
      <c r="AG133" s="962">
        <f t="shared" si="268"/>
        <v>11.653679994237272</v>
      </c>
      <c r="AH133" s="962">
        <f t="shared" si="268"/>
        <v>11.727599293307653</v>
      </c>
      <c r="AI133" s="962">
        <f t="shared" si="268"/>
        <v>11.827238554162054</v>
      </c>
      <c r="AJ133" s="962">
        <f t="shared" si="268"/>
        <v>11.877874728924342</v>
      </c>
      <c r="AK133" s="962">
        <f t="shared" si="268"/>
        <v>11.891573527850655</v>
      </c>
      <c r="AL133" s="962">
        <f t="shared" si="268"/>
        <v>11.9827791131466</v>
      </c>
      <c r="AM133" s="962">
        <f t="shared" si="268"/>
        <v>12.163475682807357</v>
      </c>
      <c r="AN133" s="962">
        <f t="shared" si="268"/>
        <v>12.259449735369497</v>
      </c>
      <c r="AO133" s="962">
        <f t="shared" si="268"/>
        <v>12.356256919064013</v>
      </c>
      <c r="AP133" s="962">
        <f t="shared" si="268"/>
        <v>12.41256198723101</v>
      </c>
      <c r="AQ133" s="962">
        <f t="shared" si="268"/>
        <v>12.490714236969412</v>
      </c>
      <c r="AR133" s="962">
        <f t="shared" si="268"/>
        <v>12.496378391289182</v>
      </c>
      <c r="AS133" s="962">
        <f t="shared" si="268"/>
        <v>12.55376491863939</v>
      </c>
      <c r="AT133" s="962">
        <f t="shared" si="268"/>
        <v>12.651412816002184</v>
      </c>
      <c r="AU133" s="962">
        <f t="shared" si="268"/>
        <v>12.770777096192051</v>
      </c>
      <c r="AV133" s="962">
        <f t="shared" si="268"/>
        <v>12.886454368298935</v>
      </c>
      <c r="AW133" s="962">
        <f t="shared" si="268"/>
        <v>13.010888521557151</v>
      </c>
      <c r="AX133" s="962">
        <f t="shared" si="268"/>
        <v>13.118997475015544</v>
      </c>
      <c r="AY133" s="962">
        <f t="shared" si="268"/>
        <v>13.217679440712152</v>
      </c>
      <c r="AZ133" s="962">
        <f t="shared" si="268"/>
        <v>13.363983523149482</v>
      </c>
      <c r="BA133" s="962">
        <f t="shared" si="268"/>
        <v>13.453606254075613</v>
      </c>
      <c r="BB133" s="962">
        <f t="shared" si="268"/>
        <v>13.593337225701765</v>
      </c>
      <c r="BC133" s="962">
        <f t="shared" si="268"/>
        <v>13.668907227280409</v>
      </c>
      <c r="BD133" s="962">
        <f t="shared" si="268"/>
        <v>13.744897348292845</v>
      </c>
      <c r="BE133" s="962">
        <f t="shared" si="268"/>
        <v>13.821309924326409</v>
      </c>
      <c r="BF133" s="962">
        <f t="shared" si="268"/>
        <v>13.898147303952761</v>
      </c>
      <c r="BG133" s="962">
        <f t="shared" si="268"/>
        <v>13.975411848800078</v>
      </c>
      <c r="BH133" s="962">
        <f t="shared" si="268"/>
        <v>14.050424531225174</v>
      </c>
      <c r="BI133" s="962">
        <f t="shared" si="268"/>
        <v>14.12583984239463</v>
      </c>
      <c r="BJ133" s="962">
        <f t="shared" si="268"/>
        <v>14.201659943408417</v>
      </c>
      <c r="BK133" s="962">
        <f t="shared" si="268"/>
        <v>14.277887006966159</v>
      </c>
      <c r="BL133" s="962">
        <f t="shared" si="268"/>
        <v>14.354523217429389</v>
      </c>
      <c r="BM133" s="962">
        <f t="shared" si="268"/>
        <v>14.422221698840277</v>
      </c>
      <c r="BN133" s="962">
        <f t="shared" si="268"/>
        <v>14.490239458315362</v>
      </c>
      <c r="BO133" s="962">
        <f t="shared" si="268"/>
        <v>14.558578001626712</v>
      </c>
      <c r="BP133" s="962">
        <f t="shared" si="268"/>
        <v>14.627238841647882</v>
      </c>
      <c r="BQ133" s="962">
        <f t="shared" si="268"/>
        <v>14.696223498387408</v>
      </c>
      <c r="BR133" s="962">
        <f t="shared" si="268"/>
        <v>14.75529333521281</v>
      </c>
      <c r="BS133" s="962">
        <f t="shared" si="268"/>
        <v>14.814600596681556</v>
      </c>
      <c r="BT133" s="962">
        <f t="shared" si="268"/>
        <v>14.874146237095607</v>
      </c>
      <c r="BU133" s="962">
        <f t="shared" ref="BU133:CZ140" si="269">+BU153*$C133</f>
        <v>14.933931214592636</v>
      </c>
      <c r="BV133" s="962">
        <f t="shared" si="269"/>
        <v>14.993956491161448</v>
      </c>
      <c r="BW133" s="962">
        <f t="shared" si="269"/>
        <v>15.043740835540882</v>
      </c>
      <c r="BX133" s="962">
        <f t="shared" si="269"/>
        <v>15.093690478582264</v>
      </c>
      <c r="BY133" s="962">
        <f t="shared" si="269"/>
        <v>15.143805969125756</v>
      </c>
      <c r="BZ133" s="962">
        <f t="shared" si="269"/>
        <v>15.19408785783383</v>
      </c>
      <c r="CA133" s="962">
        <f t="shared" si="269"/>
        <v>15.244536697197322</v>
      </c>
      <c r="CB133" s="962">
        <f t="shared" si="269"/>
        <v>15.277067444573643</v>
      </c>
      <c r="CC133" s="962">
        <f t="shared" si="269"/>
        <v>15.309667610230484</v>
      </c>
      <c r="CD133" s="962">
        <f t="shared" si="269"/>
        <v>15.342337342301477</v>
      </c>
      <c r="CE133" s="962">
        <f t="shared" si="269"/>
        <v>15.375076789236356</v>
      </c>
      <c r="CF133" s="962">
        <f t="shared" si="269"/>
        <v>15.407886099801638</v>
      </c>
      <c r="CG133" s="962">
        <f t="shared" si="269"/>
        <v>15.41853907481957</v>
      </c>
      <c r="CH133" s="962">
        <f t="shared" si="269"/>
        <v>15.42919941527855</v>
      </c>
      <c r="CI133" s="962">
        <f t="shared" si="269"/>
        <v>15.439867126271025</v>
      </c>
      <c r="CJ133" s="962">
        <f t="shared" si="269"/>
        <v>15.450542212892964</v>
      </c>
      <c r="CK133" s="962">
        <f t="shared" si="269"/>
        <v>15.461224680243861</v>
      </c>
      <c r="CL133" s="962">
        <f t="shared" si="269"/>
        <v>15.464845562477739</v>
      </c>
      <c r="CM133" s="962">
        <f t="shared" si="269"/>
        <v>15.468467292690251</v>
      </c>
      <c r="CN133" s="962">
        <f t="shared" si="269"/>
        <v>15.472089871079984</v>
      </c>
      <c r="CO133" s="962">
        <f t="shared" si="269"/>
        <v>15.475713297845573</v>
      </c>
      <c r="CP133" s="962">
        <f t="shared" si="269"/>
        <v>15.479337573185701</v>
      </c>
      <c r="CQ133" s="962">
        <f t="shared" si="269"/>
        <v>15.484830510437597</v>
      </c>
      <c r="CR133" s="962">
        <f t="shared" si="269"/>
        <v>15.490325396891745</v>
      </c>
      <c r="CS133" s="962">
        <f t="shared" si="269"/>
        <v>15.49582223323983</v>
      </c>
      <c r="CT133" s="962">
        <f t="shared" si="269"/>
        <v>15.501321020173785</v>
      </c>
      <c r="CU133" s="962">
        <f t="shared" si="269"/>
        <v>15.506821758385787</v>
      </c>
      <c r="CV133" s="962">
        <f t="shared" si="269"/>
        <v>15.515287417782641</v>
      </c>
      <c r="CW133" s="962">
        <f t="shared" si="269"/>
        <v>15.523757698847955</v>
      </c>
      <c r="CX133" s="962">
        <f t="shared" si="269"/>
        <v>15.532232604104841</v>
      </c>
      <c r="CY133" s="962">
        <f t="shared" si="269"/>
        <v>15.540712136077792</v>
      </c>
      <c r="CZ133" s="1394">
        <f t="shared" si="269"/>
        <v>15.549196297292674</v>
      </c>
    </row>
    <row r="134" spans="1:104" ht="13" x14ac:dyDescent="0.3">
      <c r="A134" s="1502" t="s">
        <v>1085</v>
      </c>
      <c r="B134" s="264">
        <v>2016</v>
      </c>
      <c r="C134" s="877">
        <f t="shared" si="267"/>
        <v>1</v>
      </c>
      <c r="D134" s="1260" t="s">
        <v>864</v>
      </c>
      <c r="E134" s="877" t="s">
        <v>1058</v>
      </c>
      <c r="F134" s="264">
        <v>47.141269049911173</v>
      </c>
      <c r="G134" s="264">
        <v>52.224661236371581</v>
      </c>
      <c r="H134" s="1071">
        <f t="shared" ref="H134:BS137" si="270">+H154*$C134</f>
        <v>11.934322920018829</v>
      </c>
      <c r="I134" s="1071">
        <f t="shared" si="270"/>
        <v>13.90423046997279</v>
      </c>
      <c r="J134" s="1071">
        <f t="shared" si="270"/>
        <v>14.274140536522257</v>
      </c>
      <c r="K134" s="1071">
        <f t="shared" si="270"/>
        <v>13.139550648884942</v>
      </c>
      <c r="L134" s="1071">
        <f t="shared" si="270"/>
        <v>13.897221248926272</v>
      </c>
      <c r="M134" s="1071">
        <f t="shared" si="270"/>
        <v>11.345666428533674</v>
      </c>
      <c r="N134" s="1071">
        <f t="shared" si="270"/>
        <v>10.551848524158197</v>
      </c>
      <c r="O134" s="264">
        <f t="shared" si="270"/>
        <v>9.7270239269114924</v>
      </c>
      <c r="P134" s="264">
        <f t="shared" si="270"/>
        <v>8.6825570363966911</v>
      </c>
      <c r="Q134" s="264">
        <f t="shared" si="270"/>
        <v>8.5236392646415098</v>
      </c>
      <c r="R134" s="264">
        <f t="shared" si="270"/>
        <v>9.2232797097563566</v>
      </c>
      <c r="S134" s="264">
        <f t="shared" si="270"/>
        <v>7.6085885488542795</v>
      </c>
      <c r="T134" s="264">
        <f t="shared" si="270"/>
        <v>6.813801352724405</v>
      </c>
      <c r="U134" s="264">
        <f t="shared" si="270"/>
        <v>7.4731047451509687</v>
      </c>
      <c r="V134" s="264">
        <f t="shared" si="270"/>
        <v>7.9843107853990691</v>
      </c>
      <c r="W134" s="264">
        <f t="shared" si="270"/>
        <v>8.5650780622071245</v>
      </c>
      <c r="X134" s="264">
        <f t="shared" si="270"/>
        <v>9.1477570858798014</v>
      </c>
      <c r="Y134" s="264">
        <f t="shared" si="270"/>
        <v>9.2514909161219876</v>
      </c>
      <c r="Z134" s="264">
        <f t="shared" si="270"/>
        <v>9.3094669856386769</v>
      </c>
      <c r="AA134" s="264">
        <f t="shared" si="270"/>
        <v>9.3761326413005577</v>
      </c>
      <c r="AB134" s="264">
        <f t="shared" si="270"/>
        <v>9.4891655040111615</v>
      </c>
      <c r="AC134" s="264">
        <f t="shared" si="270"/>
        <v>9.6143446414218783</v>
      </c>
      <c r="AD134" s="264">
        <f t="shared" si="270"/>
        <v>9.7258827967425425</v>
      </c>
      <c r="AE134" s="264">
        <f t="shared" si="270"/>
        <v>10.087086372666475</v>
      </c>
      <c r="AF134" s="264">
        <f t="shared" si="270"/>
        <v>10.198695614261233</v>
      </c>
      <c r="AG134" s="264">
        <f t="shared" si="270"/>
        <v>10.304737378868989</v>
      </c>
      <c r="AH134" s="264">
        <f t="shared" si="270"/>
        <v>10.357640731866367</v>
      </c>
      <c r="AI134" s="264">
        <f t="shared" si="270"/>
        <v>10.427655972763532</v>
      </c>
      <c r="AJ134" s="264">
        <f t="shared" si="270"/>
        <v>10.453569289213085</v>
      </c>
      <c r="AK134" s="264">
        <f t="shared" si="270"/>
        <v>10.441948105124277</v>
      </c>
      <c r="AL134" s="264">
        <f t="shared" si="270"/>
        <v>10.506270757192036</v>
      </c>
      <c r="AM134" s="264">
        <f t="shared" si="270"/>
        <v>10.658282593530579</v>
      </c>
      <c r="AN134" s="264">
        <f t="shared" si="270"/>
        <v>10.722901912315555</v>
      </c>
      <c r="AO134" s="264">
        <f t="shared" si="270"/>
        <v>10.786351624937444</v>
      </c>
      <c r="AP134" s="264">
        <f t="shared" si="270"/>
        <v>10.817805879498341</v>
      </c>
      <c r="AQ134" s="264">
        <f t="shared" si="270"/>
        <v>10.86596540847121</v>
      </c>
      <c r="AR134" s="264">
        <f t="shared" si="270"/>
        <v>10.838793391061706</v>
      </c>
      <c r="AS134" s="264">
        <f t="shared" si="270"/>
        <v>10.868085675073171</v>
      </c>
      <c r="AT134" s="264">
        <f t="shared" si="270"/>
        <v>10.937640276914211</v>
      </c>
      <c r="AU134" s="264">
        <f t="shared" si="270"/>
        <v>11.027299024885883</v>
      </c>
      <c r="AV134" s="264">
        <f t="shared" si="270"/>
        <v>11.114692490256441</v>
      </c>
      <c r="AW134" s="264">
        <f t="shared" si="270"/>
        <v>11.212257927541287</v>
      </c>
      <c r="AX134" s="264">
        <f t="shared" si="270"/>
        <v>11.293368314098968</v>
      </c>
      <c r="AY134" s="264">
        <f t="shared" si="270"/>
        <v>11.35816487466068</v>
      </c>
      <c r="AZ134" s="264">
        <f t="shared" si="270"/>
        <v>11.46581792814789</v>
      </c>
      <c r="BA134" s="264">
        <f t="shared" si="270"/>
        <v>11.521194135666732</v>
      </c>
      <c r="BB134" s="264">
        <f t="shared" si="270"/>
        <v>11.628119265707223</v>
      </c>
      <c r="BC134" s="264">
        <f t="shared" si="270"/>
        <v>11.692763949840026</v>
      </c>
      <c r="BD134" s="264">
        <f t="shared" si="270"/>
        <v>11.757768015837698</v>
      </c>
      <c r="BE134" s="264">
        <f t="shared" si="270"/>
        <v>11.823133461626696</v>
      </c>
      <c r="BF134" s="264">
        <f t="shared" si="270"/>
        <v>11.888862296240635</v>
      </c>
      <c r="BG134" s="264">
        <f t="shared" si="270"/>
        <v>11.954956539882032</v>
      </c>
      <c r="BH134" s="264">
        <f t="shared" si="270"/>
        <v>12.019124477688386</v>
      </c>
      <c r="BI134" s="264">
        <f t="shared" si="270"/>
        <v>12.083636835336717</v>
      </c>
      <c r="BJ134" s="264">
        <f t="shared" si="270"/>
        <v>12.148495461492134</v>
      </c>
      <c r="BK134" s="264">
        <f t="shared" si="270"/>
        <v>12.213702214742405</v>
      </c>
      <c r="BL134" s="264">
        <f t="shared" si="270"/>
        <v>12.279258963651227</v>
      </c>
      <c r="BM134" s="264">
        <f t="shared" si="270"/>
        <v>12.337170130194249</v>
      </c>
      <c r="BN134" s="264">
        <f t="shared" si="270"/>
        <v>12.395354416085945</v>
      </c>
      <c r="BO134" s="264">
        <f t="shared" si="270"/>
        <v>12.453813109405683</v>
      </c>
      <c r="BP134" s="264">
        <f t="shared" si="270"/>
        <v>12.512547504307637</v>
      </c>
      <c r="BQ134" s="264">
        <f t="shared" si="270"/>
        <v>12.571558901049444</v>
      </c>
      <c r="BR134" s="264">
        <f t="shared" si="270"/>
        <v>12.622088884688262</v>
      </c>
      <c r="BS134" s="264">
        <f t="shared" si="270"/>
        <v>12.672821967979766</v>
      </c>
      <c r="BT134" s="264">
        <f t="shared" si="268"/>
        <v>12.723758967260437</v>
      </c>
      <c r="BU134" s="264">
        <f t="shared" si="269"/>
        <v>12.774900702147928</v>
      </c>
      <c r="BV134" s="264">
        <f t="shared" si="269"/>
        <v>12.826247995554251</v>
      </c>
      <c r="BW134" s="264">
        <f t="shared" si="269"/>
        <v>12.868834910334423</v>
      </c>
      <c r="BX134" s="264">
        <f t="shared" si="269"/>
        <v>12.911563226193937</v>
      </c>
      <c r="BY134" s="264">
        <f t="shared" si="269"/>
        <v>12.954433412625956</v>
      </c>
      <c r="BZ134" s="264">
        <f t="shared" si="269"/>
        <v>12.997445940682496</v>
      </c>
      <c r="CA134" s="264">
        <f t="shared" si="269"/>
        <v>13.040601282979605</v>
      </c>
      <c r="CB134" s="264">
        <f t="shared" si="269"/>
        <v>13.06842899033459</v>
      </c>
      <c r="CC134" s="264">
        <f t="shared" si="269"/>
        <v>13.096316080020177</v>
      </c>
      <c r="CD134" s="264">
        <f t="shared" si="269"/>
        <v>13.124262678753999</v>
      </c>
      <c r="CE134" s="264">
        <f t="shared" si="269"/>
        <v>13.152268913524093</v>
      </c>
      <c r="CF134" s="264">
        <f t="shared" si="269"/>
        <v>13.180334911589481</v>
      </c>
      <c r="CG134" s="264">
        <f t="shared" si="269"/>
        <v>13.189447763127433</v>
      </c>
      <c r="CH134" s="264">
        <f t="shared" si="269"/>
        <v>13.198566915268799</v>
      </c>
      <c r="CI134" s="264">
        <f t="shared" si="269"/>
        <v>13.207692372369801</v>
      </c>
      <c r="CJ134" s="264">
        <f t="shared" si="269"/>
        <v>13.216824138789674</v>
      </c>
      <c r="CK134" s="264">
        <f t="shared" si="269"/>
        <v>13.225962218890665</v>
      </c>
      <c r="CL134" s="264">
        <f t="shared" si="269"/>
        <v>13.22905962240266</v>
      </c>
      <c r="CM134" s="264">
        <f t="shared" si="269"/>
        <v>13.232157751299196</v>
      </c>
      <c r="CN134" s="264">
        <f t="shared" si="269"/>
        <v>13.23525660575015</v>
      </c>
      <c r="CO134" s="264">
        <f t="shared" si="269"/>
        <v>13.23835618592544</v>
      </c>
      <c r="CP134" s="264">
        <f t="shared" si="269"/>
        <v>13.241456491995026</v>
      </c>
      <c r="CQ134" s="264">
        <f t="shared" si="269"/>
        <v>13.246155303510076</v>
      </c>
      <c r="CR134" s="264">
        <f t="shared" si="269"/>
        <v>13.250855782427021</v>
      </c>
      <c r="CS134" s="264">
        <f t="shared" si="269"/>
        <v>13.255557929337549</v>
      </c>
      <c r="CT134" s="264">
        <f t="shared" si="269"/>
        <v>13.260261744833558</v>
      </c>
      <c r="CU134" s="264">
        <f t="shared" si="269"/>
        <v>13.264967229507157</v>
      </c>
      <c r="CV134" s="264">
        <f t="shared" si="269"/>
        <v>13.272208990341527</v>
      </c>
      <c r="CW134" s="264">
        <f t="shared" si="269"/>
        <v>13.279454704679821</v>
      </c>
      <c r="CX134" s="264">
        <f t="shared" si="269"/>
        <v>13.286704374680379</v>
      </c>
      <c r="CY134" s="264">
        <f t="shared" si="269"/>
        <v>13.293958002502723</v>
      </c>
      <c r="CZ134" s="453">
        <f t="shared" si="269"/>
        <v>13.30121559030755</v>
      </c>
    </row>
    <row r="135" spans="1:104" ht="13" x14ac:dyDescent="0.3">
      <c r="A135" s="1502" t="s">
        <v>283</v>
      </c>
      <c r="B135" s="264">
        <v>2016</v>
      </c>
      <c r="C135" s="877">
        <f t="shared" si="267"/>
        <v>1</v>
      </c>
      <c r="D135" s="1260" t="s">
        <v>864</v>
      </c>
      <c r="E135" s="877" t="s">
        <v>1058</v>
      </c>
      <c r="F135" s="264">
        <v>47.141269049911173</v>
      </c>
      <c r="G135" s="264">
        <v>52.224661236371581</v>
      </c>
      <c r="H135" s="1071">
        <f t="shared" si="270"/>
        <v>8.2641705904266125</v>
      </c>
      <c r="I135" s="1071">
        <f t="shared" si="270"/>
        <v>10.495609596381577</v>
      </c>
      <c r="J135" s="1071">
        <f t="shared" si="270"/>
        <v>9.3614571685358463</v>
      </c>
      <c r="K135" s="1071">
        <f t="shared" si="270"/>
        <v>8.8987432965993278</v>
      </c>
      <c r="L135" s="1071">
        <f t="shared" si="270"/>
        <v>10.965509816201024</v>
      </c>
      <c r="M135" s="1071">
        <f t="shared" si="270"/>
        <v>6.0111731674040234</v>
      </c>
      <c r="N135" s="1071">
        <f t="shared" si="270"/>
        <v>6.1171751211856922</v>
      </c>
      <c r="O135" s="264">
        <f t="shared" si="270"/>
        <v>5.6004077154944953</v>
      </c>
      <c r="P135" s="264">
        <f t="shared" si="270"/>
        <v>4.1590520124961925</v>
      </c>
      <c r="Q135" s="264">
        <f t="shared" si="270"/>
        <v>4.894763142071362</v>
      </c>
      <c r="R135" s="264">
        <f t="shared" si="270"/>
        <v>5.8241384234641265</v>
      </c>
      <c r="S135" s="264">
        <f t="shared" si="270"/>
        <v>3.5390282601113117</v>
      </c>
      <c r="T135" s="264">
        <f t="shared" si="270"/>
        <v>3.3168400539876552</v>
      </c>
      <c r="U135" s="264">
        <f t="shared" si="270"/>
        <v>3.8686572087168831</v>
      </c>
      <c r="V135" s="264">
        <f t="shared" si="270"/>
        <v>4.230424735748624</v>
      </c>
      <c r="W135" s="264">
        <f t="shared" si="270"/>
        <v>4.6374903322667231</v>
      </c>
      <c r="X135" s="264">
        <f t="shared" si="270"/>
        <v>5.0398775041324821</v>
      </c>
      <c r="Y135" s="264">
        <f t="shared" si="270"/>
        <v>5.0452222441273262</v>
      </c>
      <c r="Z135" s="264">
        <f t="shared" si="270"/>
        <v>4.9894479534735598</v>
      </c>
      <c r="AA135" s="264">
        <f t="shared" si="270"/>
        <v>5.0008757828968315</v>
      </c>
      <c r="AB135" s="264">
        <f t="shared" si="270"/>
        <v>5.0866427943161305</v>
      </c>
      <c r="AC135" s="264">
        <f t="shared" si="270"/>
        <v>5.1985543895300337</v>
      </c>
      <c r="AD135" s="264">
        <f t="shared" si="270"/>
        <v>5.3142743134013735</v>
      </c>
      <c r="AE135" s="264">
        <f t="shared" si="270"/>
        <v>5.4069765017212355</v>
      </c>
      <c r="AF135" s="264">
        <f t="shared" si="270"/>
        <v>5.498883471588238</v>
      </c>
      <c r="AG135" s="264">
        <f t="shared" si="270"/>
        <v>5.5761078084954727</v>
      </c>
      <c r="AH135" s="264">
        <f t="shared" si="270"/>
        <v>5.5953977798334869</v>
      </c>
      <c r="AI135" s="264">
        <f t="shared" si="270"/>
        <v>5.6194116710392619</v>
      </c>
      <c r="AJ135" s="264">
        <f t="shared" si="270"/>
        <v>5.6053299540498323</v>
      </c>
      <c r="AK135" s="264">
        <f t="shared" si="270"/>
        <v>5.5496627667157004</v>
      </c>
      <c r="AL135" s="264">
        <f t="shared" si="270"/>
        <v>5.5482476759527453</v>
      </c>
      <c r="AM135" s="264">
        <f t="shared" si="270"/>
        <v>5.6344516310034729</v>
      </c>
      <c r="AN135" s="264">
        <f t="shared" si="270"/>
        <v>5.6381945602887429</v>
      </c>
      <c r="AO135" s="264">
        <f t="shared" si="270"/>
        <v>5.6485162872871211</v>
      </c>
      <c r="AP135" s="264">
        <f t="shared" si="270"/>
        <v>5.6430123140383071</v>
      </c>
      <c r="AQ135" s="264">
        <f t="shared" si="270"/>
        <v>5.6644386648670784</v>
      </c>
      <c r="AR135" s="264">
        <f t="shared" si="270"/>
        <v>5.6215300420072483</v>
      </c>
      <c r="AS135" s="264">
        <f t="shared" si="270"/>
        <v>5.6260767200982693</v>
      </c>
      <c r="AT135" s="264">
        <f t="shared" si="270"/>
        <v>5.6802473044084865</v>
      </c>
      <c r="AU135" s="264">
        <f t="shared" si="270"/>
        <v>5.7631623345111542</v>
      </c>
      <c r="AV135" s="264">
        <f t="shared" si="270"/>
        <v>5.819991545472468</v>
      </c>
      <c r="AW135" s="264">
        <f t="shared" si="270"/>
        <v>5.8947240715184783</v>
      </c>
      <c r="AX135" s="264">
        <f t="shared" si="270"/>
        <v>5.9518546882819487</v>
      </c>
      <c r="AY135" s="264">
        <f t="shared" si="270"/>
        <v>6.0145186606208574</v>
      </c>
      <c r="AZ135" s="264">
        <f t="shared" si="270"/>
        <v>6.1247620979360331</v>
      </c>
      <c r="BA135" s="264">
        <f t="shared" si="270"/>
        <v>6.1606322318436177</v>
      </c>
      <c r="BB135" s="264">
        <f t="shared" si="270"/>
        <v>6.238633778680942</v>
      </c>
      <c r="BC135" s="264">
        <f t="shared" si="270"/>
        <v>6.2733164733478626</v>
      </c>
      <c r="BD135" s="264">
        <f t="shared" si="270"/>
        <v>6.3081919809530058</v>
      </c>
      <c r="BE135" s="264">
        <f t="shared" si="270"/>
        <v>6.3432613734093088</v>
      </c>
      <c r="BF135" s="264">
        <f t="shared" si="270"/>
        <v>6.3785257285888406</v>
      </c>
      <c r="BG135" s="264">
        <f t="shared" si="270"/>
        <v>6.4139861303559274</v>
      </c>
      <c r="BH135" s="264">
        <f t="shared" si="270"/>
        <v>6.4484130445592944</v>
      </c>
      <c r="BI135" s="264">
        <f t="shared" si="270"/>
        <v>6.4830247443854354</v>
      </c>
      <c r="BJ135" s="264">
        <f t="shared" si="270"/>
        <v>6.5178222216666768</v>
      </c>
      <c r="BK135" s="264">
        <f t="shared" si="270"/>
        <v>6.5528064735589808</v>
      </c>
      <c r="BL135" s="264">
        <f t="shared" si="270"/>
        <v>6.5879785025705191</v>
      </c>
      <c r="BM135" s="264">
        <f t="shared" si="270"/>
        <v>6.6190485794679574</v>
      </c>
      <c r="BN135" s="264">
        <f t="shared" si="270"/>
        <v>6.6502651883672899</v>
      </c>
      <c r="BO135" s="264">
        <f t="shared" si="270"/>
        <v>6.6816290203394662</v>
      </c>
      <c r="BP135" s="264">
        <f t="shared" si="270"/>
        <v>6.7131407697146503</v>
      </c>
      <c r="BQ135" s="264">
        <f t="shared" si="270"/>
        <v>6.7448011340975915</v>
      </c>
      <c r="BR135" s="264">
        <f t="shared" si="270"/>
        <v>6.7719111125525773</v>
      </c>
      <c r="BS135" s="264">
        <f t="shared" si="270"/>
        <v>6.7991300565526132</v>
      </c>
      <c r="BT135" s="264">
        <f t="shared" si="268"/>
        <v>6.8264584040725946</v>
      </c>
      <c r="BU135" s="264">
        <f t="shared" si="269"/>
        <v>6.8538965948478108</v>
      </c>
      <c r="BV135" s="264">
        <f t="shared" si="269"/>
        <v>6.8814450703810159</v>
      </c>
      <c r="BW135" s="264">
        <f t="shared" si="269"/>
        <v>6.904293491437457</v>
      </c>
      <c r="BX135" s="264">
        <f t="shared" si="269"/>
        <v>6.9272177759701634</v>
      </c>
      <c r="BY135" s="264">
        <f t="shared" si="269"/>
        <v>6.9502181758681845</v>
      </c>
      <c r="BZ135" s="264">
        <f t="shared" si="269"/>
        <v>6.9732949438569127</v>
      </c>
      <c r="CA135" s="264">
        <f t="shared" si="269"/>
        <v>6.996448333500866</v>
      </c>
      <c r="CB135" s="264">
        <f t="shared" si="269"/>
        <v>7.0113782521851409</v>
      </c>
      <c r="CC135" s="264">
        <f t="shared" si="269"/>
        <v>7.0263400302445289</v>
      </c>
      <c r="CD135" s="264">
        <f t="shared" si="269"/>
        <v>7.0413337356646508</v>
      </c>
      <c r="CE135" s="264">
        <f t="shared" si="269"/>
        <v>7.0563594365762032</v>
      </c>
      <c r="CF135" s="264">
        <f t="shared" si="269"/>
        <v>7.0714172012552687</v>
      </c>
      <c r="CG135" s="264">
        <f t="shared" si="269"/>
        <v>7.0763063619291211</v>
      </c>
      <c r="CH135" s="264">
        <f t="shared" si="269"/>
        <v>7.0811989029567863</v>
      </c>
      <c r="CI135" s="264">
        <f t="shared" si="269"/>
        <v>7.0860948266754322</v>
      </c>
      <c r="CJ135" s="264">
        <f t="shared" si="269"/>
        <v>7.090994135423843</v>
      </c>
      <c r="CK135" s="264">
        <f t="shared" si="269"/>
        <v>7.0958968315424205</v>
      </c>
      <c r="CL135" s="264">
        <f t="shared" si="269"/>
        <v>7.0975586278944007</v>
      </c>
      <c r="CM135" s="264">
        <f t="shared" si="269"/>
        <v>7.0992208134244059</v>
      </c>
      <c r="CN135" s="264">
        <f t="shared" si="269"/>
        <v>7.1008833882235782</v>
      </c>
      <c r="CO135" s="264">
        <f t="shared" si="269"/>
        <v>7.1025463523830812</v>
      </c>
      <c r="CP135" s="264">
        <f t="shared" si="269"/>
        <v>7.1042097059940996</v>
      </c>
      <c r="CQ135" s="264">
        <f t="shared" si="269"/>
        <v>7.1067306780935082</v>
      </c>
      <c r="CR135" s="264">
        <f t="shared" si="269"/>
        <v>7.1092525447752264</v>
      </c>
      <c r="CS135" s="264">
        <f t="shared" si="269"/>
        <v>7.1117753063567024</v>
      </c>
      <c r="CT135" s="264">
        <f t="shared" si="269"/>
        <v>7.1142989631554965</v>
      </c>
      <c r="CU135" s="264">
        <f t="shared" si="269"/>
        <v>7.1168235154892816</v>
      </c>
      <c r="CV135" s="264">
        <f t="shared" si="269"/>
        <v>7.1207088122192239</v>
      </c>
      <c r="CW135" s="264">
        <f t="shared" si="269"/>
        <v>7.1245962300542702</v>
      </c>
      <c r="CX135" s="264">
        <f t="shared" si="269"/>
        <v>7.1284857701523974</v>
      </c>
      <c r="CY135" s="264">
        <f t="shared" si="269"/>
        <v>7.1323774336722154</v>
      </c>
      <c r="CZ135" s="453">
        <f t="shared" si="269"/>
        <v>7.1362712217729669</v>
      </c>
    </row>
    <row r="136" spans="1:104" ht="13" x14ac:dyDescent="0.3">
      <c r="A136" s="1502" t="s">
        <v>1086</v>
      </c>
      <c r="B136" s="264">
        <v>2016</v>
      </c>
      <c r="C136" s="877">
        <f t="shared" si="267"/>
        <v>1</v>
      </c>
      <c r="D136" s="1260" t="s">
        <v>864</v>
      </c>
      <c r="E136" s="877" t="s">
        <v>1058</v>
      </c>
      <c r="F136" s="264">
        <v>47.141269049911173</v>
      </c>
      <c r="G136" s="264">
        <v>52.224661236371581</v>
      </c>
      <c r="H136" s="1071">
        <f t="shared" si="270"/>
        <v>8.4160389626855991</v>
      </c>
      <c r="I136" s="1071">
        <f t="shared" si="270"/>
        <v>10.630483084185546</v>
      </c>
      <c r="J136" s="1071">
        <f t="shared" si="270"/>
        <v>10.241695834954719</v>
      </c>
      <c r="K136" s="1071">
        <f t="shared" si="270"/>
        <v>9.4549147526367854</v>
      </c>
      <c r="L136" s="1071">
        <f t="shared" si="270"/>
        <v>10.431438353650302</v>
      </c>
      <c r="M136" s="1071">
        <f t="shared" si="270"/>
        <v>7.3081429877632402</v>
      </c>
      <c r="N136" s="1071">
        <f t="shared" si="270"/>
        <v>6.8860004096407268</v>
      </c>
      <c r="O136" s="264">
        <f t="shared" si="270"/>
        <v>6.1462564207083838</v>
      </c>
      <c r="P136" s="264">
        <f t="shared" si="270"/>
        <v>5.0701845410069568</v>
      </c>
      <c r="Q136" s="264">
        <f t="shared" si="270"/>
        <v>5.147940545971605</v>
      </c>
      <c r="R136" s="264">
        <f t="shared" si="270"/>
        <v>5.9174075441245835</v>
      </c>
      <c r="S136" s="264">
        <f t="shared" si="270"/>
        <v>4.3672641892083037</v>
      </c>
      <c r="T136" s="264">
        <f t="shared" si="270"/>
        <v>3.755553639162041</v>
      </c>
      <c r="U136" s="264">
        <f t="shared" si="270"/>
        <v>3.3468214009493336</v>
      </c>
      <c r="V136" s="264">
        <f t="shared" si="270"/>
        <v>3.6078009129373227</v>
      </c>
      <c r="W136" s="264">
        <f t="shared" si="270"/>
        <v>3.9595869792693468</v>
      </c>
      <c r="X136" s="264">
        <f t="shared" si="270"/>
        <v>4.2992239274502966</v>
      </c>
      <c r="Y136" s="264">
        <f t="shared" si="270"/>
        <v>4.3362295461094007</v>
      </c>
      <c r="Z136" s="264">
        <f t="shared" si="270"/>
        <v>4.2972619462853157</v>
      </c>
      <c r="AA136" s="264">
        <f t="shared" si="270"/>
        <v>4.3209431537283329</v>
      </c>
      <c r="AB136" s="264">
        <f t="shared" si="270"/>
        <v>4.4388231525151278</v>
      </c>
      <c r="AC136" s="264">
        <f t="shared" si="270"/>
        <v>4.5598555906037213</v>
      </c>
      <c r="AD136" s="264">
        <f t="shared" si="270"/>
        <v>4.6705511366221319</v>
      </c>
      <c r="AE136" s="264">
        <f t="shared" si="270"/>
        <v>4.7905826799714895</v>
      </c>
      <c r="AF136" s="264">
        <f t="shared" si="270"/>
        <v>4.8909868291351355</v>
      </c>
      <c r="AG136" s="264">
        <f t="shared" si="270"/>
        <v>4.9795195705251665</v>
      </c>
      <c r="AH136" s="264">
        <f t="shared" si="270"/>
        <v>5.0140428564929254</v>
      </c>
      <c r="AI136" s="264">
        <f t="shared" si="270"/>
        <v>5.034241784322349</v>
      </c>
      <c r="AJ136" s="264">
        <f t="shared" si="270"/>
        <v>5.0303794300966009</v>
      </c>
      <c r="AK136" s="264">
        <f t="shared" si="270"/>
        <v>4.9817061843162831</v>
      </c>
      <c r="AL136" s="264">
        <f t="shared" si="270"/>
        <v>5.005816752854825</v>
      </c>
      <c r="AM136" s="264">
        <f t="shared" si="270"/>
        <v>5.1117353012541518</v>
      </c>
      <c r="AN136" s="264">
        <f t="shared" si="270"/>
        <v>5.1218001698488047</v>
      </c>
      <c r="AO136" s="264">
        <f t="shared" si="270"/>
        <v>5.1563490468752367</v>
      </c>
      <c r="AP136" s="264">
        <f t="shared" si="270"/>
        <v>5.1654177598155924</v>
      </c>
      <c r="AQ136" s="264">
        <f t="shared" si="270"/>
        <v>5.1952502995101684</v>
      </c>
      <c r="AR136" s="264">
        <f t="shared" si="270"/>
        <v>5.1548078964528896</v>
      </c>
      <c r="AS136" s="264">
        <f t="shared" si="270"/>
        <v>5.1691436283950809</v>
      </c>
      <c r="AT136" s="264">
        <f t="shared" si="270"/>
        <v>5.2239208155775625</v>
      </c>
      <c r="AU136" s="264">
        <f t="shared" si="270"/>
        <v>5.3036701369405987</v>
      </c>
      <c r="AV136" s="264">
        <f t="shared" si="270"/>
        <v>5.3698761013633396</v>
      </c>
      <c r="AW136" s="264">
        <f t="shared" si="270"/>
        <v>5.4477553798092231</v>
      </c>
      <c r="AX136" s="264">
        <f t="shared" si="270"/>
        <v>5.5105548899774046</v>
      </c>
      <c r="AY136" s="264">
        <f t="shared" si="270"/>
        <v>5.5735610242489493</v>
      </c>
      <c r="AZ136" s="264">
        <f t="shared" si="270"/>
        <v>5.6745566112130543</v>
      </c>
      <c r="BA136" s="264">
        <f t="shared" si="270"/>
        <v>5.7069198222653581</v>
      </c>
      <c r="BB136" s="264">
        <f t="shared" si="270"/>
        <v>5.8107835034348891</v>
      </c>
      <c r="BC136" s="264">
        <f t="shared" si="270"/>
        <v>5.8430876323795795</v>
      </c>
      <c r="BD136" s="264">
        <f t="shared" si="270"/>
        <v>5.8755713510037442</v>
      </c>
      <c r="BE136" s="264">
        <f t="shared" si="270"/>
        <v>5.9082356577077126</v>
      </c>
      <c r="BF136" s="264">
        <f t="shared" si="270"/>
        <v>5.9410815564422617</v>
      </c>
      <c r="BG136" s="264">
        <f t="shared" si="270"/>
        <v>5.974110056739474</v>
      </c>
      <c r="BH136" s="264">
        <f t="shared" si="270"/>
        <v>6.006175946840397</v>
      </c>
      <c r="BI136" s="264">
        <f t="shared" si="270"/>
        <v>6.0384139498247791</v>
      </c>
      <c r="BJ136" s="264">
        <f t="shared" si="270"/>
        <v>6.0708249895043265</v>
      </c>
      <c r="BK136" s="264">
        <f t="shared" si="270"/>
        <v>6.1034099946492821</v>
      </c>
      <c r="BL136" s="264">
        <f t="shared" si="270"/>
        <v>6.1361698990150408</v>
      </c>
      <c r="BM136" s="264">
        <f t="shared" si="270"/>
        <v>6.1651091662794615</v>
      </c>
      <c r="BN136" s="264">
        <f t="shared" si="270"/>
        <v>6.1941849162690321</v>
      </c>
      <c r="BO136" s="264">
        <f t="shared" si="270"/>
        <v>6.2233977926605295</v>
      </c>
      <c r="BP136" s="264">
        <f t="shared" si="270"/>
        <v>6.2527484421664239</v>
      </c>
      <c r="BQ136" s="264">
        <f t="shared" si="270"/>
        <v>6.2822375145491964</v>
      </c>
      <c r="BR136" s="264">
        <f t="shared" si="270"/>
        <v>6.3074882699506478</v>
      </c>
      <c r="BS136" s="264">
        <f t="shared" si="270"/>
        <v>6.3328405179567433</v>
      </c>
      <c r="BT136" s="264">
        <f t="shared" si="268"/>
        <v>6.3582946665057261</v>
      </c>
      <c r="BU136" s="264">
        <f t="shared" si="269"/>
        <v>6.3838511251755019</v>
      </c>
      <c r="BV136" s="264">
        <f t="shared" si="269"/>
        <v>6.4095103051902287</v>
      </c>
      <c r="BW136" s="264">
        <f t="shared" si="269"/>
        <v>6.4307917640583545</v>
      </c>
      <c r="BX136" s="264">
        <f t="shared" si="269"/>
        <v>6.4521438836275307</v>
      </c>
      <c r="BY136" s="264">
        <f t="shared" si="269"/>
        <v>6.473566898512062</v>
      </c>
      <c r="BZ136" s="264">
        <f t="shared" si="269"/>
        <v>6.4950610441052419</v>
      </c>
      <c r="CA136" s="264">
        <f t="shared" si="269"/>
        <v>6.5166265565819383</v>
      </c>
      <c r="CB136" s="264">
        <f t="shared" si="269"/>
        <v>6.5305325700258869</v>
      </c>
      <c r="CC136" s="264">
        <f t="shared" si="269"/>
        <v>6.5444682579046409</v>
      </c>
      <c r="CD136" s="264">
        <f t="shared" si="269"/>
        <v>6.5584336835413142</v>
      </c>
      <c r="CE136" s="264">
        <f t="shared" si="269"/>
        <v>6.5724289103941489</v>
      </c>
      <c r="CF136" s="264">
        <f t="shared" si="269"/>
        <v>6.5864540020568016</v>
      </c>
      <c r="CG136" s="264">
        <f t="shared" si="269"/>
        <v>6.5910078603528843</v>
      </c>
      <c r="CH136" s="264">
        <f t="shared" si="269"/>
        <v>6.5955648671755291</v>
      </c>
      <c r="CI136" s="264">
        <f t="shared" si="269"/>
        <v>6.6001250247016205</v>
      </c>
      <c r="CJ136" s="264">
        <f t="shared" si="269"/>
        <v>6.6046883351095476</v>
      </c>
      <c r="CK136" s="264">
        <f t="shared" si="269"/>
        <v>6.6092548005792047</v>
      </c>
      <c r="CL136" s="264">
        <f t="shared" si="269"/>
        <v>6.6108026296665843</v>
      </c>
      <c r="CM136" s="264">
        <f t="shared" si="269"/>
        <v>6.6123508212418631</v>
      </c>
      <c r="CN136" s="264">
        <f t="shared" si="269"/>
        <v>6.6138993753899316</v>
      </c>
      <c r="CO136" s="264">
        <f t="shared" si="269"/>
        <v>6.6154482921957012</v>
      </c>
      <c r="CP136" s="264">
        <f t="shared" si="269"/>
        <v>6.6169975717441041</v>
      </c>
      <c r="CQ136" s="264">
        <f t="shared" si="269"/>
        <v>6.6193456536491393</v>
      </c>
      <c r="CR136" s="264">
        <f t="shared" si="269"/>
        <v>6.6216945687853457</v>
      </c>
      <c r="CS136" s="264">
        <f t="shared" si="269"/>
        <v>6.6240443174483996</v>
      </c>
      <c r="CT136" s="264">
        <f t="shared" si="269"/>
        <v>6.6263948999340831</v>
      </c>
      <c r="CU136" s="264">
        <f t="shared" si="269"/>
        <v>6.6287463165382841</v>
      </c>
      <c r="CV136" s="264">
        <f t="shared" si="269"/>
        <v>6.6323651566473876</v>
      </c>
      <c r="CW136" s="264">
        <f t="shared" si="269"/>
        <v>6.6359859723945851</v>
      </c>
      <c r="CX136" s="264">
        <f t="shared" si="269"/>
        <v>6.6396087648584388</v>
      </c>
      <c r="CY136" s="264">
        <f t="shared" si="269"/>
        <v>6.6432335351180996</v>
      </c>
      <c r="CZ136" s="453">
        <f t="shared" si="269"/>
        <v>6.6468602842533091</v>
      </c>
    </row>
    <row r="137" spans="1:104" ht="13" x14ac:dyDescent="0.3">
      <c r="A137" s="1502" t="s">
        <v>1081</v>
      </c>
      <c r="B137" s="264">
        <v>2016</v>
      </c>
      <c r="C137" s="877">
        <f t="shared" si="267"/>
        <v>1</v>
      </c>
      <c r="D137" s="1262" t="s">
        <v>268</v>
      </c>
      <c r="E137" s="877" t="s">
        <v>1058</v>
      </c>
      <c r="F137" s="264">
        <v>19.551069237418005</v>
      </c>
      <c r="G137" s="264">
        <v>20.588656379262464</v>
      </c>
      <c r="H137" s="1071">
        <f t="shared" si="270"/>
        <v>5.0967849132778742</v>
      </c>
      <c r="I137" s="1071">
        <f t="shared" si="270"/>
        <v>5.0967849132778742</v>
      </c>
      <c r="J137" s="1071">
        <f t="shared" si="270"/>
        <v>5.0967849132778742</v>
      </c>
      <c r="K137" s="1071">
        <f t="shared" si="270"/>
        <v>5.0967849132778742</v>
      </c>
      <c r="L137" s="1071">
        <f t="shared" si="270"/>
        <v>5.0967849132778742</v>
      </c>
      <c r="M137" s="1071">
        <f t="shared" si="270"/>
        <v>5.0967849132778742</v>
      </c>
      <c r="N137" s="1071">
        <f t="shared" si="270"/>
        <v>5.0967849132778742</v>
      </c>
      <c r="O137" s="264">
        <f t="shared" si="270"/>
        <v>5.0967849132778742</v>
      </c>
      <c r="P137" s="264">
        <f t="shared" si="270"/>
        <v>5.0967849132778742</v>
      </c>
      <c r="Q137" s="264">
        <f t="shared" si="270"/>
        <v>5.0967849132778742</v>
      </c>
      <c r="R137" s="264">
        <f t="shared" si="270"/>
        <v>5.0967849132778742</v>
      </c>
      <c r="S137" s="264">
        <f t="shared" si="270"/>
        <v>5.0967849132778742</v>
      </c>
      <c r="T137" s="264">
        <f t="shared" si="270"/>
        <v>5.0967849132778742</v>
      </c>
      <c r="U137" s="264">
        <f t="shared" si="270"/>
        <v>5.0967849132778742</v>
      </c>
      <c r="V137" s="264">
        <f t="shared" si="270"/>
        <v>5.0967849132778742</v>
      </c>
      <c r="W137" s="264">
        <f t="shared" si="270"/>
        <v>5.0967849132778742</v>
      </c>
      <c r="X137" s="264">
        <f t="shared" si="270"/>
        <v>5.0967849132778742</v>
      </c>
      <c r="Y137" s="264">
        <f t="shared" si="270"/>
        <v>5.0967849132778742</v>
      </c>
      <c r="Z137" s="264">
        <f t="shared" si="270"/>
        <v>5.0967849132778742</v>
      </c>
      <c r="AA137" s="264">
        <f t="shared" si="270"/>
        <v>5.0967849132778742</v>
      </c>
      <c r="AB137" s="264">
        <f t="shared" si="270"/>
        <v>5.0967849132778742</v>
      </c>
      <c r="AC137" s="264">
        <f t="shared" si="270"/>
        <v>5.0967849132778742</v>
      </c>
      <c r="AD137" s="264">
        <f t="shared" si="270"/>
        <v>5.0967849132778742</v>
      </c>
      <c r="AE137" s="264">
        <f t="shared" si="270"/>
        <v>5.0967849132778742</v>
      </c>
      <c r="AF137" s="264">
        <f t="shared" si="270"/>
        <v>5.0967849132778742</v>
      </c>
      <c r="AG137" s="264">
        <f t="shared" si="270"/>
        <v>5.0967849132778742</v>
      </c>
      <c r="AH137" s="264">
        <f t="shared" si="270"/>
        <v>5.0967849132778742</v>
      </c>
      <c r="AI137" s="264">
        <f t="shared" si="270"/>
        <v>5.0967849132778742</v>
      </c>
      <c r="AJ137" s="264">
        <f t="shared" si="270"/>
        <v>5.0967849132778742</v>
      </c>
      <c r="AK137" s="264">
        <f t="shared" si="270"/>
        <v>5.0967849132778742</v>
      </c>
      <c r="AL137" s="264">
        <f t="shared" si="270"/>
        <v>5.0967849132778742</v>
      </c>
      <c r="AM137" s="264">
        <f t="shared" si="270"/>
        <v>5.0967849132778742</v>
      </c>
      <c r="AN137" s="264">
        <f t="shared" si="270"/>
        <v>5.0967849132778742</v>
      </c>
      <c r="AO137" s="264">
        <f t="shared" si="270"/>
        <v>5.0967849132778742</v>
      </c>
      <c r="AP137" s="264">
        <f t="shared" si="270"/>
        <v>5.0967849132778742</v>
      </c>
      <c r="AQ137" s="264">
        <f t="shared" si="270"/>
        <v>5.0967849132778742</v>
      </c>
      <c r="AR137" s="264">
        <f t="shared" si="270"/>
        <v>5.0967849132778742</v>
      </c>
      <c r="AS137" s="264">
        <f t="shared" si="270"/>
        <v>5.0967849132778742</v>
      </c>
      <c r="AT137" s="264">
        <f t="shared" si="270"/>
        <v>5.0967849132778742</v>
      </c>
      <c r="AU137" s="264">
        <f t="shared" si="270"/>
        <v>5.0967849132778742</v>
      </c>
      <c r="AV137" s="264">
        <f t="shared" si="270"/>
        <v>5.0967849132778742</v>
      </c>
      <c r="AW137" s="264">
        <f t="shared" si="270"/>
        <v>5.0967849132778742</v>
      </c>
      <c r="AX137" s="264">
        <f t="shared" si="270"/>
        <v>5.0967849132778742</v>
      </c>
      <c r="AY137" s="264">
        <f t="shared" si="270"/>
        <v>5.0967849132778742</v>
      </c>
      <c r="AZ137" s="264">
        <f t="shared" si="270"/>
        <v>5.0967849132778742</v>
      </c>
      <c r="BA137" s="264">
        <f t="shared" si="270"/>
        <v>5.0967849132778742</v>
      </c>
      <c r="BB137" s="264">
        <f t="shared" si="270"/>
        <v>5.0967849132778742</v>
      </c>
      <c r="BC137" s="264">
        <f t="shared" si="270"/>
        <v>5.1179587571540939</v>
      </c>
      <c r="BD137" s="264">
        <f t="shared" si="270"/>
        <v>5.1392205646528959</v>
      </c>
      <c r="BE137" s="264">
        <f t="shared" si="270"/>
        <v>5.1605707012062227</v>
      </c>
      <c r="BF137" s="264">
        <f t="shared" si="270"/>
        <v>5.1820095337641501</v>
      </c>
      <c r="BG137" s="264">
        <f t="shared" si="270"/>
        <v>5.2035374308011946</v>
      </c>
      <c r="BH137" s="264">
        <f t="shared" si="270"/>
        <v>5.2223240063357927</v>
      </c>
      <c r="BI137" s="264">
        <f t="shared" si="270"/>
        <v>5.2411784079262249</v>
      </c>
      <c r="BJ137" s="264">
        <f t="shared" si="270"/>
        <v>5.2601008804480855</v>
      </c>
      <c r="BK137" s="264">
        <f t="shared" si="270"/>
        <v>5.2790916696610548</v>
      </c>
      <c r="BL137" s="264">
        <f t="shared" si="270"/>
        <v>5.2981510222120916</v>
      </c>
      <c r="BM137" s="264">
        <f t="shared" si="270"/>
        <v>5.3113630812048802</v>
      </c>
      <c r="BN137" s="264">
        <f t="shared" si="270"/>
        <v>5.3246080872582748</v>
      </c>
      <c r="BO137" s="264">
        <f t="shared" si="270"/>
        <v>5.3378861225327325</v>
      </c>
      <c r="BP137" s="264">
        <f t="shared" si="270"/>
        <v>5.3511972693935945</v>
      </c>
      <c r="BQ137" s="264">
        <f t="shared" si="270"/>
        <v>5.3645416104115968</v>
      </c>
      <c r="BR137" s="264">
        <f t="shared" si="270"/>
        <v>5.3779717491778074</v>
      </c>
      <c r="BS137" s="264">
        <f t="shared" ref="BS137" si="271">+BS157*$C137</f>
        <v>5.3914355103185612</v>
      </c>
      <c r="BT137" s="264">
        <f t="shared" si="268"/>
        <v>5.4049329780075288</v>
      </c>
      <c r="BU137" s="264">
        <f t="shared" si="269"/>
        <v>5.4184642366291094</v>
      </c>
      <c r="BV137" s="264">
        <f t="shared" si="269"/>
        <v>5.4320293707789578</v>
      </c>
      <c r="BW137" s="264">
        <f t="shared" si="269"/>
        <v>5.4450858323773135</v>
      </c>
      <c r="BX137" s="264">
        <f t="shared" si="269"/>
        <v>5.458173676572823</v>
      </c>
      <c r="BY137" s="264">
        <f t="shared" si="269"/>
        <v>5.471292978796904</v>
      </c>
      <c r="BZ137" s="264">
        <f t="shared" si="269"/>
        <v>5.4844438146622805</v>
      </c>
      <c r="CA137" s="264">
        <f t="shared" si="269"/>
        <v>5.4976262599634209</v>
      </c>
      <c r="CB137" s="264">
        <f t="shared" si="269"/>
        <v>5.509165721372697</v>
      </c>
      <c r="CC137" s="264">
        <f t="shared" si="269"/>
        <v>5.5207294039936956</v>
      </c>
      <c r="CD137" s="264">
        <f t="shared" si="269"/>
        <v>5.5323173586664938</v>
      </c>
      <c r="CE137" s="264">
        <f t="shared" si="269"/>
        <v>5.5439296363378796</v>
      </c>
      <c r="CF137" s="264">
        <f t="shared" si="269"/>
        <v>5.5555662880615797</v>
      </c>
      <c r="CG137" s="264">
        <f t="shared" si="269"/>
        <v>5.5698816197819898</v>
      </c>
      <c r="CH137" s="264">
        <f t="shared" si="269"/>
        <v>5.5842338386011479</v>
      </c>
      <c r="CI137" s="264">
        <f t="shared" si="269"/>
        <v>5.598623039568059</v>
      </c>
      <c r="CJ137" s="264">
        <f t="shared" si="269"/>
        <v>5.6130493179766479</v>
      </c>
      <c r="CK137" s="264">
        <f t="shared" si="269"/>
        <v>5.6275127693663878</v>
      </c>
      <c r="CL137" s="264">
        <f t="shared" si="269"/>
        <v>5.6395580019552014</v>
      </c>
      <c r="CM137" s="264">
        <f t="shared" si="269"/>
        <v>5.6516290163830023</v>
      </c>
      <c r="CN137" s="264">
        <f t="shared" si="269"/>
        <v>5.6637258678337163</v>
      </c>
      <c r="CO137" s="264">
        <f t="shared" si="269"/>
        <v>5.6758486116093856</v>
      </c>
      <c r="CP137" s="264">
        <f t="shared" si="269"/>
        <v>5.6879973031304223</v>
      </c>
      <c r="CQ137" s="264">
        <f t="shared" si="269"/>
        <v>5.6991168854631553</v>
      </c>
      <c r="CR137" s="264">
        <f t="shared" si="269"/>
        <v>5.7102582056949531</v>
      </c>
      <c r="CS137" s="264">
        <f t="shared" si="269"/>
        <v>5.7214213063216786</v>
      </c>
      <c r="CT137" s="264">
        <f t="shared" si="269"/>
        <v>5.732606229922272</v>
      </c>
      <c r="CU137" s="264">
        <f t="shared" si="269"/>
        <v>5.7438130191589121</v>
      </c>
      <c r="CV137" s="264">
        <f t="shared" si="269"/>
        <v>5.7570440466225028</v>
      </c>
      <c r="CW137" s="264">
        <f t="shared" si="269"/>
        <v>5.7703055521130002</v>
      </c>
      <c r="CX137" s="264">
        <f t="shared" si="269"/>
        <v>5.7835976058373566</v>
      </c>
      <c r="CY137" s="264">
        <f t="shared" si="269"/>
        <v>5.796920278164249</v>
      </c>
      <c r="CZ137" s="453">
        <f t="shared" si="269"/>
        <v>5.8102736396244499</v>
      </c>
    </row>
    <row r="138" spans="1:104" ht="13" x14ac:dyDescent="0.3">
      <c r="A138" s="1503" t="s">
        <v>1087</v>
      </c>
      <c r="B138" s="264">
        <v>2016</v>
      </c>
      <c r="C138" s="877">
        <f t="shared" si="267"/>
        <v>1</v>
      </c>
      <c r="D138" s="1262" t="s">
        <v>268</v>
      </c>
      <c r="E138" s="1504" t="s">
        <v>1052</v>
      </c>
      <c r="F138" s="264">
        <v>22.7322030001394</v>
      </c>
      <c r="G138" s="264">
        <v>23.967615189707661</v>
      </c>
      <c r="H138" s="1071" t="e">
        <f t="shared" ref="H138:BS141" si="272">+H158*$C138</f>
        <v>#N/A</v>
      </c>
      <c r="I138" s="1071" t="e">
        <f t="shared" si="272"/>
        <v>#N/A</v>
      </c>
      <c r="J138" s="1071" t="e">
        <f t="shared" si="272"/>
        <v>#N/A</v>
      </c>
      <c r="K138" s="1071" t="e">
        <f t="shared" si="272"/>
        <v>#N/A</v>
      </c>
      <c r="L138" s="1071">
        <f t="shared" si="272"/>
        <v>2.2148742453355847</v>
      </c>
      <c r="M138" s="1071">
        <f t="shared" si="272"/>
        <v>2.3408877437334223</v>
      </c>
      <c r="N138" s="1071">
        <f t="shared" si="272"/>
        <v>2.3629142410275352</v>
      </c>
      <c r="O138" s="264">
        <f t="shared" si="272"/>
        <v>2.4181318326423913</v>
      </c>
      <c r="P138" s="264">
        <f t="shared" si="272"/>
        <v>2.3501923436687169</v>
      </c>
      <c r="Q138" s="264">
        <f t="shared" si="272"/>
        <v>2.2749877363600257</v>
      </c>
      <c r="R138" s="264">
        <f t="shared" si="272"/>
        <v>2.2671813119268305</v>
      </c>
      <c r="S138" s="264">
        <f t="shared" si="272"/>
        <v>2.0920368648072634</v>
      </c>
      <c r="T138" s="264">
        <f t="shared" si="272"/>
        <v>1.9706687398025258</v>
      </c>
      <c r="U138" s="264">
        <f t="shared" si="272"/>
        <v>2.067600203211962</v>
      </c>
      <c r="V138" s="264">
        <f t="shared" si="272"/>
        <v>2.1142782942327232</v>
      </c>
      <c r="W138" s="264">
        <f t="shared" si="272"/>
        <v>2.1573963846468813</v>
      </c>
      <c r="X138" s="264">
        <f t="shared" si="272"/>
        <v>2.1900363582596567</v>
      </c>
      <c r="Y138" s="264">
        <f t="shared" si="272"/>
        <v>2.1929897559939948</v>
      </c>
      <c r="Z138" s="264">
        <f t="shared" si="272"/>
        <v>2.2028650611910647</v>
      </c>
      <c r="AA138" s="264">
        <f t="shared" si="272"/>
        <v>2.2090827406317772</v>
      </c>
      <c r="AB138" s="264">
        <f t="shared" si="272"/>
        <v>2.2092997907220093</v>
      </c>
      <c r="AC138" s="264">
        <f t="shared" si="272"/>
        <v>2.2079918032786887</v>
      </c>
      <c r="AD138" s="264">
        <f t="shared" si="272"/>
        <v>2.2065492258230841</v>
      </c>
      <c r="AE138" s="264">
        <f t="shared" si="272"/>
        <v>2.1995552842692714</v>
      </c>
      <c r="AF138" s="264">
        <f t="shared" si="272"/>
        <v>2.1903510334996437</v>
      </c>
      <c r="AG138" s="264">
        <f t="shared" si="272"/>
        <v>2.1795345460335755</v>
      </c>
      <c r="AH138" s="264">
        <f t="shared" si="272"/>
        <v>2.1771697426487315</v>
      </c>
      <c r="AI138" s="264">
        <f t="shared" si="272"/>
        <v>2.177831318906295</v>
      </c>
      <c r="AJ138" s="264">
        <f t="shared" si="272"/>
        <v>2.1809505846135182</v>
      </c>
      <c r="AK138" s="264">
        <f t="shared" si="272"/>
        <v>2.1861806387528246</v>
      </c>
      <c r="AL138" s="264">
        <f t="shared" si="272"/>
        <v>2.1973402359685172</v>
      </c>
      <c r="AM138" s="264">
        <f t="shared" si="272"/>
        <v>2.2020565733003745</v>
      </c>
      <c r="AN138" s="264">
        <f t="shared" si="272"/>
        <v>2.2177912831167257</v>
      </c>
      <c r="AO138" s="264">
        <f t="shared" si="272"/>
        <v>2.2206593773221517</v>
      </c>
      <c r="AP138" s="264">
        <f t="shared" si="272"/>
        <v>2.2289385587115755</v>
      </c>
      <c r="AQ138" s="264">
        <f t="shared" si="272"/>
        <v>2.2351116907538557</v>
      </c>
      <c r="AR138" s="264">
        <f t="shared" si="272"/>
        <v>2.2481536525075447</v>
      </c>
      <c r="AS138" s="264">
        <f t="shared" si="272"/>
        <v>2.2492673374683427</v>
      </c>
      <c r="AT138" s="264">
        <f t="shared" si="272"/>
        <v>2.2496910116619402</v>
      </c>
      <c r="AU138" s="264">
        <f t="shared" si="272"/>
        <v>2.2544263053335558</v>
      </c>
      <c r="AV138" s="264">
        <f t="shared" si="272"/>
        <v>2.2540196918457411</v>
      </c>
      <c r="AW138" s="264">
        <f t="shared" si="272"/>
        <v>2.2546357728878843</v>
      </c>
      <c r="AX138" s="264">
        <f t="shared" si="272"/>
        <v>2.2490256441364247</v>
      </c>
      <c r="AY138" s="264">
        <f t="shared" si="272"/>
        <v>2.2531477002168603</v>
      </c>
      <c r="AZ138" s="264">
        <f t="shared" si="272"/>
        <v>2.2540841434009193</v>
      </c>
      <c r="BA138" s="264">
        <f t="shared" si="272"/>
        <v>2.2596705767276806</v>
      </c>
      <c r="BB138" s="264">
        <f t="shared" si="272"/>
        <v>2.2620458060993922</v>
      </c>
      <c r="BC138" s="264">
        <f t="shared" si="272"/>
        <v>2.2703711301923084</v>
      </c>
      <c r="BD138" s="264">
        <f t="shared" si="272"/>
        <v>2.2787270951418623</v>
      </c>
      <c r="BE138" s="264">
        <f t="shared" si="272"/>
        <v>2.2871138137198912</v>
      </c>
      <c r="BF138" s="264">
        <f t="shared" si="272"/>
        <v>2.2955313991132824</v>
      </c>
      <c r="BG138" s="264">
        <f t="shared" si="272"/>
        <v>2.3039799649255008</v>
      </c>
      <c r="BH138" s="264">
        <f t="shared" si="272"/>
        <v>2.3125787529279784</v>
      </c>
      <c r="BI138" s="264">
        <f t="shared" si="272"/>
        <v>2.3212096328567045</v>
      </c>
      <c r="BJ138" s="264">
        <f t="shared" si="272"/>
        <v>2.3298727244834101</v>
      </c>
      <c r="BK138" s="264">
        <f t="shared" si="272"/>
        <v>2.338568148026833</v>
      </c>
      <c r="BL138" s="264">
        <f t="shared" si="272"/>
        <v>2.3472960241543843</v>
      </c>
      <c r="BM138" s="264">
        <f t="shared" si="272"/>
        <v>2.3559838582312191</v>
      </c>
      <c r="BN138" s="264">
        <f t="shared" si="272"/>
        <v>2.3647038478010849</v>
      </c>
      <c r="BO138" s="264">
        <f t="shared" si="272"/>
        <v>2.3734561118781943</v>
      </c>
      <c r="BP138" s="264">
        <f t="shared" si="272"/>
        <v>2.3822407699172565</v>
      </c>
      <c r="BQ138" s="264">
        <f t="shared" si="272"/>
        <v>2.3910579418151077</v>
      </c>
      <c r="BR138" s="264">
        <f t="shared" si="272"/>
        <v>2.3997099382358895</v>
      </c>
      <c r="BS138" s="264">
        <f t="shared" si="272"/>
        <v>2.4083932417365861</v>
      </c>
      <c r="BT138" s="264">
        <f t="shared" si="268"/>
        <v>2.4171079656012542</v>
      </c>
      <c r="BU138" s="264">
        <f t="shared" si="269"/>
        <v>2.4258542235238663</v>
      </c>
      <c r="BV138" s="264">
        <f t="shared" si="269"/>
        <v>2.434632129609795</v>
      </c>
      <c r="BW138" s="264">
        <f t="shared" si="269"/>
        <v>2.4428635118796533</v>
      </c>
      <c r="BX138" s="264">
        <f t="shared" si="269"/>
        <v>2.4511227240845761</v>
      </c>
      <c r="BY138" s="264">
        <f t="shared" si="269"/>
        <v>2.4594098603163279</v>
      </c>
      <c r="BZ138" s="264">
        <f t="shared" si="269"/>
        <v>2.467725014984794</v>
      </c>
      <c r="CA138" s="264">
        <f t="shared" si="269"/>
        <v>2.476068282819055</v>
      </c>
      <c r="CB138" s="264">
        <f t="shared" si="269"/>
        <v>2.4831576550549128</v>
      </c>
      <c r="CC138" s="264">
        <f t="shared" si="269"/>
        <v>2.4902673252765117</v>
      </c>
      <c r="CD138" s="264">
        <f t="shared" si="269"/>
        <v>2.4973973516001715</v>
      </c>
      <c r="CE138" s="264">
        <f t="shared" si="269"/>
        <v>2.5045477923086086</v>
      </c>
      <c r="CF138" s="264">
        <f t="shared" si="269"/>
        <v>2.5117187058514112</v>
      </c>
      <c r="CG138" s="264">
        <f t="shared" si="269"/>
        <v>2.5171937058097216</v>
      </c>
      <c r="CH138" s="264">
        <f t="shared" si="269"/>
        <v>2.5226806400759916</v>
      </c>
      <c r="CI138" s="264">
        <f t="shared" si="269"/>
        <v>2.5281795346644143</v>
      </c>
      <c r="CJ138" s="264">
        <f t="shared" si="269"/>
        <v>2.5336904156458884</v>
      </c>
      <c r="CK138" s="264">
        <f t="shared" si="269"/>
        <v>2.539213309148141</v>
      </c>
      <c r="CL138" s="264">
        <f t="shared" si="269"/>
        <v>2.5429573704375228</v>
      </c>
      <c r="CM138" s="264">
        <f t="shared" si="269"/>
        <v>2.5467069523323964</v>
      </c>
      <c r="CN138" s="264">
        <f t="shared" si="269"/>
        <v>2.5504620629728754</v>
      </c>
      <c r="CO138" s="264">
        <f t="shared" si="269"/>
        <v>2.554222710511076</v>
      </c>
      <c r="CP138" s="264">
        <f t="shared" si="269"/>
        <v>2.5579889031111347</v>
      </c>
      <c r="CQ138" s="264">
        <f t="shared" si="269"/>
        <v>2.5592501421168059</v>
      </c>
      <c r="CR138" s="264">
        <f t="shared" si="269"/>
        <v>2.5605120029875006</v>
      </c>
      <c r="CS138" s="264">
        <f t="shared" si="269"/>
        <v>2.5617744860298348</v>
      </c>
      <c r="CT138" s="264">
        <f t="shared" si="269"/>
        <v>2.5630375915505756</v>
      </c>
      <c r="CU138" s="264">
        <f t="shared" si="269"/>
        <v>2.564301319856642</v>
      </c>
      <c r="CV138" s="264">
        <f t="shared" si="269"/>
        <v>2.5624850697467836</v>
      </c>
      <c r="CW138" s="264">
        <f t="shared" si="269"/>
        <v>2.5606701060553489</v>
      </c>
      <c r="CX138" s="264">
        <f t="shared" si="269"/>
        <v>2.5588564278711901</v>
      </c>
      <c r="CY138" s="264">
        <f t="shared" si="269"/>
        <v>2.5570440342838041</v>
      </c>
      <c r="CZ138" s="453">
        <f t="shared" si="269"/>
        <v>2.555232924383334</v>
      </c>
    </row>
    <row r="139" spans="1:104" ht="13" x14ac:dyDescent="0.3">
      <c r="A139" s="1502" t="s">
        <v>683</v>
      </c>
      <c r="B139" s="264">
        <v>2016</v>
      </c>
      <c r="C139" s="877">
        <f t="shared" si="267"/>
        <v>1</v>
      </c>
      <c r="D139" s="1262" t="s">
        <v>296</v>
      </c>
      <c r="E139" s="877" t="s">
        <v>1071</v>
      </c>
      <c r="F139" s="881"/>
      <c r="G139" s="877"/>
      <c r="H139" s="1071">
        <f t="shared" si="272"/>
        <v>28.373013628420669</v>
      </c>
      <c r="I139" s="1071">
        <f t="shared" si="272"/>
        <v>29.17093293229123</v>
      </c>
      <c r="J139" s="1071">
        <f t="shared" si="272"/>
        <v>30.878569780545078</v>
      </c>
      <c r="K139" s="1071">
        <f t="shared" si="272"/>
        <v>30.682595180991225</v>
      </c>
      <c r="L139" s="1071">
        <f t="shared" si="272"/>
        <v>31.992353762541459</v>
      </c>
      <c r="M139" s="1071">
        <f t="shared" si="272"/>
        <v>31.4429334181984</v>
      </c>
      <c r="N139" s="1071">
        <f t="shared" si="272"/>
        <v>31.156600892671783</v>
      </c>
      <c r="O139" s="264">
        <f t="shared" si="272"/>
        <v>30.676058322376605</v>
      </c>
      <c r="P139" s="264">
        <f t="shared" si="272"/>
        <v>29.679126186318804</v>
      </c>
      <c r="Q139" s="264">
        <f t="shared" si="272"/>
        <v>29.700131988890092</v>
      </c>
      <c r="R139" s="264">
        <f t="shared" si="272"/>
        <v>30.54196479432273</v>
      </c>
      <c r="S139" s="264">
        <f t="shared" si="272"/>
        <v>29.932211922183079</v>
      </c>
      <c r="T139" s="264">
        <f t="shared" si="272"/>
        <v>28.972214109999999</v>
      </c>
      <c r="U139" s="264">
        <f t="shared" si="272"/>
        <v>29.128232055928784</v>
      </c>
      <c r="V139" s="264">
        <f t="shared" si="272"/>
        <v>28.995688380521983</v>
      </c>
      <c r="W139" s="264">
        <f t="shared" si="272"/>
        <v>29.39475155821113</v>
      </c>
      <c r="X139" s="264">
        <f t="shared" si="272"/>
        <v>29.885964346916182</v>
      </c>
      <c r="Y139" s="264">
        <f t="shared" si="272"/>
        <v>30.089071101439163</v>
      </c>
      <c r="Z139" s="264">
        <f t="shared" si="272"/>
        <v>31.081689502737298</v>
      </c>
      <c r="AA139" s="264">
        <f t="shared" si="272"/>
        <v>31.400245105473072</v>
      </c>
      <c r="AB139" s="264">
        <f t="shared" si="272"/>
        <v>31.337976372818122</v>
      </c>
      <c r="AC139" s="264">
        <f t="shared" si="272"/>
        <v>31.854564117923594</v>
      </c>
      <c r="AD139" s="264">
        <f t="shared" si="272"/>
        <v>32.189964324168578</v>
      </c>
      <c r="AE139" s="264">
        <f t="shared" si="272"/>
        <v>32.274661250208517</v>
      </c>
      <c r="AF139" s="264">
        <f t="shared" si="272"/>
        <v>32.347049824843424</v>
      </c>
      <c r="AG139" s="264">
        <f t="shared" si="272"/>
        <v>32.398275541772193</v>
      </c>
      <c r="AH139" s="264">
        <f t="shared" si="272"/>
        <v>32.473329377777105</v>
      </c>
      <c r="AI139" s="264">
        <f t="shared" si="272"/>
        <v>32.424485524938959</v>
      </c>
      <c r="AJ139" s="264">
        <f t="shared" si="272"/>
        <v>32.33705604252286</v>
      </c>
      <c r="AK139" s="264">
        <f t="shared" si="272"/>
        <v>32.213589610409308</v>
      </c>
      <c r="AL139" s="264">
        <f t="shared" si="272"/>
        <v>32.123147965605618</v>
      </c>
      <c r="AM139" s="264">
        <f t="shared" si="272"/>
        <v>32.189031672252469</v>
      </c>
      <c r="AN139" s="264">
        <f t="shared" si="272"/>
        <v>32.20134665837643</v>
      </c>
      <c r="AO139" s="264">
        <f t="shared" si="272"/>
        <v>32.137342472816606</v>
      </c>
      <c r="AP139" s="264">
        <f t="shared" si="272"/>
        <v>32.106067355666433</v>
      </c>
      <c r="AQ139" s="264">
        <f t="shared" si="272"/>
        <v>32.055398007309563</v>
      </c>
      <c r="AR139" s="264">
        <f t="shared" si="272"/>
        <v>31.985796962436115</v>
      </c>
      <c r="AS139" s="264">
        <f t="shared" si="272"/>
        <v>31.883579639374592</v>
      </c>
      <c r="AT139" s="264">
        <f t="shared" si="272"/>
        <v>31.88043762605966</v>
      </c>
      <c r="AU139" s="264">
        <f t="shared" si="272"/>
        <v>31.921825950470875</v>
      </c>
      <c r="AV139" s="264">
        <f t="shared" si="272"/>
        <v>31.967798865652629</v>
      </c>
      <c r="AW139" s="264">
        <f t="shared" si="272"/>
        <v>32.011030694105337</v>
      </c>
      <c r="AX139" s="264">
        <f t="shared" si="272"/>
        <v>32.04019407500644</v>
      </c>
      <c r="AY139" s="264">
        <f t="shared" si="272"/>
        <v>32.084258086774547</v>
      </c>
      <c r="AZ139" s="264">
        <f t="shared" si="272"/>
        <v>32.12290532445671</v>
      </c>
      <c r="BA139" s="264">
        <f t="shared" si="272"/>
        <v>32.1438833578502</v>
      </c>
      <c r="BB139" s="264">
        <f t="shared" si="272"/>
        <v>32.210559439498944</v>
      </c>
      <c r="BC139" s="264">
        <f t="shared" si="272"/>
        <v>32.212518425109167</v>
      </c>
      <c r="BD139" s="264">
        <f t="shared" si="272"/>
        <v>32.214477529861206</v>
      </c>
      <c r="BE139" s="264">
        <f t="shared" si="272"/>
        <v>32.216436753762309</v>
      </c>
      <c r="BF139" s="264">
        <f t="shared" si="272"/>
        <v>32.218396096819724</v>
      </c>
      <c r="BG139" s="264">
        <f t="shared" si="272"/>
        <v>32.220355559040698</v>
      </c>
      <c r="BH139" s="264">
        <f t="shared" si="272"/>
        <v>32.225068562587758</v>
      </c>
      <c r="BI139" s="264">
        <f t="shared" si="272"/>
        <v>32.229782255525173</v>
      </c>
      <c r="BJ139" s="264">
        <f t="shared" si="272"/>
        <v>32.234496637953782</v>
      </c>
      <c r="BK139" s="264">
        <f t="shared" si="272"/>
        <v>32.239211709974448</v>
      </c>
      <c r="BL139" s="264">
        <f t="shared" si="272"/>
        <v>32.243927471688032</v>
      </c>
      <c r="BM139" s="264">
        <f t="shared" si="272"/>
        <v>32.234738373564198</v>
      </c>
      <c r="BN139" s="264">
        <f t="shared" si="272"/>
        <v>32.225551894213289</v>
      </c>
      <c r="BO139" s="264">
        <f t="shared" si="272"/>
        <v>32.216368032888994</v>
      </c>
      <c r="BP139" s="264">
        <f t="shared" si="272"/>
        <v>32.207186788845206</v>
      </c>
      <c r="BQ139" s="264">
        <f t="shared" si="272"/>
        <v>32.198008161336034</v>
      </c>
      <c r="BR139" s="264">
        <f t="shared" si="272"/>
        <v>32.188328675270981</v>
      </c>
      <c r="BS139" s="264">
        <f t="shared" si="272"/>
        <v>32.178652099089362</v>
      </c>
      <c r="BT139" s="264">
        <f t="shared" si="268"/>
        <v>32.168978431916393</v>
      </c>
      <c r="BU139" s="264">
        <f t="shared" si="269"/>
        <v>32.15930767287756</v>
      </c>
      <c r="BV139" s="264">
        <f t="shared" si="269"/>
        <v>32.14963982109861</v>
      </c>
      <c r="BW139" s="264">
        <f t="shared" si="269"/>
        <v>32.135484213462775</v>
      </c>
      <c r="BX139" s="264">
        <f t="shared" si="269"/>
        <v>32.121334838594358</v>
      </c>
      <c r="BY139" s="264">
        <f t="shared" si="269"/>
        <v>32.107191693749044</v>
      </c>
      <c r="BZ139" s="264">
        <f t="shared" si="269"/>
        <v>32.093054776183735</v>
      </c>
      <c r="CA139" s="264">
        <f t="shared" si="269"/>
        <v>32.078924083156537</v>
      </c>
      <c r="CB139" s="264">
        <f t="shared" si="269"/>
        <v>32.05322936592912</v>
      </c>
      <c r="CC139" s="264">
        <f t="shared" si="269"/>
        <v>32.027555229768936</v>
      </c>
      <c r="CD139" s="264">
        <f t="shared" si="269"/>
        <v>32.001901658190874</v>
      </c>
      <c r="CE139" s="264">
        <f t="shared" si="269"/>
        <v>31.976268634723027</v>
      </c>
      <c r="CF139" s="264">
        <f t="shared" si="269"/>
        <v>31.950656142906677</v>
      </c>
      <c r="CG139" s="264">
        <f t="shared" si="269"/>
        <v>31.915373500092528</v>
      </c>
      <c r="CH139" s="264">
        <f t="shared" si="269"/>
        <v>31.880129819385399</v>
      </c>
      <c r="CI139" s="264">
        <f t="shared" si="269"/>
        <v>31.844925057760001</v>
      </c>
      <c r="CJ139" s="264">
        <f t="shared" si="269"/>
        <v>31.809759172238564</v>
      </c>
      <c r="CK139" s="264">
        <f t="shared" si="269"/>
        <v>31.774632119890772</v>
      </c>
      <c r="CL139" s="264">
        <f t="shared" si="269"/>
        <v>31.736335048107414</v>
      </c>
      <c r="CM139" s="264">
        <f t="shared" si="269"/>
        <v>31.698084134709202</v>
      </c>
      <c r="CN139" s="264">
        <f t="shared" si="269"/>
        <v>31.659879324062725</v>
      </c>
      <c r="CO139" s="264">
        <f t="shared" si="269"/>
        <v>31.621720560601634</v>
      </c>
      <c r="CP139" s="264">
        <f t="shared" si="269"/>
        <v>31.583607788826551</v>
      </c>
      <c r="CQ139" s="264">
        <f t="shared" si="269"/>
        <v>31.539463246970023</v>
      </c>
      <c r="CR139" s="264">
        <f t="shared" si="269"/>
        <v>31.495380406125889</v>
      </c>
      <c r="CS139" s="264">
        <f t="shared" si="269"/>
        <v>31.451359180054389</v>
      </c>
      <c r="CT139" s="264">
        <f t="shared" si="269"/>
        <v>31.407399482636293</v>
      </c>
      <c r="CU139" s="264">
        <f t="shared" si="269"/>
        <v>31.363501227872742</v>
      </c>
      <c r="CV139" s="264">
        <f t="shared" si="269"/>
        <v>31.320648715953933</v>
      </c>
      <c r="CW139" s="264">
        <f t="shared" si="269"/>
        <v>31.277854754187555</v>
      </c>
      <c r="CX139" s="264">
        <f t="shared" si="269"/>
        <v>31.235119262575491</v>
      </c>
      <c r="CY139" s="264">
        <f t="shared" si="269"/>
        <v>31.192442161228929</v>
      </c>
      <c r="CZ139" s="453">
        <f t="shared" si="269"/>
        <v>31.1498233703682</v>
      </c>
    </row>
    <row r="140" spans="1:104" ht="13" x14ac:dyDescent="0.3">
      <c r="A140" s="1502" t="s">
        <v>698</v>
      </c>
      <c r="B140" s="264">
        <v>2016</v>
      </c>
      <c r="C140" s="877">
        <f t="shared" si="267"/>
        <v>1</v>
      </c>
      <c r="D140" s="1262" t="s">
        <v>296</v>
      </c>
      <c r="E140" s="877" t="s">
        <v>1071</v>
      </c>
      <c r="F140" s="888"/>
      <c r="G140" s="1501"/>
      <c r="H140" s="1071">
        <f t="shared" si="272"/>
        <v>18.232352698801531</v>
      </c>
      <c r="I140" s="1071">
        <f t="shared" si="272"/>
        <v>19.279059481202857</v>
      </c>
      <c r="J140" s="1071">
        <f t="shared" si="272"/>
        <v>20.106975671052609</v>
      </c>
      <c r="K140" s="1071">
        <f t="shared" si="272"/>
        <v>20.31728323383771</v>
      </c>
      <c r="L140" s="1071">
        <f t="shared" si="272"/>
        <v>21.702415417864383</v>
      </c>
      <c r="M140" s="1071">
        <f t="shared" si="272"/>
        <v>21.137326303769196</v>
      </c>
      <c r="N140" s="1071">
        <f t="shared" si="272"/>
        <v>20.699724047437488</v>
      </c>
      <c r="O140" s="264">
        <f t="shared" si="272"/>
        <v>20.430734156114106</v>
      </c>
      <c r="P140" s="264">
        <f t="shared" si="272"/>
        <v>19.619402543384187</v>
      </c>
      <c r="Q140" s="264">
        <f t="shared" si="272"/>
        <v>19.94482547791937</v>
      </c>
      <c r="R140" s="264">
        <f t="shared" si="272"/>
        <v>20.190684361237558</v>
      </c>
      <c r="S140" s="264">
        <f t="shared" si="272"/>
        <v>19.439058682545589</v>
      </c>
      <c r="T140" s="264">
        <f t="shared" si="272"/>
        <v>18.777772519999996</v>
      </c>
      <c r="U140" s="264">
        <f t="shared" si="272"/>
        <v>19.537493744407882</v>
      </c>
      <c r="V140" s="264">
        <f t="shared" si="272"/>
        <v>19.094688812726531</v>
      </c>
      <c r="W140" s="264">
        <f t="shared" si="272"/>
        <v>19.340880484069093</v>
      </c>
      <c r="X140" s="264">
        <f t="shared" si="272"/>
        <v>19.700726786066333</v>
      </c>
      <c r="Y140" s="264">
        <f t="shared" si="272"/>
        <v>19.809231927025674</v>
      </c>
      <c r="Z140" s="264">
        <f t="shared" si="272"/>
        <v>20.448628319255093</v>
      </c>
      <c r="AA140" s="264">
        <f t="shared" si="272"/>
        <v>20.513438149254636</v>
      </c>
      <c r="AB140" s="264">
        <f t="shared" si="272"/>
        <v>20.459361398826221</v>
      </c>
      <c r="AC140" s="264">
        <f t="shared" si="272"/>
        <v>20.950622526197662</v>
      </c>
      <c r="AD140" s="264">
        <f t="shared" si="272"/>
        <v>21.163384692376518</v>
      </c>
      <c r="AE140" s="264">
        <f t="shared" si="272"/>
        <v>21.285322295688569</v>
      </c>
      <c r="AF140" s="264">
        <f t="shared" si="272"/>
        <v>21.423623959296947</v>
      </c>
      <c r="AG140" s="264">
        <f t="shared" si="272"/>
        <v>21.53228264660833</v>
      </c>
      <c r="AH140" s="264">
        <f t="shared" si="272"/>
        <v>21.607771530610695</v>
      </c>
      <c r="AI140" s="264">
        <f t="shared" si="272"/>
        <v>21.635145433038627</v>
      </c>
      <c r="AJ140" s="264">
        <f t="shared" si="272"/>
        <v>21.585785019942069</v>
      </c>
      <c r="AK140" s="264">
        <f t="shared" si="272"/>
        <v>21.508628925857963</v>
      </c>
      <c r="AL140" s="264">
        <f t="shared" si="272"/>
        <v>21.446118499871098</v>
      </c>
      <c r="AM140" s="264">
        <f t="shared" si="272"/>
        <v>21.521952389257063</v>
      </c>
      <c r="AN140" s="264">
        <f t="shared" si="272"/>
        <v>21.600204159779199</v>
      </c>
      <c r="AO140" s="264">
        <f t="shared" si="272"/>
        <v>21.583872325260458</v>
      </c>
      <c r="AP140" s="264">
        <f t="shared" si="272"/>
        <v>21.588666383585327</v>
      </c>
      <c r="AQ140" s="264">
        <f t="shared" si="272"/>
        <v>21.605374501448264</v>
      </c>
      <c r="AR140" s="264">
        <f t="shared" si="272"/>
        <v>21.554715579078266</v>
      </c>
      <c r="AS140" s="264">
        <f t="shared" si="272"/>
        <v>21.491324631109631</v>
      </c>
      <c r="AT140" s="264">
        <f t="shared" si="272"/>
        <v>21.516251270074765</v>
      </c>
      <c r="AU140" s="264">
        <f t="shared" si="272"/>
        <v>21.58191413536343</v>
      </c>
      <c r="AV140" s="264">
        <f t="shared" si="272"/>
        <v>21.663232093841465</v>
      </c>
      <c r="AW140" s="264">
        <f t="shared" si="272"/>
        <v>21.742367229796333</v>
      </c>
      <c r="AX140" s="264">
        <f t="shared" si="272"/>
        <v>21.822824570449338</v>
      </c>
      <c r="AY140" s="264">
        <f t="shared" si="272"/>
        <v>21.895024529503647</v>
      </c>
      <c r="AZ140" s="264">
        <f t="shared" si="272"/>
        <v>21.976239175929997</v>
      </c>
      <c r="BA140" s="264">
        <f t="shared" si="272"/>
        <v>22.046603213478718</v>
      </c>
      <c r="BB140" s="264">
        <f t="shared" si="272"/>
        <v>22.114819497732821</v>
      </c>
      <c r="BC140" s="264">
        <f t="shared" si="272"/>
        <v>22.13487665280584</v>
      </c>
      <c r="BD140" s="264">
        <f t="shared" si="272"/>
        <v>22.15495199882406</v>
      </c>
      <c r="BE140" s="264">
        <f t="shared" si="272"/>
        <v>22.175045552285859</v>
      </c>
      <c r="BF140" s="264">
        <f t="shared" si="272"/>
        <v>22.195157329704575</v>
      </c>
      <c r="BG140" s="264">
        <f t="shared" si="272"/>
        <v>22.215287347608523</v>
      </c>
      <c r="BH140" s="264">
        <f t="shared" si="272"/>
        <v>22.237407284551185</v>
      </c>
      <c r="BI140" s="264">
        <f t="shared" si="272"/>
        <v>22.259549246489641</v>
      </c>
      <c r="BJ140" s="264">
        <f t="shared" si="272"/>
        <v>22.281713255354351</v>
      </c>
      <c r="BK140" s="264">
        <f t="shared" si="272"/>
        <v>22.303899333097611</v>
      </c>
      <c r="BL140" s="264">
        <f t="shared" si="272"/>
        <v>22.326107501693581</v>
      </c>
      <c r="BM140" s="264">
        <f t="shared" si="272"/>
        <v>22.336823207612067</v>
      </c>
      <c r="BN140" s="264">
        <f t="shared" si="272"/>
        <v>22.347544056673097</v>
      </c>
      <c r="BO140" s="264">
        <f t="shared" si="272"/>
        <v>22.358270051345187</v>
      </c>
      <c r="BP140" s="264">
        <f t="shared" si="272"/>
        <v>22.369001194098043</v>
      </c>
      <c r="BQ140" s="264">
        <f t="shared" si="272"/>
        <v>22.379737487402554</v>
      </c>
      <c r="BR140" s="264">
        <f t="shared" si="272"/>
        <v>22.390100389733625</v>
      </c>
      <c r="BS140" s="264">
        <f t="shared" si="272"/>
        <v>22.400468090590362</v>
      </c>
      <c r="BT140" s="264">
        <f t="shared" si="268"/>
        <v>22.410840592194713</v>
      </c>
      <c r="BU140" s="264">
        <f t="shared" si="269"/>
        <v>22.421217896769658</v>
      </c>
      <c r="BV140" s="264">
        <f t="shared" si="269"/>
        <v>22.431600006539206</v>
      </c>
      <c r="BW140" s="264">
        <f t="shared" si="269"/>
        <v>22.438377931004013</v>
      </c>
      <c r="BX140" s="264">
        <f t="shared" si="269"/>
        <v>22.44515790348412</v>
      </c>
      <c r="BY140" s="264">
        <f t="shared" si="269"/>
        <v>22.451939924598356</v>
      </c>
      <c r="BZ140" s="264">
        <f t="shared" si="269"/>
        <v>22.458723994965737</v>
      </c>
      <c r="CA140" s="264">
        <f t="shared" si="269"/>
        <v>22.465510115205461</v>
      </c>
      <c r="CB140" s="264">
        <f t="shared" si="269"/>
        <v>22.462969438648798</v>
      </c>
      <c r="CC140" s="264">
        <f t="shared" si="269"/>
        <v>22.46042904942313</v>
      </c>
      <c r="CD140" s="264">
        <f t="shared" si="269"/>
        <v>22.45788894749596</v>
      </c>
      <c r="CE140" s="264">
        <f t="shared" si="269"/>
        <v>22.455349132834797</v>
      </c>
      <c r="CF140" s="264">
        <f t="shared" si="269"/>
        <v>22.452809605407158</v>
      </c>
      <c r="CG140" s="264">
        <f t="shared" si="269"/>
        <v>22.442624812220661</v>
      </c>
      <c r="CH140" s="264">
        <f t="shared" si="269"/>
        <v>22.432444638946507</v>
      </c>
      <c r="CI140" s="264">
        <f t="shared" si="269"/>
        <v>22.422269083489063</v>
      </c>
      <c r="CJ140" s="264">
        <f t="shared" si="269"/>
        <v>22.412098143753649</v>
      </c>
      <c r="CK140" s="264">
        <f t="shared" si="269"/>
        <v>22.401931817646531</v>
      </c>
      <c r="CL140" s="264">
        <f t="shared" si="269"/>
        <v>22.389459823741635</v>
      </c>
      <c r="CM140" s="264">
        <f t="shared" si="269"/>
        <v>22.376994773462549</v>
      </c>
      <c r="CN140" s="264">
        <f t="shared" si="269"/>
        <v>22.364536662943497</v>
      </c>
      <c r="CO140" s="264">
        <f t="shared" si="269"/>
        <v>22.352085488320853</v>
      </c>
      <c r="CP140" s="264">
        <f t="shared" si="269"/>
        <v>22.339641245733144</v>
      </c>
      <c r="CQ140" s="264">
        <f t="shared" si="269"/>
        <v>22.322592014179389</v>
      </c>
      <c r="CR140" s="264">
        <f t="shared" si="269"/>
        <v>22.305555794307125</v>
      </c>
      <c r="CS140" s="264">
        <f t="shared" si="269"/>
        <v>22.288532576186064</v>
      </c>
      <c r="CT140" s="264">
        <f t="shared" si="269"/>
        <v>22.271522349893491</v>
      </c>
      <c r="CU140" s="264">
        <f t="shared" si="269"/>
        <v>22.254525105514261</v>
      </c>
      <c r="CV140" s="264">
        <f t="shared" si="269"/>
        <v>22.238544472899552</v>
      </c>
      <c r="CW140" s="264">
        <f t="shared" si="269"/>
        <v>22.222575315731635</v>
      </c>
      <c r="CX140" s="264">
        <f t="shared" si="269"/>
        <v>22.206617625770171</v>
      </c>
      <c r="CY140" s="264">
        <f t="shared" si="269"/>
        <v>22.190671394780733</v>
      </c>
      <c r="CZ140" s="453">
        <f t="shared" ref="CZ140" si="273">+CZ160*$C140</f>
        <v>22.174736614534808</v>
      </c>
    </row>
    <row r="141" spans="1:104" ht="13.5" thickBot="1" x14ac:dyDescent="0.35">
      <c r="A141" s="1505" t="s">
        <v>684</v>
      </c>
      <c r="B141" s="447">
        <v>2016</v>
      </c>
      <c r="C141" s="1395">
        <f t="shared" si="267"/>
        <v>1</v>
      </c>
      <c r="D141" s="1506" t="s">
        <v>296</v>
      </c>
      <c r="E141" s="1395" t="s">
        <v>1071</v>
      </c>
      <c r="F141" s="1396"/>
      <c r="G141" s="1034"/>
      <c r="H141" s="1397">
        <f t="shared" si="272"/>
        <v>31.081820315099751</v>
      </c>
      <c r="I141" s="1397">
        <f t="shared" si="272"/>
        <v>31.795307521355493</v>
      </c>
      <c r="J141" s="1397">
        <f t="shared" si="272"/>
        <v>33.946842042036877</v>
      </c>
      <c r="K141" s="1397">
        <f t="shared" si="272"/>
        <v>33.862138723062856</v>
      </c>
      <c r="L141" s="1397">
        <f t="shared" si="272"/>
        <v>35.110516897292094</v>
      </c>
      <c r="M141" s="1397">
        <f t="shared" si="272"/>
        <v>35.620882248372396</v>
      </c>
      <c r="N141" s="1397">
        <f t="shared" si="272"/>
        <v>35.284315436843215</v>
      </c>
      <c r="O141" s="447">
        <f t="shared" si="272"/>
        <v>35.109707376782602</v>
      </c>
      <c r="P141" s="447">
        <f t="shared" si="272"/>
        <v>34.944303180720262</v>
      </c>
      <c r="Q141" s="447">
        <f t="shared" si="272"/>
        <v>35.113313940081568</v>
      </c>
      <c r="R141" s="447">
        <f t="shared" si="272"/>
        <v>35.603854676435802</v>
      </c>
      <c r="S141" s="447">
        <f t="shared" si="272"/>
        <v>35.586699324775935</v>
      </c>
      <c r="T141" s="447">
        <f t="shared" si="272"/>
        <v>34.861101349999998</v>
      </c>
      <c r="U141" s="447">
        <f t="shared" si="272"/>
        <v>34.664653819323334</v>
      </c>
      <c r="V141" s="447">
        <f t="shared" si="272"/>
        <v>34.410290069910978</v>
      </c>
      <c r="W141" s="447">
        <f t="shared" si="272"/>
        <v>34.908531869398402</v>
      </c>
      <c r="X141" s="447">
        <f t="shared" si="272"/>
        <v>35.616671532127199</v>
      </c>
      <c r="Y141" s="447">
        <f t="shared" si="272"/>
        <v>35.947520321196222</v>
      </c>
      <c r="Z141" s="447">
        <f t="shared" si="272"/>
        <v>36.987705865849776</v>
      </c>
      <c r="AA141" s="447">
        <f t="shared" si="272"/>
        <v>37.546039262370911</v>
      </c>
      <c r="AB141" s="447">
        <f t="shared" si="272"/>
        <v>37.510823122184988</v>
      </c>
      <c r="AC141" s="447">
        <f t="shared" si="272"/>
        <v>38.008797637281816</v>
      </c>
      <c r="AD141" s="447">
        <f t="shared" si="272"/>
        <v>38.419808048103611</v>
      </c>
      <c r="AE141" s="447">
        <f t="shared" si="272"/>
        <v>38.480927078752217</v>
      </c>
      <c r="AF141" s="447">
        <f t="shared" si="272"/>
        <v>38.529894147798792</v>
      </c>
      <c r="AG141" s="447">
        <f t="shared" si="272"/>
        <v>38.610432052895767</v>
      </c>
      <c r="AH141" s="447">
        <f t="shared" si="272"/>
        <v>38.669048846696292</v>
      </c>
      <c r="AI141" s="447">
        <f t="shared" si="272"/>
        <v>38.631731396248163</v>
      </c>
      <c r="AJ141" s="447">
        <f t="shared" si="272"/>
        <v>38.567872226687491</v>
      </c>
      <c r="AK141" s="447">
        <f t="shared" si="272"/>
        <v>38.465126969563705</v>
      </c>
      <c r="AL141" s="447">
        <f t="shared" si="272"/>
        <v>38.413723063041203</v>
      </c>
      <c r="AM141" s="447">
        <f t="shared" si="272"/>
        <v>38.515467425425761</v>
      </c>
      <c r="AN141" s="447">
        <f t="shared" si="272"/>
        <v>38.527084818246614</v>
      </c>
      <c r="AO141" s="447">
        <f t="shared" si="272"/>
        <v>38.521472793861179</v>
      </c>
      <c r="AP141" s="447">
        <f t="shared" si="272"/>
        <v>38.546973809920992</v>
      </c>
      <c r="AQ141" s="447">
        <f t="shared" si="272"/>
        <v>38.560691565187064</v>
      </c>
      <c r="AR141" s="447">
        <f t="shared" si="272"/>
        <v>38.568356561168315</v>
      </c>
      <c r="AS141" s="447">
        <f t="shared" si="272"/>
        <v>38.569368829711408</v>
      </c>
      <c r="AT141" s="447">
        <f t="shared" si="272"/>
        <v>38.651143635977618</v>
      </c>
      <c r="AU141" s="447">
        <f t="shared" si="272"/>
        <v>38.781520601750053</v>
      </c>
      <c r="AV141" s="447">
        <f t="shared" si="272"/>
        <v>38.929117506558889</v>
      </c>
      <c r="AW141" s="447">
        <f t="shared" si="272"/>
        <v>39.08758776785308</v>
      </c>
      <c r="AX141" s="447">
        <f t="shared" si="272"/>
        <v>39.228047610742941</v>
      </c>
      <c r="AY141" s="447">
        <f t="shared" si="272"/>
        <v>39.393119417357944</v>
      </c>
      <c r="AZ141" s="447">
        <f t="shared" si="272"/>
        <v>39.595269824540118</v>
      </c>
      <c r="BA141" s="447">
        <f t="shared" si="272"/>
        <v>39.769550621009692</v>
      </c>
      <c r="BB141" s="447">
        <f t="shared" si="272"/>
        <v>39.980674011616443</v>
      </c>
      <c r="BC141" s="447">
        <f t="shared" si="272"/>
        <v>39.983105560972888</v>
      </c>
      <c r="BD141" s="447">
        <f t="shared" si="272"/>
        <v>39.985537258211586</v>
      </c>
      <c r="BE141" s="447">
        <f t="shared" si="272"/>
        <v>39.987969103341534</v>
      </c>
      <c r="BF141" s="447">
        <f t="shared" si="272"/>
        <v>39.990401096371727</v>
      </c>
      <c r="BG141" s="447">
        <f t="shared" si="272"/>
        <v>39.99283323731116</v>
      </c>
      <c r="BH141" s="447">
        <f t="shared" si="272"/>
        <v>39.998683153044055</v>
      </c>
      <c r="BI141" s="447">
        <f t="shared" si="272"/>
        <v>40.00453392446812</v>
      </c>
      <c r="BJ141" s="447">
        <f t="shared" si="272"/>
        <v>40.010385551708517</v>
      </c>
      <c r="BK141" s="447">
        <f t="shared" si="272"/>
        <v>40.016238034890421</v>
      </c>
      <c r="BL141" s="447">
        <f t="shared" si="272"/>
        <v>40.022091374139045</v>
      </c>
      <c r="BM141" s="447">
        <f t="shared" si="272"/>
        <v>40.01068560090993</v>
      </c>
      <c r="BN141" s="447">
        <f t="shared" si="272"/>
        <v>39.999283078177193</v>
      </c>
      <c r="BO141" s="447">
        <f t="shared" si="272"/>
        <v>39.987883805014484</v>
      </c>
      <c r="BP141" s="447">
        <f t="shared" si="272"/>
        <v>39.976487780495717</v>
      </c>
      <c r="BQ141" s="447">
        <f t="shared" si="272"/>
        <v>39.965095003695069</v>
      </c>
      <c r="BR141" s="447">
        <f t="shared" si="272"/>
        <v>39.953080546830584</v>
      </c>
      <c r="BS141" s="447">
        <f t="shared" ref="BS141" si="274">+BS161*$C141</f>
        <v>39.941069701797218</v>
      </c>
      <c r="BT141" s="447">
        <f t="shared" si="268"/>
        <v>39.929062467509169</v>
      </c>
      <c r="BU141" s="447">
        <f t="shared" ref="BU141:CZ141" si="275">+BU161*$C141</f>
        <v>39.917058842880955</v>
      </c>
      <c r="BV141" s="447">
        <f t="shared" si="275"/>
        <v>39.905058826827435</v>
      </c>
      <c r="BW141" s="447">
        <f t="shared" si="275"/>
        <v>39.887488478960996</v>
      </c>
      <c r="BX141" s="447">
        <f t="shared" si="275"/>
        <v>39.869925867384971</v>
      </c>
      <c r="BY141" s="447">
        <f t="shared" si="275"/>
        <v>39.852370988693046</v>
      </c>
      <c r="BZ141" s="447">
        <f t="shared" si="275"/>
        <v>39.8348238394804</v>
      </c>
      <c r="CA141" s="447">
        <f t="shared" si="275"/>
        <v>39.817284416343718</v>
      </c>
      <c r="CB141" s="447">
        <f t="shared" si="275"/>
        <v>39.785391393336162</v>
      </c>
      <c r="CC141" s="447">
        <f t="shared" si="275"/>
        <v>39.75352391614198</v>
      </c>
      <c r="CD141" s="447">
        <f t="shared" si="275"/>
        <v>39.721681964299371</v>
      </c>
      <c r="CE141" s="447">
        <f t="shared" si="275"/>
        <v>39.689865517362925</v>
      </c>
      <c r="CF141" s="447">
        <f t="shared" si="275"/>
        <v>39.658074554903607</v>
      </c>
      <c r="CG141" s="447">
        <f t="shared" si="275"/>
        <v>39.614280722534119</v>
      </c>
      <c r="CH141" s="447">
        <f t="shared" si="275"/>
        <v>39.57053525105394</v>
      </c>
      <c r="CI141" s="447">
        <f t="shared" si="275"/>
        <v>39.526838087058842</v>
      </c>
      <c r="CJ141" s="447">
        <f t="shared" si="275"/>
        <v>39.48318917720357</v>
      </c>
      <c r="CK141" s="447">
        <f t="shared" si="275"/>
        <v>39.439588468201791</v>
      </c>
      <c r="CL141" s="447">
        <f t="shared" si="275"/>
        <v>39.392053039782866</v>
      </c>
      <c r="CM141" s="447">
        <f t="shared" si="275"/>
        <v>39.344574904480901</v>
      </c>
      <c r="CN141" s="447">
        <f t="shared" si="275"/>
        <v>39.297153993242112</v>
      </c>
      <c r="CO141" s="447">
        <f t="shared" si="275"/>
        <v>39.249790237095944</v>
      </c>
      <c r="CP141" s="447">
        <f t="shared" si="275"/>
        <v>39.202483567154964</v>
      </c>
      <c r="CQ141" s="447">
        <f t="shared" si="275"/>
        <v>39.147690090479308</v>
      </c>
      <c r="CR141" s="447">
        <f t="shared" si="275"/>
        <v>39.092973198877175</v>
      </c>
      <c r="CS141" s="447">
        <f t="shared" si="275"/>
        <v>39.038332785305279</v>
      </c>
      <c r="CT141" s="447">
        <f t="shared" si="275"/>
        <v>38.983768742869955</v>
      </c>
      <c r="CU141" s="447">
        <f t="shared" si="275"/>
        <v>38.929280964826951</v>
      </c>
      <c r="CV141" s="447">
        <f t="shared" si="275"/>
        <v>38.876091192919297</v>
      </c>
      <c r="CW141" s="447">
        <f t="shared" si="275"/>
        <v>38.822974095147039</v>
      </c>
      <c r="CX141" s="447">
        <f t="shared" si="275"/>
        <v>38.769929572214203</v>
      </c>
      <c r="CY141" s="447">
        <f t="shared" si="275"/>
        <v>38.716957524960492</v>
      </c>
      <c r="CZ141" s="448">
        <f t="shared" si="275"/>
        <v>38.66405785436109</v>
      </c>
    </row>
    <row r="142" spans="1:104" x14ac:dyDescent="0.25">
      <c r="A142" t="s">
        <v>1425</v>
      </c>
    </row>
    <row r="150" spans="1:104" ht="13" x14ac:dyDescent="0.3">
      <c r="A150" s="1507" t="s">
        <v>1290</v>
      </c>
      <c r="B150" s="1508" t="s">
        <v>1424</v>
      </c>
      <c r="C150" s="1507"/>
      <c r="D150" s="1507"/>
      <c r="E150" s="1507"/>
      <c r="F150" s="1507"/>
      <c r="G150" s="1507"/>
      <c r="H150" s="1507"/>
      <c r="I150" s="1507"/>
      <c r="J150" s="1507"/>
      <c r="K150" s="1507"/>
      <c r="L150" s="1507"/>
      <c r="M150" s="1507"/>
      <c r="N150" s="1507"/>
      <c r="O150" s="1507"/>
      <c r="P150" s="1507"/>
      <c r="Q150" s="1507"/>
      <c r="R150" s="1507"/>
      <c r="S150" s="1507"/>
      <c r="T150" s="1507"/>
      <c r="U150" s="1507"/>
      <c r="V150" s="1507"/>
      <c r="W150" s="1507"/>
      <c r="X150" s="1507"/>
      <c r="Y150" s="1507"/>
      <c r="Z150" s="1507"/>
      <c r="AA150" s="1507"/>
      <c r="AB150" s="1507"/>
      <c r="AC150" s="1507"/>
      <c r="AD150" s="1507"/>
      <c r="AE150" s="1507"/>
      <c r="AF150" s="1507"/>
      <c r="AG150" s="1507"/>
      <c r="AH150" s="1507"/>
      <c r="AI150" s="1507"/>
      <c r="AJ150" s="1507"/>
      <c r="AK150" s="1507"/>
      <c r="AL150" s="1507"/>
      <c r="AM150" s="1507"/>
      <c r="AN150" s="1507"/>
      <c r="AO150" s="1507"/>
      <c r="AP150" s="1507"/>
      <c r="AQ150" s="1507"/>
      <c r="AR150" s="1507"/>
      <c r="AS150" s="1507"/>
      <c r="AT150" s="1507"/>
      <c r="AU150" s="1507"/>
      <c r="AV150" s="1507"/>
      <c r="AW150" s="1507"/>
      <c r="AX150" s="1507"/>
      <c r="AY150" s="1507"/>
      <c r="AZ150" s="1507"/>
      <c r="BA150" s="1507"/>
      <c r="BB150" s="1507" t="s">
        <v>1291</v>
      </c>
      <c r="BC150" s="1507"/>
      <c r="BD150" s="1507"/>
      <c r="BE150" s="1507"/>
      <c r="BF150" s="1507"/>
      <c r="BG150" s="1507"/>
      <c r="BH150" s="1507"/>
      <c r="BI150" s="1507"/>
      <c r="BJ150" s="1507"/>
      <c r="BK150" s="1507"/>
      <c r="BL150" s="1507"/>
      <c r="BM150" s="1507"/>
      <c r="BN150" s="1507"/>
      <c r="BO150" s="1507"/>
      <c r="BP150" s="1507"/>
      <c r="BQ150" s="1507"/>
      <c r="BR150" s="1507"/>
      <c r="BS150" s="1507"/>
      <c r="BT150" s="1507"/>
      <c r="BU150" s="1507"/>
      <c r="BV150" s="1507"/>
      <c r="BW150" s="1507"/>
      <c r="BX150" s="1507"/>
      <c r="BY150" s="1507"/>
      <c r="BZ150" s="1507"/>
      <c r="CA150" s="1507"/>
      <c r="CB150" s="1507"/>
      <c r="CC150" s="1507"/>
      <c r="CD150" s="1507"/>
      <c r="CE150" s="1507"/>
      <c r="CF150" s="1507"/>
      <c r="CG150" s="1507"/>
      <c r="CH150" s="1507"/>
      <c r="CI150" s="1507"/>
      <c r="CJ150" s="1507"/>
      <c r="CK150" s="1507"/>
      <c r="CL150" s="1507"/>
      <c r="CM150" s="1507"/>
      <c r="CN150" s="1507"/>
      <c r="CO150" s="1507"/>
      <c r="CP150" s="1507"/>
      <c r="CQ150" s="1507"/>
      <c r="CR150" s="1507"/>
      <c r="CS150" s="1507"/>
      <c r="CT150" s="1507"/>
      <c r="CU150" s="1507"/>
      <c r="CV150" s="1507"/>
      <c r="CW150" s="1507"/>
      <c r="CX150" s="1507"/>
      <c r="CY150" s="1507"/>
      <c r="CZ150" s="1507"/>
    </row>
    <row r="151" spans="1:104" x14ac:dyDescent="0.25">
      <c r="A151" s="1509" t="s">
        <v>1084</v>
      </c>
      <c r="B151" s="1510" t="s">
        <v>678</v>
      </c>
      <c r="C151" s="1510" t="s">
        <v>679</v>
      </c>
      <c r="D151" s="1510" t="s">
        <v>690</v>
      </c>
      <c r="E151" s="1510" t="s">
        <v>691</v>
      </c>
      <c r="F151" s="1510" t="s">
        <v>680</v>
      </c>
      <c r="G151" s="1510" t="s">
        <v>692</v>
      </c>
      <c r="H151" s="1510">
        <v>2004</v>
      </c>
      <c r="I151" s="1510">
        <v>2005</v>
      </c>
      <c r="J151" s="1510">
        <v>2006</v>
      </c>
      <c r="K151" s="1510">
        <v>2007</v>
      </c>
      <c r="L151" s="1510">
        <v>2008</v>
      </c>
      <c r="M151" s="1510">
        <v>2009</v>
      </c>
      <c r="N151" s="1510">
        <v>2010</v>
      </c>
      <c r="O151" s="1510">
        <v>2011</v>
      </c>
      <c r="P151" s="1510">
        <v>2012</v>
      </c>
      <c r="Q151" s="1510">
        <v>2013</v>
      </c>
      <c r="R151" s="1510">
        <v>2014</v>
      </c>
      <c r="S151" s="1510">
        <v>2015</v>
      </c>
      <c r="T151" s="1510">
        <v>2016</v>
      </c>
      <c r="U151" s="1510">
        <v>2017</v>
      </c>
      <c r="V151" s="1510">
        <v>2018</v>
      </c>
      <c r="W151" s="1510">
        <v>2019</v>
      </c>
      <c r="X151" s="1510">
        <v>2020</v>
      </c>
      <c r="Y151" s="1510">
        <v>2021</v>
      </c>
      <c r="Z151" s="1510">
        <v>2022</v>
      </c>
      <c r="AA151" s="1510">
        <v>2023</v>
      </c>
      <c r="AB151" s="1510">
        <v>2024</v>
      </c>
      <c r="AC151" s="1510">
        <v>2025</v>
      </c>
      <c r="AD151" s="1510">
        <v>2026</v>
      </c>
      <c r="AE151" s="1510">
        <v>2027</v>
      </c>
      <c r="AF151" s="1510">
        <v>2028</v>
      </c>
      <c r="AG151" s="1510">
        <v>2029</v>
      </c>
      <c r="AH151" s="1510">
        <v>2030</v>
      </c>
      <c r="AI151" s="1510">
        <v>2031</v>
      </c>
      <c r="AJ151" s="1510">
        <v>2032</v>
      </c>
      <c r="AK151" s="1510">
        <v>2033</v>
      </c>
      <c r="AL151" s="1510">
        <v>2034</v>
      </c>
      <c r="AM151" s="1510">
        <v>2035</v>
      </c>
      <c r="AN151" s="1510">
        <v>2036</v>
      </c>
      <c r="AO151" s="1510">
        <v>2037</v>
      </c>
      <c r="AP151" s="1510">
        <v>2038</v>
      </c>
      <c r="AQ151" s="1510">
        <v>2039</v>
      </c>
      <c r="AR151" s="1510">
        <v>2040</v>
      </c>
      <c r="AS151" s="1510">
        <v>2041</v>
      </c>
      <c r="AT151" s="1510">
        <v>2042</v>
      </c>
      <c r="AU151" s="1510">
        <v>2043</v>
      </c>
      <c r="AV151" s="1510">
        <v>2044</v>
      </c>
      <c r="AW151" s="1510">
        <v>2045</v>
      </c>
      <c r="AX151" s="1510">
        <v>2046</v>
      </c>
      <c r="AY151" s="1510">
        <v>2047</v>
      </c>
      <c r="AZ151" s="1510">
        <v>2048</v>
      </c>
      <c r="BA151" s="1510">
        <v>2049</v>
      </c>
      <c r="BB151" s="1510">
        <v>2050</v>
      </c>
      <c r="BC151" s="1510">
        <v>2051</v>
      </c>
      <c r="BD151" s="1510">
        <v>2052</v>
      </c>
      <c r="BE151" s="1510">
        <v>2053</v>
      </c>
      <c r="BF151" s="1510">
        <v>2054</v>
      </c>
      <c r="BG151" s="1510">
        <v>2055</v>
      </c>
      <c r="BH151" s="1510">
        <v>2056</v>
      </c>
      <c r="BI151" s="1510">
        <v>2057</v>
      </c>
      <c r="BJ151" s="1510">
        <v>2058</v>
      </c>
      <c r="BK151" s="1510">
        <v>2059</v>
      </c>
      <c r="BL151" s="1510">
        <v>2060</v>
      </c>
      <c r="BM151" s="1510">
        <v>2061</v>
      </c>
      <c r="BN151" s="1510">
        <v>2062</v>
      </c>
      <c r="BO151" s="1510">
        <v>2063</v>
      </c>
      <c r="BP151" s="1510">
        <v>2064</v>
      </c>
      <c r="BQ151" s="1510">
        <v>2065</v>
      </c>
      <c r="BR151" s="1510">
        <v>2066</v>
      </c>
      <c r="BS151" s="1510">
        <v>2067</v>
      </c>
      <c r="BT151" s="1510">
        <v>2068</v>
      </c>
      <c r="BU151" s="1510">
        <v>2069</v>
      </c>
      <c r="BV151" s="1510">
        <v>2070</v>
      </c>
      <c r="BW151" s="1510">
        <v>2071</v>
      </c>
      <c r="BX151" s="1510">
        <v>2072</v>
      </c>
      <c r="BY151" s="1510">
        <v>2073</v>
      </c>
      <c r="BZ151" s="1510">
        <v>2074</v>
      </c>
      <c r="CA151" s="1510">
        <v>2075</v>
      </c>
      <c r="CB151" s="1510">
        <v>2076</v>
      </c>
      <c r="CC151" s="1510">
        <v>2077</v>
      </c>
      <c r="CD151" s="1510">
        <v>2078</v>
      </c>
      <c r="CE151" s="1510">
        <v>2079</v>
      </c>
      <c r="CF151" s="1510">
        <v>2080</v>
      </c>
      <c r="CG151" s="1510">
        <v>2081</v>
      </c>
      <c r="CH151" s="1510">
        <v>2082</v>
      </c>
      <c r="CI151" s="1510">
        <v>2083</v>
      </c>
      <c r="CJ151" s="1510">
        <v>2084</v>
      </c>
      <c r="CK151" s="1510">
        <v>2085</v>
      </c>
      <c r="CL151" s="1510">
        <v>2086</v>
      </c>
      <c r="CM151" s="1510">
        <v>2087</v>
      </c>
      <c r="CN151" s="1510">
        <v>2088</v>
      </c>
      <c r="CO151" s="1510">
        <v>2089</v>
      </c>
      <c r="CP151" s="1510">
        <v>2090</v>
      </c>
      <c r="CQ151" s="1510">
        <v>2091</v>
      </c>
      <c r="CR151" s="1510">
        <v>2092</v>
      </c>
      <c r="CS151" s="1510">
        <v>2093</v>
      </c>
      <c r="CT151" s="1510">
        <v>2094</v>
      </c>
      <c r="CU151" s="1510">
        <v>2095</v>
      </c>
      <c r="CV151" s="1510">
        <v>2096</v>
      </c>
      <c r="CW151" s="1510">
        <v>2097</v>
      </c>
      <c r="CX151" s="1510">
        <v>2098</v>
      </c>
      <c r="CY151" s="1510">
        <v>2099</v>
      </c>
      <c r="CZ151" s="1511">
        <v>2100</v>
      </c>
    </row>
    <row r="152" spans="1:104" x14ac:dyDescent="0.25">
      <c r="A152" s="1512" t="s">
        <v>1090</v>
      </c>
      <c r="B152" s="1513"/>
      <c r="C152" s="1513"/>
      <c r="D152" s="1513"/>
      <c r="E152" s="1513"/>
      <c r="F152" s="1513"/>
      <c r="G152" s="1513"/>
      <c r="H152" s="1513"/>
      <c r="I152" s="1513"/>
      <c r="J152" s="1513"/>
      <c r="K152" s="1513"/>
      <c r="L152" s="1513"/>
      <c r="M152" s="1513"/>
      <c r="N152" s="1513"/>
      <c r="O152" s="1513"/>
      <c r="P152" s="1513"/>
      <c r="Q152" s="1513"/>
      <c r="R152" s="1513"/>
      <c r="S152" s="1513"/>
      <c r="T152" s="1513"/>
      <c r="U152" s="1513"/>
      <c r="V152" s="1513"/>
      <c r="W152" s="1513"/>
      <c r="X152" s="1513"/>
      <c r="Y152" s="1513"/>
      <c r="Z152" s="1513"/>
      <c r="AA152" s="1513"/>
      <c r="AB152" s="1513"/>
      <c r="AC152" s="1513"/>
      <c r="AD152" s="1513"/>
      <c r="AE152" s="1513"/>
      <c r="AF152" s="1513"/>
      <c r="AG152" s="1513"/>
      <c r="AH152" s="1513"/>
      <c r="AI152" s="1513"/>
      <c r="AJ152" s="1513"/>
      <c r="AK152" s="1513"/>
      <c r="AL152" s="1513"/>
      <c r="AM152" s="1513"/>
      <c r="AN152" s="1513"/>
      <c r="AO152" s="1513"/>
      <c r="AP152" s="1513"/>
      <c r="AQ152" s="1513"/>
      <c r="AR152" s="1513"/>
      <c r="AS152" s="1513"/>
      <c r="AT152" s="1513"/>
      <c r="AU152" s="1513"/>
      <c r="AV152" s="1513"/>
      <c r="AW152" s="1513"/>
      <c r="AX152" s="1513"/>
      <c r="AY152" s="1513"/>
      <c r="AZ152" s="1513"/>
      <c r="BA152" s="1513"/>
      <c r="BB152" s="1513"/>
      <c r="BC152" s="1513"/>
      <c r="BD152" s="1513"/>
      <c r="BE152" s="1513"/>
      <c r="BF152" s="1513"/>
      <c r="BG152" s="1513"/>
      <c r="BH152" s="1513"/>
      <c r="BI152" s="1513"/>
      <c r="BJ152" s="1513"/>
      <c r="BK152" s="1513"/>
      <c r="BL152" s="1513"/>
      <c r="BM152" s="1513"/>
      <c r="BN152" s="1513"/>
      <c r="BO152" s="1513"/>
      <c r="BP152" s="1513"/>
      <c r="BQ152" s="1513"/>
      <c r="BR152" s="1513"/>
      <c r="BS152" s="1513"/>
      <c r="BT152" s="1513"/>
      <c r="BU152" s="1513"/>
      <c r="BV152" s="1513"/>
      <c r="BW152" s="1513"/>
      <c r="BX152" s="1513"/>
      <c r="BY152" s="1513"/>
      <c r="BZ152" s="1513"/>
      <c r="CA152" s="1513"/>
      <c r="CB152" s="1513"/>
      <c r="CC152" s="1513"/>
      <c r="CD152" s="1513"/>
      <c r="CE152" s="1513"/>
      <c r="CF152" s="1513"/>
      <c r="CG152" s="1513"/>
      <c r="CH152" s="1513"/>
      <c r="CI152" s="1513"/>
      <c r="CJ152" s="1513"/>
      <c r="CK152" s="1513"/>
      <c r="CL152" s="1513"/>
      <c r="CM152" s="1513"/>
      <c r="CN152" s="1513"/>
      <c r="CO152" s="1513"/>
      <c r="CP152" s="1513"/>
      <c r="CQ152" s="1513"/>
      <c r="CR152" s="1513"/>
      <c r="CS152" s="1513"/>
      <c r="CT152" s="1513"/>
      <c r="CU152" s="1513"/>
      <c r="CV152" s="1513"/>
      <c r="CW152" s="1513"/>
      <c r="CX152" s="1513"/>
      <c r="CY152" s="1513"/>
      <c r="CZ152" s="1514"/>
    </row>
    <row r="153" spans="1:104" x14ac:dyDescent="0.25">
      <c r="A153" s="1512" t="s">
        <v>681</v>
      </c>
      <c r="B153" s="1513"/>
      <c r="C153" s="1513"/>
      <c r="D153" s="1513"/>
      <c r="E153" s="1513"/>
      <c r="F153" s="1513"/>
      <c r="G153" s="1513"/>
      <c r="H153" s="1513">
        <v>13.604875014867702</v>
      </c>
      <c r="I153" s="1513">
        <v>15.571757228276402</v>
      </c>
      <c r="J153" s="1513">
        <v>16.331995797204218</v>
      </c>
      <c r="K153" s="1513">
        <v>15.155672177020728</v>
      </c>
      <c r="L153" s="1513">
        <v>15.783516201764996</v>
      </c>
      <c r="M153" s="1513">
        <v>13.69149010361817</v>
      </c>
      <c r="N153" s="1513">
        <v>12.691188457250465</v>
      </c>
      <c r="O153" s="1513">
        <v>12.04142243701838</v>
      </c>
      <c r="P153" s="1513">
        <v>11.415954621928984</v>
      </c>
      <c r="Q153" s="1513">
        <v>10.886628367710442</v>
      </c>
      <c r="R153" s="1513">
        <v>11.368469484946878</v>
      </c>
      <c r="S153" s="1513">
        <v>9.7183315387998359</v>
      </c>
      <c r="T153" s="1513">
        <v>9.390001099467705</v>
      </c>
      <c r="U153" s="1513">
        <v>10.023002570479671</v>
      </c>
      <c r="V153" s="1513">
        <v>10.033707215541167</v>
      </c>
      <c r="W153" s="1513">
        <v>10.158951752324048</v>
      </c>
      <c r="X153" s="1513">
        <v>10.289627280447673</v>
      </c>
      <c r="Y153" s="1513">
        <v>10.38663350570965</v>
      </c>
      <c r="Z153" s="1513">
        <v>10.458822090960101</v>
      </c>
      <c r="AA153" s="1513">
        <v>10.541361785535555</v>
      </c>
      <c r="AB153" s="1513">
        <v>10.671303703310535</v>
      </c>
      <c r="AC153" s="1513">
        <v>10.821196220864106</v>
      </c>
      <c r="AD153" s="1513">
        <v>10.961130973142659</v>
      </c>
      <c r="AE153" s="1513">
        <v>11.387951919139837</v>
      </c>
      <c r="AF153" s="1513">
        <v>11.524366479125279</v>
      </c>
      <c r="AG153" s="1513">
        <v>11.653679994237272</v>
      </c>
      <c r="AH153" s="1513">
        <v>11.727599293307653</v>
      </c>
      <c r="AI153" s="1513">
        <v>11.827238554162054</v>
      </c>
      <c r="AJ153" s="1513">
        <v>11.877874728924342</v>
      </c>
      <c r="AK153" s="1513">
        <v>11.891573527850655</v>
      </c>
      <c r="AL153" s="1513">
        <v>11.9827791131466</v>
      </c>
      <c r="AM153" s="1513">
        <v>12.163475682807357</v>
      </c>
      <c r="AN153" s="1513">
        <v>12.259449735369497</v>
      </c>
      <c r="AO153" s="1513">
        <v>12.356256919064013</v>
      </c>
      <c r="AP153" s="1513">
        <v>12.41256198723101</v>
      </c>
      <c r="AQ153" s="1513">
        <v>12.490714236969412</v>
      </c>
      <c r="AR153" s="1513">
        <v>12.496378391289182</v>
      </c>
      <c r="AS153" s="1513">
        <v>12.55376491863939</v>
      </c>
      <c r="AT153" s="1513">
        <v>12.651412816002184</v>
      </c>
      <c r="AU153" s="1513">
        <v>12.770777096192051</v>
      </c>
      <c r="AV153" s="1513">
        <v>12.886454368298935</v>
      </c>
      <c r="AW153" s="1513">
        <v>13.010888521557151</v>
      </c>
      <c r="AX153" s="1513">
        <v>13.118997475015544</v>
      </c>
      <c r="AY153" s="1513">
        <v>13.217679440712152</v>
      </c>
      <c r="AZ153" s="1513">
        <v>13.363983523149482</v>
      </c>
      <c r="BA153" s="1513">
        <v>13.453606254075613</v>
      </c>
      <c r="BB153" s="1513">
        <v>13.593337225701765</v>
      </c>
      <c r="BC153" s="1513">
        <v>13.668907227280409</v>
      </c>
      <c r="BD153" s="1513">
        <v>13.744897348292845</v>
      </c>
      <c r="BE153" s="1513">
        <v>13.821309924326409</v>
      </c>
      <c r="BF153" s="1513">
        <v>13.898147303952761</v>
      </c>
      <c r="BG153" s="1513">
        <v>13.975411848800078</v>
      </c>
      <c r="BH153" s="1513">
        <v>14.050424531225174</v>
      </c>
      <c r="BI153" s="1513">
        <v>14.12583984239463</v>
      </c>
      <c r="BJ153" s="1513">
        <v>14.201659943408417</v>
      </c>
      <c r="BK153" s="1513">
        <v>14.277887006966159</v>
      </c>
      <c r="BL153" s="1513">
        <v>14.354523217429389</v>
      </c>
      <c r="BM153" s="1513">
        <v>14.422221698840277</v>
      </c>
      <c r="BN153" s="1513">
        <v>14.490239458315362</v>
      </c>
      <c r="BO153" s="1513">
        <v>14.558578001626712</v>
      </c>
      <c r="BP153" s="1513">
        <v>14.627238841647882</v>
      </c>
      <c r="BQ153" s="1513">
        <v>14.696223498387408</v>
      </c>
      <c r="BR153" s="1513">
        <v>14.75529333521281</v>
      </c>
      <c r="BS153" s="1513">
        <v>14.814600596681556</v>
      </c>
      <c r="BT153" s="1513">
        <v>14.874146237095607</v>
      </c>
      <c r="BU153" s="1513">
        <v>14.933931214592636</v>
      </c>
      <c r="BV153" s="1513">
        <v>14.993956491161448</v>
      </c>
      <c r="BW153" s="1513">
        <v>15.043740835540882</v>
      </c>
      <c r="BX153" s="1513">
        <v>15.093690478582264</v>
      </c>
      <c r="BY153" s="1513">
        <v>15.143805969125756</v>
      </c>
      <c r="BZ153" s="1513">
        <v>15.19408785783383</v>
      </c>
      <c r="CA153" s="1513">
        <v>15.244536697197322</v>
      </c>
      <c r="CB153" s="1513">
        <v>15.277067444573643</v>
      </c>
      <c r="CC153" s="1513">
        <v>15.309667610230484</v>
      </c>
      <c r="CD153" s="1513">
        <v>15.342337342301477</v>
      </c>
      <c r="CE153" s="1513">
        <v>15.375076789236356</v>
      </c>
      <c r="CF153" s="1513">
        <v>15.407886099801638</v>
      </c>
      <c r="CG153" s="1513">
        <v>15.41853907481957</v>
      </c>
      <c r="CH153" s="1513">
        <v>15.42919941527855</v>
      </c>
      <c r="CI153" s="1513">
        <v>15.439867126271025</v>
      </c>
      <c r="CJ153" s="1513">
        <v>15.450542212892964</v>
      </c>
      <c r="CK153" s="1513">
        <v>15.461224680243861</v>
      </c>
      <c r="CL153" s="1513">
        <v>15.464845562477739</v>
      </c>
      <c r="CM153" s="1513">
        <v>15.468467292690251</v>
      </c>
      <c r="CN153" s="1513">
        <v>15.472089871079984</v>
      </c>
      <c r="CO153" s="1513">
        <v>15.475713297845573</v>
      </c>
      <c r="CP153" s="1513">
        <v>15.479337573185701</v>
      </c>
      <c r="CQ153" s="1513">
        <v>15.484830510437597</v>
      </c>
      <c r="CR153" s="1513">
        <v>15.490325396891745</v>
      </c>
      <c r="CS153" s="1513">
        <v>15.49582223323983</v>
      </c>
      <c r="CT153" s="1513">
        <v>15.501321020173785</v>
      </c>
      <c r="CU153" s="1513">
        <v>15.506821758385787</v>
      </c>
      <c r="CV153" s="1513">
        <v>15.515287417782641</v>
      </c>
      <c r="CW153" s="1513">
        <v>15.523757698847955</v>
      </c>
      <c r="CX153" s="1513">
        <v>15.532232604104841</v>
      </c>
      <c r="CY153" s="1513">
        <v>15.540712136077792</v>
      </c>
      <c r="CZ153" s="1514">
        <v>15.549196297292674</v>
      </c>
    </row>
    <row r="154" spans="1:104" x14ac:dyDescent="0.25">
      <c r="A154" s="1512" t="s">
        <v>1085</v>
      </c>
      <c r="B154" s="1513"/>
      <c r="C154" s="1513"/>
      <c r="D154" s="1513"/>
      <c r="E154" s="1513"/>
      <c r="F154" s="1513"/>
      <c r="G154" s="1513"/>
      <c r="H154" s="1513">
        <v>11.934322920018829</v>
      </c>
      <c r="I154" s="1513">
        <v>13.90423046997279</v>
      </c>
      <c r="J154" s="1513">
        <v>14.274140536522257</v>
      </c>
      <c r="K154" s="1513">
        <v>13.139550648884942</v>
      </c>
      <c r="L154" s="1513">
        <v>13.897221248926272</v>
      </c>
      <c r="M154" s="1513">
        <v>11.345666428533674</v>
      </c>
      <c r="N154" s="1513">
        <v>10.551848524158197</v>
      </c>
      <c r="O154" s="1513">
        <v>9.7270239269114924</v>
      </c>
      <c r="P154" s="1513">
        <v>8.6825570363966911</v>
      </c>
      <c r="Q154" s="1513">
        <v>8.5236392646415098</v>
      </c>
      <c r="R154" s="1513">
        <v>9.2232797097563566</v>
      </c>
      <c r="S154" s="1513">
        <v>7.6085885488542795</v>
      </c>
      <c r="T154" s="1513">
        <v>6.813801352724405</v>
      </c>
      <c r="U154" s="1513">
        <v>7.4731047451509687</v>
      </c>
      <c r="V154" s="1513">
        <v>7.9843107853990691</v>
      </c>
      <c r="W154" s="1513">
        <v>8.5650780622071245</v>
      </c>
      <c r="X154" s="1513">
        <v>9.1477570858798014</v>
      </c>
      <c r="Y154" s="1513">
        <v>9.2514909161219876</v>
      </c>
      <c r="Z154" s="1513">
        <v>9.3094669856386769</v>
      </c>
      <c r="AA154" s="1513">
        <v>9.3761326413005577</v>
      </c>
      <c r="AB154" s="1513">
        <v>9.4891655040111615</v>
      </c>
      <c r="AC154" s="1513">
        <v>9.6143446414218783</v>
      </c>
      <c r="AD154" s="1513">
        <v>9.7258827967425425</v>
      </c>
      <c r="AE154" s="1513">
        <v>10.087086372666475</v>
      </c>
      <c r="AF154" s="1513">
        <v>10.198695614261233</v>
      </c>
      <c r="AG154" s="1513">
        <v>10.304737378868989</v>
      </c>
      <c r="AH154" s="1513">
        <v>10.357640731866367</v>
      </c>
      <c r="AI154" s="1513">
        <v>10.427655972763532</v>
      </c>
      <c r="AJ154" s="1513">
        <v>10.453569289213085</v>
      </c>
      <c r="AK154" s="1513">
        <v>10.441948105124277</v>
      </c>
      <c r="AL154" s="1513">
        <v>10.506270757192036</v>
      </c>
      <c r="AM154" s="1513">
        <v>10.658282593530579</v>
      </c>
      <c r="AN154" s="1513">
        <v>10.722901912315555</v>
      </c>
      <c r="AO154" s="1513">
        <v>10.786351624937444</v>
      </c>
      <c r="AP154" s="1513">
        <v>10.817805879498341</v>
      </c>
      <c r="AQ154" s="1513">
        <v>10.86596540847121</v>
      </c>
      <c r="AR154" s="1513">
        <v>10.838793391061706</v>
      </c>
      <c r="AS154" s="1513">
        <v>10.868085675073171</v>
      </c>
      <c r="AT154" s="1513">
        <v>10.937640276914211</v>
      </c>
      <c r="AU154" s="1513">
        <v>11.027299024885883</v>
      </c>
      <c r="AV154" s="1513">
        <v>11.114692490256441</v>
      </c>
      <c r="AW154" s="1513">
        <v>11.212257927541287</v>
      </c>
      <c r="AX154" s="1513">
        <v>11.293368314098968</v>
      </c>
      <c r="AY154" s="1513">
        <v>11.35816487466068</v>
      </c>
      <c r="AZ154" s="1513">
        <v>11.46581792814789</v>
      </c>
      <c r="BA154" s="1513">
        <v>11.521194135666732</v>
      </c>
      <c r="BB154" s="1513">
        <v>11.628119265707223</v>
      </c>
      <c r="BC154" s="1513">
        <v>11.692763949840026</v>
      </c>
      <c r="BD154" s="1513">
        <v>11.757768015837698</v>
      </c>
      <c r="BE154" s="1513">
        <v>11.823133461626696</v>
      </c>
      <c r="BF154" s="1513">
        <v>11.888862296240635</v>
      </c>
      <c r="BG154" s="1513">
        <v>11.954956539882032</v>
      </c>
      <c r="BH154" s="1513">
        <v>12.019124477688386</v>
      </c>
      <c r="BI154" s="1513">
        <v>12.083636835336717</v>
      </c>
      <c r="BJ154" s="1513">
        <v>12.148495461492134</v>
      </c>
      <c r="BK154" s="1513">
        <v>12.213702214742405</v>
      </c>
      <c r="BL154" s="1513">
        <v>12.279258963651227</v>
      </c>
      <c r="BM154" s="1513">
        <v>12.337170130194249</v>
      </c>
      <c r="BN154" s="1513">
        <v>12.395354416085945</v>
      </c>
      <c r="BO154" s="1513">
        <v>12.453813109405683</v>
      </c>
      <c r="BP154" s="1513">
        <v>12.512547504307637</v>
      </c>
      <c r="BQ154" s="1513">
        <v>12.571558901049444</v>
      </c>
      <c r="BR154" s="1513">
        <v>12.622088884688262</v>
      </c>
      <c r="BS154" s="1513">
        <v>12.672821967979766</v>
      </c>
      <c r="BT154" s="1513">
        <v>12.723758967260437</v>
      </c>
      <c r="BU154" s="1513">
        <v>12.774900702147928</v>
      </c>
      <c r="BV154" s="1513">
        <v>12.826247995554251</v>
      </c>
      <c r="BW154" s="1513">
        <v>12.868834910334423</v>
      </c>
      <c r="BX154" s="1513">
        <v>12.911563226193937</v>
      </c>
      <c r="BY154" s="1513">
        <v>12.954433412625956</v>
      </c>
      <c r="BZ154" s="1513">
        <v>12.997445940682496</v>
      </c>
      <c r="CA154" s="1513">
        <v>13.040601282979605</v>
      </c>
      <c r="CB154" s="1513">
        <v>13.06842899033459</v>
      </c>
      <c r="CC154" s="1513">
        <v>13.096316080020177</v>
      </c>
      <c r="CD154" s="1513">
        <v>13.124262678753999</v>
      </c>
      <c r="CE154" s="1513">
        <v>13.152268913524093</v>
      </c>
      <c r="CF154" s="1513">
        <v>13.180334911589481</v>
      </c>
      <c r="CG154" s="1513">
        <v>13.189447763127433</v>
      </c>
      <c r="CH154" s="1513">
        <v>13.198566915268799</v>
      </c>
      <c r="CI154" s="1513">
        <v>13.207692372369801</v>
      </c>
      <c r="CJ154" s="1513">
        <v>13.216824138789674</v>
      </c>
      <c r="CK154" s="1513">
        <v>13.225962218890665</v>
      </c>
      <c r="CL154" s="1513">
        <v>13.22905962240266</v>
      </c>
      <c r="CM154" s="1513">
        <v>13.232157751299196</v>
      </c>
      <c r="CN154" s="1513">
        <v>13.23525660575015</v>
      </c>
      <c r="CO154" s="1513">
        <v>13.23835618592544</v>
      </c>
      <c r="CP154" s="1513">
        <v>13.241456491995026</v>
      </c>
      <c r="CQ154" s="1513">
        <v>13.246155303510076</v>
      </c>
      <c r="CR154" s="1513">
        <v>13.250855782427021</v>
      </c>
      <c r="CS154" s="1513">
        <v>13.255557929337549</v>
      </c>
      <c r="CT154" s="1513">
        <v>13.260261744833558</v>
      </c>
      <c r="CU154" s="1513">
        <v>13.264967229507157</v>
      </c>
      <c r="CV154" s="1513">
        <v>13.272208990341527</v>
      </c>
      <c r="CW154" s="1513">
        <v>13.279454704679821</v>
      </c>
      <c r="CX154" s="1513">
        <v>13.286704374680379</v>
      </c>
      <c r="CY154" s="1513">
        <v>13.293958002502723</v>
      </c>
      <c r="CZ154" s="1514">
        <v>13.30121559030755</v>
      </c>
    </row>
    <row r="155" spans="1:104" x14ac:dyDescent="0.25">
      <c r="A155" s="1512" t="s">
        <v>283</v>
      </c>
      <c r="B155" s="1513"/>
      <c r="C155" s="1513"/>
      <c r="D155" s="1513"/>
      <c r="E155" s="1513"/>
      <c r="F155" s="1513"/>
      <c r="G155" s="1513"/>
      <c r="H155" s="1513">
        <v>8.2641705904266125</v>
      </c>
      <c r="I155" s="1513">
        <v>10.495609596381577</v>
      </c>
      <c r="J155" s="1513">
        <v>9.3614571685358463</v>
      </c>
      <c r="K155" s="1513">
        <v>8.8987432965993278</v>
      </c>
      <c r="L155" s="1513">
        <v>10.965509816201024</v>
      </c>
      <c r="M155" s="1513">
        <v>6.0111731674040234</v>
      </c>
      <c r="N155" s="1513">
        <v>6.1171751211856922</v>
      </c>
      <c r="O155" s="1513">
        <v>5.6004077154944953</v>
      </c>
      <c r="P155" s="1513">
        <v>4.1590520124961925</v>
      </c>
      <c r="Q155" s="1513">
        <v>4.894763142071362</v>
      </c>
      <c r="R155" s="1513">
        <v>5.8241384234641265</v>
      </c>
      <c r="S155" s="1513">
        <v>3.5390282601113117</v>
      </c>
      <c r="T155" s="1513">
        <v>3.3168400539876552</v>
      </c>
      <c r="U155" s="1513">
        <v>3.8686572087168831</v>
      </c>
      <c r="V155" s="1513">
        <v>4.230424735748624</v>
      </c>
      <c r="W155" s="1513">
        <v>4.6374903322667231</v>
      </c>
      <c r="X155" s="1513">
        <v>5.0398775041324821</v>
      </c>
      <c r="Y155" s="1513">
        <v>5.0452222441273262</v>
      </c>
      <c r="Z155" s="1513">
        <v>4.9894479534735598</v>
      </c>
      <c r="AA155" s="1513">
        <v>5.0008757828968315</v>
      </c>
      <c r="AB155" s="1513">
        <v>5.0866427943161305</v>
      </c>
      <c r="AC155" s="1513">
        <v>5.1985543895300337</v>
      </c>
      <c r="AD155" s="1513">
        <v>5.3142743134013735</v>
      </c>
      <c r="AE155" s="1513">
        <v>5.4069765017212355</v>
      </c>
      <c r="AF155" s="1513">
        <v>5.498883471588238</v>
      </c>
      <c r="AG155" s="1513">
        <v>5.5761078084954727</v>
      </c>
      <c r="AH155" s="1513">
        <v>5.5953977798334869</v>
      </c>
      <c r="AI155" s="1513">
        <v>5.6194116710392619</v>
      </c>
      <c r="AJ155" s="1513">
        <v>5.6053299540498323</v>
      </c>
      <c r="AK155" s="1513">
        <v>5.5496627667157004</v>
      </c>
      <c r="AL155" s="1513">
        <v>5.5482476759527453</v>
      </c>
      <c r="AM155" s="1513">
        <v>5.6344516310034729</v>
      </c>
      <c r="AN155" s="1513">
        <v>5.6381945602887429</v>
      </c>
      <c r="AO155" s="1513">
        <v>5.6485162872871211</v>
      </c>
      <c r="AP155" s="1513">
        <v>5.6430123140383071</v>
      </c>
      <c r="AQ155" s="1513">
        <v>5.6644386648670784</v>
      </c>
      <c r="AR155" s="1513">
        <v>5.6215300420072483</v>
      </c>
      <c r="AS155" s="1513">
        <v>5.6260767200982693</v>
      </c>
      <c r="AT155" s="1513">
        <v>5.6802473044084865</v>
      </c>
      <c r="AU155" s="1513">
        <v>5.7631623345111542</v>
      </c>
      <c r="AV155" s="1513">
        <v>5.819991545472468</v>
      </c>
      <c r="AW155" s="1513">
        <v>5.8947240715184783</v>
      </c>
      <c r="AX155" s="1513">
        <v>5.9518546882819487</v>
      </c>
      <c r="AY155" s="1513">
        <v>6.0145186606208574</v>
      </c>
      <c r="AZ155" s="1513">
        <v>6.1247620979360331</v>
      </c>
      <c r="BA155" s="1513">
        <v>6.1606322318436177</v>
      </c>
      <c r="BB155" s="1513">
        <v>6.238633778680942</v>
      </c>
      <c r="BC155" s="1513">
        <v>6.2733164733478626</v>
      </c>
      <c r="BD155" s="1513">
        <v>6.3081919809530058</v>
      </c>
      <c r="BE155" s="1513">
        <v>6.3432613734093088</v>
      </c>
      <c r="BF155" s="1513">
        <v>6.3785257285888406</v>
      </c>
      <c r="BG155" s="1513">
        <v>6.4139861303559274</v>
      </c>
      <c r="BH155" s="1513">
        <v>6.4484130445592944</v>
      </c>
      <c r="BI155" s="1513">
        <v>6.4830247443854354</v>
      </c>
      <c r="BJ155" s="1513">
        <v>6.5178222216666768</v>
      </c>
      <c r="BK155" s="1513">
        <v>6.5528064735589808</v>
      </c>
      <c r="BL155" s="1513">
        <v>6.5879785025705191</v>
      </c>
      <c r="BM155" s="1513">
        <v>6.6190485794679574</v>
      </c>
      <c r="BN155" s="1513">
        <v>6.6502651883672899</v>
      </c>
      <c r="BO155" s="1513">
        <v>6.6816290203394662</v>
      </c>
      <c r="BP155" s="1513">
        <v>6.7131407697146503</v>
      </c>
      <c r="BQ155" s="1513">
        <v>6.7448011340975915</v>
      </c>
      <c r="BR155" s="1513">
        <v>6.7719111125525773</v>
      </c>
      <c r="BS155" s="1513">
        <v>6.7991300565526132</v>
      </c>
      <c r="BT155" s="1513">
        <v>6.8264584040725946</v>
      </c>
      <c r="BU155" s="1513">
        <v>6.8538965948478108</v>
      </c>
      <c r="BV155" s="1513">
        <v>6.8814450703810159</v>
      </c>
      <c r="BW155" s="1513">
        <v>6.904293491437457</v>
      </c>
      <c r="BX155" s="1513">
        <v>6.9272177759701634</v>
      </c>
      <c r="BY155" s="1513">
        <v>6.9502181758681845</v>
      </c>
      <c r="BZ155" s="1513">
        <v>6.9732949438569127</v>
      </c>
      <c r="CA155" s="1513">
        <v>6.996448333500866</v>
      </c>
      <c r="CB155" s="1513">
        <v>7.0113782521851409</v>
      </c>
      <c r="CC155" s="1513">
        <v>7.0263400302445289</v>
      </c>
      <c r="CD155" s="1513">
        <v>7.0413337356646508</v>
      </c>
      <c r="CE155" s="1513">
        <v>7.0563594365762032</v>
      </c>
      <c r="CF155" s="1513">
        <v>7.0714172012552687</v>
      </c>
      <c r="CG155" s="1513">
        <v>7.0763063619291211</v>
      </c>
      <c r="CH155" s="1513">
        <v>7.0811989029567863</v>
      </c>
      <c r="CI155" s="1513">
        <v>7.0860948266754322</v>
      </c>
      <c r="CJ155" s="1513">
        <v>7.090994135423843</v>
      </c>
      <c r="CK155" s="1513">
        <v>7.0958968315424205</v>
      </c>
      <c r="CL155" s="1513">
        <v>7.0975586278944007</v>
      </c>
      <c r="CM155" s="1513">
        <v>7.0992208134244059</v>
      </c>
      <c r="CN155" s="1513">
        <v>7.1008833882235782</v>
      </c>
      <c r="CO155" s="1513">
        <v>7.1025463523830812</v>
      </c>
      <c r="CP155" s="1513">
        <v>7.1042097059940996</v>
      </c>
      <c r="CQ155" s="1513">
        <v>7.1067306780935082</v>
      </c>
      <c r="CR155" s="1513">
        <v>7.1092525447752264</v>
      </c>
      <c r="CS155" s="1513">
        <v>7.1117753063567024</v>
      </c>
      <c r="CT155" s="1513">
        <v>7.1142989631554965</v>
      </c>
      <c r="CU155" s="1513">
        <v>7.1168235154892816</v>
      </c>
      <c r="CV155" s="1513">
        <v>7.1207088122192239</v>
      </c>
      <c r="CW155" s="1513">
        <v>7.1245962300542702</v>
      </c>
      <c r="CX155" s="1513">
        <v>7.1284857701523974</v>
      </c>
      <c r="CY155" s="1513">
        <v>7.1323774336722154</v>
      </c>
      <c r="CZ155" s="1514">
        <v>7.1362712217729669</v>
      </c>
    </row>
    <row r="156" spans="1:104" x14ac:dyDescent="0.25">
      <c r="A156" s="1512" t="s">
        <v>1086</v>
      </c>
      <c r="B156" s="1513"/>
      <c r="C156" s="1513"/>
      <c r="D156" s="1513"/>
      <c r="E156" s="1513"/>
      <c r="F156" s="1513"/>
      <c r="G156" s="1513"/>
      <c r="H156" s="1513">
        <v>8.4160389626855991</v>
      </c>
      <c r="I156" s="1513">
        <v>10.630483084185546</v>
      </c>
      <c r="J156" s="1513">
        <v>10.241695834954719</v>
      </c>
      <c r="K156" s="1513">
        <v>9.4549147526367854</v>
      </c>
      <c r="L156" s="1513">
        <v>10.431438353650302</v>
      </c>
      <c r="M156" s="1513">
        <v>7.3081429877632402</v>
      </c>
      <c r="N156" s="1513">
        <v>6.8860004096407268</v>
      </c>
      <c r="O156" s="1513">
        <v>6.1462564207083838</v>
      </c>
      <c r="P156" s="1513">
        <v>5.0701845410069568</v>
      </c>
      <c r="Q156" s="1513">
        <v>5.147940545971605</v>
      </c>
      <c r="R156" s="1513">
        <v>5.9174075441245835</v>
      </c>
      <c r="S156" s="1513">
        <v>4.3672641892083037</v>
      </c>
      <c r="T156" s="1513">
        <v>3.755553639162041</v>
      </c>
      <c r="U156" s="1513">
        <v>3.3468214009493336</v>
      </c>
      <c r="V156" s="1513">
        <v>3.6078009129373227</v>
      </c>
      <c r="W156" s="1513">
        <v>3.9595869792693468</v>
      </c>
      <c r="X156" s="1513">
        <v>4.2992239274502966</v>
      </c>
      <c r="Y156" s="1513">
        <v>4.3362295461094007</v>
      </c>
      <c r="Z156" s="1513">
        <v>4.2972619462853157</v>
      </c>
      <c r="AA156" s="1513">
        <v>4.3209431537283329</v>
      </c>
      <c r="AB156" s="1513">
        <v>4.4388231525151278</v>
      </c>
      <c r="AC156" s="1513">
        <v>4.5598555906037213</v>
      </c>
      <c r="AD156" s="1513">
        <v>4.6705511366221319</v>
      </c>
      <c r="AE156" s="1513">
        <v>4.7905826799714895</v>
      </c>
      <c r="AF156" s="1513">
        <v>4.8909868291351355</v>
      </c>
      <c r="AG156" s="1513">
        <v>4.9795195705251665</v>
      </c>
      <c r="AH156" s="1513">
        <v>5.0140428564929254</v>
      </c>
      <c r="AI156" s="1513">
        <v>5.034241784322349</v>
      </c>
      <c r="AJ156" s="1513">
        <v>5.0303794300966009</v>
      </c>
      <c r="AK156" s="1513">
        <v>4.9817061843162831</v>
      </c>
      <c r="AL156" s="1513">
        <v>5.005816752854825</v>
      </c>
      <c r="AM156" s="1513">
        <v>5.1117353012541518</v>
      </c>
      <c r="AN156" s="1513">
        <v>5.1218001698488047</v>
      </c>
      <c r="AO156" s="1513">
        <v>5.1563490468752367</v>
      </c>
      <c r="AP156" s="1513">
        <v>5.1654177598155924</v>
      </c>
      <c r="AQ156" s="1513">
        <v>5.1952502995101684</v>
      </c>
      <c r="AR156" s="1513">
        <v>5.1548078964528896</v>
      </c>
      <c r="AS156" s="1513">
        <v>5.1691436283950809</v>
      </c>
      <c r="AT156" s="1513">
        <v>5.2239208155775625</v>
      </c>
      <c r="AU156" s="1513">
        <v>5.3036701369405987</v>
      </c>
      <c r="AV156" s="1513">
        <v>5.3698761013633396</v>
      </c>
      <c r="AW156" s="1513">
        <v>5.4477553798092231</v>
      </c>
      <c r="AX156" s="1513">
        <v>5.5105548899774046</v>
      </c>
      <c r="AY156" s="1513">
        <v>5.5735610242489493</v>
      </c>
      <c r="AZ156" s="1513">
        <v>5.6745566112130543</v>
      </c>
      <c r="BA156" s="1513">
        <v>5.7069198222653581</v>
      </c>
      <c r="BB156" s="1513">
        <v>5.8107835034348891</v>
      </c>
      <c r="BC156" s="1513">
        <v>5.8430876323795795</v>
      </c>
      <c r="BD156" s="1513">
        <v>5.8755713510037442</v>
      </c>
      <c r="BE156" s="1513">
        <v>5.9082356577077126</v>
      </c>
      <c r="BF156" s="1513">
        <v>5.9410815564422617</v>
      </c>
      <c r="BG156" s="1513">
        <v>5.974110056739474</v>
      </c>
      <c r="BH156" s="1513">
        <v>6.006175946840397</v>
      </c>
      <c r="BI156" s="1513">
        <v>6.0384139498247791</v>
      </c>
      <c r="BJ156" s="1513">
        <v>6.0708249895043265</v>
      </c>
      <c r="BK156" s="1513">
        <v>6.1034099946492821</v>
      </c>
      <c r="BL156" s="1513">
        <v>6.1361698990150408</v>
      </c>
      <c r="BM156" s="1513">
        <v>6.1651091662794615</v>
      </c>
      <c r="BN156" s="1513">
        <v>6.1941849162690321</v>
      </c>
      <c r="BO156" s="1513">
        <v>6.2233977926605295</v>
      </c>
      <c r="BP156" s="1513">
        <v>6.2527484421664239</v>
      </c>
      <c r="BQ156" s="1513">
        <v>6.2822375145491964</v>
      </c>
      <c r="BR156" s="1513">
        <v>6.3074882699506478</v>
      </c>
      <c r="BS156" s="1513">
        <v>6.3328405179567433</v>
      </c>
      <c r="BT156" s="1513">
        <v>6.3582946665057261</v>
      </c>
      <c r="BU156" s="1513">
        <v>6.3838511251755019</v>
      </c>
      <c r="BV156" s="1513">
        <v>6.4095103051902287</v>
      </c>
      <c r="BW156" s="1513">
        <v>6.4307917640583545</v>
      </c>
      <c r="BX156" s="1513">
        <v>6.4521438836275307</v>
      </c>
      <c r="BY156" s="1513">
        <v>6.473566898512062</v>
      </c>
      <c r="BZ156" s="1513">
        <v>6.4950610441052419</v>
      </c>
      <c r="CA156" s="1513">
        <v>6.5166265565819383</v>
      </c>
      <c r="CB156" s="1513">
        <v>6.5305325700258869</v>
      </c>
      <c r="CC156" s="1513">
        <v>6.5444682579046409</v>
      </c>
      <c r="CD156" s="1513">
        <v>6.5584336835413142</v>
      </c>
      <c r="CE156" s="1513">
        <v>6.5724289103941489</v>
      </c>
      <c r="CF156" s="1513">
        <v>6.5864540020568016</v>
      </c>
      <c r="CG156" s="1513">
        <v>6.5910078603528843</v>
      </c>
      <c r="CH156" s="1513">
        <v>6.5955648671755291</v>
      </c>
      <c r="CI156" s="1513">
        <v>6.6001250247016205</v>
      </c>
      <c r="CJ156" s="1513">
        <v>6.6046883351095476</v>
      </c>
      <c r="CK156" s="1513">
        <v>6.6092548005792047</v>
      </c>
      <c r="CL156" s="1513">
        <v>6.6108026296665843</v>
      </c>
      <c r="CM156" s="1513">
        <v>6.6123508212418631</v>
      </c>
      <c r="CN156" s="1513">
        <v>6.6138993753899316</v>
      </c>
      <c r="CO156" s="1513">
        <v>6.6154482921957012</v>
      </c>
      <c r="CP156" s="1513">
        <v>6.6169975717441041</v>
      </c>
      <c r="CQ156" s="1513">
        <v>6.6193456536491393</v>
      </c>
      <c r="CR156" s="1513">
        <v>6.6216945687853457</v>
      </c>
      <c r="CS156" s="1513">
        <v>6.6240443174483996</v>
      </c>
      <c r="CT156" s="1513">
        <v>6.6263948999340831</v>
      </c>
      <c r="CU156" s="1513">
        <v>6.6287463165382841</v>
      </c>
      <c r="CV156" s="1513">
        <v>6.6323651566473876</v>
      </c>
      <c r="CW156" s="1513">
        <v>6.6359859723945851</v>
      </c>
      <c r="CX156" s="1513">
        <v>6.6396087648584388</v>
      </c>
      <c r="CY156" s="1513">
        <v>6.6432335351180996</v>
      </c>
      <c r="CZ156" s="1514">
        <v>6.6468602842533091</v>
      </c>
    </row>
    <row r="157" spans="1:104" x14ac:dyDescent="0.25">
      <c r="A157" s="1512" t="s">
        <v>1081</v>
      </c>
      <c r="B157" s="1513"/>
      <c r="C157" s="1513"/>
      <c r="D157" s="1513"/>
      <c r="E157" s="1513"/>
      <c r="F157" s="1513"/>
      <c r="G157" s="1513"/>
      <c r="H157" s="1513">
        <v>5.0967849132778742</v>
      </c>
      <c r="I157" s="1513">
        <v>5.0967849132778742</v>
      </c>
      <c r="J157" s="1513">
        <v>5.0967849132778742</v>
      </c>
      <c r="K157" s="1513">
        <v>5.0967849132778742</v>
      </c>
      <c r="L157" s="1513">
        <v>5.0967849132778742</v>
      </c>
      <c r="M157" s="1513">
        <v>5.0967849132778742</v>
      </c>
      <c r="N157" s="1513">
        <v>5.0967849132778742</v>
      </c>
      <c r="O157" s="1513">
        <v>5.0967849132778742</v>
      </c>
      <c r="P157" s="1513">
        <v>5.0967849132778742</v>
      </c>
      <c r="Q157" s="1513">
        <v>5.0967849132778742</v>
      </c>
      <c r="R157" s="1513">
        <v>5.0967849132778742</v>
      </c>
      <c r="S157" s="1513">
        <v>5.0967849132778742</v>
      </c>
      <c r="T157" s="1513">
        <v>5.0967849132778742</v>
      </c>
      <c r="U157" s="1513">
        <v>5.0967849132778742</v>
      </c>
      <c r="V157" s="1513">
        <v>5.0967849132778742</v>
      </c>
      <c r="W157" s="1513">
        <v>5.0967849132778742</v>
      </c>
      <c r="X157" s="1513">
        <v>5.0967849132778742</v>
      </c>
      <c r="Y157" s="1513">
        <v>5.0967849132778742</v>
      </c>
      <c r="Z157" s="1513">
        <v>5.0967849132778742</v>
      </c>
      <c r="AA157" s="1513">
        <v>5.0967849132778742</v>
      </c>
      <c r="AB157" s="1513">
        <v>5.0967849132778742</v>
      </c>
      <c r="AC157" s="1513">
        <v>5.0967849132778742</v>
      </c>
      <c r="AD157" s="1513">
        <v>5.0967849132778742</v>
      </c>
      <c r="AE157" s="1513">
        <v>5.0967849132778742</v>
      </c>
      <c r="AF157" s="1513">
        <v>5.0967849132778742</v>
      </c>
      <c r="AG157" s="1513">
        <v>5.0967849132778742</v>
      </c>
      <c r="AH157" s="1513">
        <v>5.0967849132778742</v>
      </c>
      <c r="AI157" s="1513">
        <v>5.0967849132778742</v>
      </c>
      <c r="AJ157" s="1513">
        <v>5.0967849132778742</v>
      </c>
      <c r="AK157" s="1513">
        <v>5.0967849132778742</v>
      </c>
      <c r="AL157" s="1513">
        <v>5.0967849132778742</v>
      </c>
      <c r="AM157" s="1513">
        <v>5.0967849132778742</v>
      </c>
      <c r="AN157" s="1513">
        <v>5.0967849132778742</v>
      </c>
      <c r="AO157" s="1513">
        <v>5.0967849132778742</v>
      </c>
      <c r="AP157" s="1513">
        <v>5.0967849132778742</v>
      </c>
      <c r="AQ157" s="1513">
        <v>5.0967849132778742</v>
      </c>
      <c r="AR157" s="1513">
        <v>5.0967849132778742</v>
      </c>
      <c r="AS157" s="1513">
        <v>5.0967849132778742</v>
      </c>
      <c r="AT157" s="1513">
        <v>5.0967849132778742</v>
      </c>
      <c r="AU157" s="1513">
        <v>5.0967849132778742</v>
      </c>
      <c r="AV157" s="1513">
        <v>5.0967849132778742</v>
      </c>
      <c r="AW157" s="1513">
        <v>5.0967849132778742</v>
      </c>
      <c r="AX157" s="1513">
        <v>5.0967849132778742</v>
      </c>
      <c r="AY157" s="1513">
        <v>5.0967849132778742</v>
      </c>
      <c r="AZ157" s="1513">
        <v>5.0967849132778742</v>
      </c>
      <c r="BA157" s="1513">
        <v>5.0967849132778742</v>
      </c>
      <c r="BB157" s="1513">
        <v>5.0967849132778742</v>
      </c>
      <c r="BC157" s="1513">
        <v>5.1179587571540939</v>
      </c>
      <c r="BD157" s="1513">
        <v>5.1392205646528959</v>
      </c>
      <c r="BE157" s="1513">
        <v>5.1605707012062227</v>
      </c>
      <c r="BF157" s="1513">
        <v>5.1820095337641501</v>
      </c>
      <c r="BG157" s="1513">
        <v>5.2035374308011946</v>
      </c>
      <c r="BH157" s="1513">
        <v>5.2223240063357927</v>
      </c>
      <c r="BI157" s="1513">
        <v>5.2411784079262249</v>
      </c>
      <c r="BJ157" s="1513">
        <v>5.2601008804480855</v>
      </c>
      <c r="BK157" s="1513">
        <v>5.2790916696610548</v>
      </c>
      <c r="BL157" s="1513">
        <v>5.2981510222120916</v>
      </c>
      <c r="BM157" s="1513">
        <v>5.3113630812048802</v>
      </c>
      <c r="BN157" s="1513">
        <v>5.3246080872582748</v>
      </c>
      <c r="BO157" s="1513">
        <v>5.3378861225327325</v>
      </c>
      <c r="BP157" s="1513">
        <v>5.3511972693935945</v>
      </c>
      <c r="BQ157" s="1513">
        <v>5.3645416104115968</v>
      </c>
      <c r="BR157" s="1513">
        <v>5.3779717491778074</v>
      </c>
      <c r="BS157" s="1513">
        <v>5.3914355103185612</v>
      </c>
      <c r="BT157" s="1513">
        <v>5.4049329780075288</v>
      </c>
      <c r="BU157" s="1513">
        <v>5.4184642366291094</v>
      </c>
      <c r="BV157" s="1513">
        <v>5.4320293707789578</v>
      </c>
      <c r="BW157" s="1513">
        <v>5.4450858323773135</v>
      </c>
      <c r="BX157" s="1513">
        <v>5.458173676572823</v>
      </c>
      <c r="BY157" s="1513">
        <v>5.471292978796904</v>
      </c>
      <c r="BZ157" s="1513">
        <v>5.4844438146622805</v>
      </c>
      <c r="CA157" s="1513">
        <v>5.4976262599634209</v>
      </c>
      <c r="CB157" s="1513">
        <v>5.509165721372697</v>
      </c>
      <c r="CC157" s="1513">
        <v>5.5207294039936956</v>
      </c>
      <c r="CD157" s="1513">
        <v>5.5323173586664938</v>
      </c>
      <c r="CE157" s="1513">
        <v>5.5439296363378796</v>
      </c>
      <c r="CF157" s="1513">
        <v>5.5555662880615797</v>
      </c>
      <c r="CG157" s="1513">
        <v>5.5698816197819898</v>
      </c>
      <c r="CH157" s="1513">
        <v>5.5842338386011479</v>
      </c>
      <c r="CI157" s="1513">
        <v>5.598623039568059</v>
      </c>
      <c r="CJ157" s="1513">
        <v>5.6130493179766479</v>
      </c>
      <c r="CK157" s="1513">
        <v>5.6275127693663878</v>
      </c>
      <c r="CL157" s="1513">
        <v>5.6395580019552014</v>
      </c>
      <c r="CM157" s="1513">
        <v>5.6516290163830023</v>
      </c>
      <c r="CN157" s="1513">
        <v>5.6637258678337163</v>
      </c>
      <c r="CO157" s="1513">
        <v>5.6758486116093856</v>
      </c>
      <c r="CP157" s="1513">
        <v>5.6879973031304223</v>
      </c>
      <c r="CQ157" s="1513">
        <v>5.6991168854631553</v>
      </c>
      <c r="CR157" s="1513">
        <v>5.7102582056949531</v>
      </c>
      <c r="CS157" s="1513">
        <v>5.7214213063216786</v>
      </c>
      <c r="CT157" s="1513">
        <v>5.732606229922272</v>
      </c>
      <c r="CU157" s="1513">
        <v>5.7438130191589121</v>
      </c>
      <c r="CV157" s="1513">
        <v>5.7570440466225028</v>
      </c>
      <c r="CW157" s="1513">
        <v>5.7703055521130002</v>
      </c>
      <c r="CX157" s="1513">
        <v>5.7835976058373566</v>
      </c>
      <c r="CY157" s="1513">
        <v>5.796920278164249</v>
      </c>
      <c r="CZ157" s="1514">
        <v>5.8102736396244499</v>
      </c>
    </row>
    <row r="158" spans="1:104" x14ac:dyDescent="0.25">
      <c r="A158" s="1512" t="s">
        <v>1087</v>
      </c>
      <c r="B158" s="1513"/>
      <c r="C158" s="1513"/>
      <c r="D158" s="1513"/>
      <c r="E158" s="1513"/>
      <c r="F158" s="1513"/>
      <c r="G158" s="1513"/>
      <c r="H158" s="1513" t="e">
        <v>#N/A</v>
      </c>
      <c r="I158" s="1513" t="e">
        <v>#N/A</v>
      </c>
      <c r="J158" s="1513" t="e">
        <v>#N/A</v>
      </c>
      <c r="K158" s="1513" t="e">
        <v>#N/A</v>
      </c>
      <c r="L158" s="1513">
        <v>2.2148742453355847</v>
      </c>
      <c r="M158" s="1513">
        <v>2.3408877437334223</v>
      </c>
      <c r="N158" s="1513">
        <v>2.3629142410275352</v>
      </c>
      <c r="O158" s="1513">
        <v>2.4181318326423913</v>
      </c>
      <c r="P158" s="1513">
        <v>2.3501923436687169</v>
      </c>
      <c r="Q158" s="1513">
        <v>2.2749877363600257</v>
      </c>
      <c r="R158" s="1513">
        <v>2.2671813119268305</v>
      </c>
      <c r="S158" s="1513">
        <v>2.0920368648072634</v>
      </c>
      <c r="T158" s="1513">
        <v>1.9706687398025258</v>
      </c>
      <c r="U158" s="1513">
        <v>2.067600203211962</v>
      </c>
      <c r="V158" s="1513">
        <v>2.1142782942327232</v>
      </c>
      <c r="W158" s="1513">
        <v>2.1573963846468813</v>
      </c>
      <c r="X158" s="1513">
        <v>2.1900363582596567</v>
      </c>
      <c r="Y158" s="1513">
        <v>2.1929897559939948</v>
      </c>
      <c r="Z158" s="1513">
        <v>2.2028650611910647</v>
      </c>
      <c r="AA158" s="1513">
        <v>2.2090827406317772</v>
      </c>
      <c r="AB158" s="1513">
        <v>2.2092997907220093</v>
      </c>
      <c r="AC158" s="1513">
        <v>2.2079918032786887</v>
      </c>
      <c r="AD158" s="1513">
        <v>2.2065492258230841</v>
      </c>
      <c r="AE158" s="1513">
        <v>2.1995552842692714</v>
      </c>
      <c r="AF158" s="1513">
        <v>2.1903510334996437</v>
      </c>
      <c r="AG158" s="1513">
        <v>2.1795345460335755</v>
      </c>
      <c r="AH158" s="1513">
        <v>2.1771697426487315</v>
      </c>
      <c r="AI158" s="1513">
        <v>2.177831318906295</v>
      </c>
      <c r="AJ158" s="1513">
        <v>2.1809505846135182</v>
      </c>
      <c r="AK158" s="1513">
        <v>2.1861806387528246</v>
      </c>
      <c r="AL158" s="1513">
        <v>2.1973402359685172</v>
      </c>
      <c r="AM158" s="1513">
        <v>2.2020565733003745</v>
      </c>
      <c r="AN158" s="1513">
        <v>2.2177912831167257</v>
      </c>
      <c r="AO158" s="1513">
        <v>2.2206593773221517</v>
      </c>
      <c r="AP158" s="1513">
        <v>2.2289385587115755</v>
      </c>
      <c r="AQ158" s="1513">
        <v>2.2351116907538557</v>
      </c>
      <c r="AR158" s="1513">
        <v>2.2481536525075447</v>
      </c>
      <c r="AS158" s="1513">
        <v>2.2492673374683427</v>
      </c>
      <c r="AT158" s="1513">
        <v>2.2496910116619402</v>
      </c>
      <c r="AU158" s="1513">
        <v>2.2544263053335558</v>
      </c>
      <c r="AV158" s="1513">
        <v>2.2540196918457411</v>
      </c>
      <c r="AW158" s="1513">
        <v>2.2546357728878843</v>
      </c>
      <c r="AX158" s="1513">
        <v>2.2490256441364247</v>
      </c>
      <c r="AY158" s="1513">
        <v>2.2531477002168603</v>
      </c>
      <c r="AZ158" s="1513">
        <v>2.2540841434009193</v>
      </c>
      <c r="BA158" s="1513">
        <v>2.2596705767276806</v>
      </c>
      <c r="BB158" s="1513">
        <v>2.2620458060993922</v>
      </c>
      <c r="BC158" s="1513">
        <v>2.2703711301923084</v>
      </c>
      <c r="BD158" s="1513">
        <v>2.2787270951418623</v>
      </c>
      <c r="BE158" s="1513">
        <v>2.2871138137198912</v>
      </c>
      <c r="BF158" s="1513">
        <v>2.2955313991132824</v>
      </c>
      <c r="BG158" s="1513">
        <v>2.3039799649255008</v>
      </c>
      <c r="BH158" s="1513">
        <v>2.3125787529279784</v>
      </c>
      <c r="BI158" s="1513">
        <v>2.3212096328567045</v>
      </c>
      <c r="BJ158" s="1513">
        <v>2.3298727244834101</v>
      </c>
      <c r="BK158" s="1513">
        <v>2.338568148026833</v>
      </c>
      <c r="BL158" s="1513">
        <v>2.3472960241543843</v>
      </c>
      <c r="BM158" s="1513">
        <v>2.3559838582312191</v>
      </c>
      <c r="BN158" s="1513">
        <v>2.3647038478010849</v>
      </c>
      <c r="BO158" s="1513">
        <v>2.3734561118781943</v>
      </c>
      <c r="BP158" s="1513">
        <v>2.3822407699172565</v>
      </c>
      <c r="BQ158" s="1513">
        <v>2.3910579418151077</v>
      </c>
      <c r="BR158" s="1513">
        <v>2.3997099382358895</v>
      </c>
      <c r="BS158" s="1513">
        <v>2.4083932417365861</v>
      </c>
      <c r="BT158" s="1513">
        <v>2.4171079656012542</v>
      </c>
      <c r="BU158" s="1513">
        <v>2.4258542235238663</v>
      </c>
      <c r="BV158" s="1513">
        <v>2.434632129609795</v>
      </c>
      <c r="BW158" s="1513">
        <v>2.4428635118796533</v>
      </c>
      <c r="BX158" s="1513">
        <v>2.4511227240845761</v>
      </c>
      <c r="BY158" s="1513">
        <v>2.4594098603163279</v>
      </c>
      <c r="BZ158" s="1513">
        <v>2.467725014984794</v>
      </c>
      <c r="CA158" s="1513">
        <v>2.476068282819055</v>
      </c>
      <c r="CB158" s="1513">
        <v>2.4831576550549128</v>
      </c>
      <c r="CC158" s="1513">
        <v>2.4902673252765117</v>
      </c>
      <c r="CD158" s="1513">
        <v>2.4973973516001715</v>
      </c>
      <c r="CE158" s="1513">
        <v>2.5045477923086086</v>
      </c>
      <c r="CF158" s="1513">
        <v>2.5117187058514112</v>
      </c>
      <c r="CG158" s="1513">
        <v>2.5171937058097216</v>
      </c>
      <c r="CH158" s="1513">
        <v>2.5226806400759916</v>
      </c>
      <c r="CI158" s="1513">
        <v>2.5281795346644143</v>
      </c>
      <c r="CJ158" s="1513">
        <v>2.5336904156458884</v>
      </c>
      <c r="CK158" s="1513">
        <v>2.539213309148141</v>
      </c>
      <c r="CL158" s="1513">
        <v>2.5429573704375228</v>
      </c>
      <c r="CM158" s="1513">
        <v>2.5467069523323964</v>
      </c>
      <c r="CN158" s="1513">
        <v>2.5504620629728754</v>
      </c>
      <c r="CO158" s="1513">
        <v>2.554222710511076</v>
      </c>
      <c r="CP158" s="1513">
        <v>2.5579889031111347</v>
      </c>
      <c r="CQ158" s="1513">
        <v>2.5592501421168059</v>
      </c>
      <c r="CR158" s="1513">
        <v>2.5605120029875006</v>
      </c>
      <c r="CS158" s="1513">
        <v>2.5617744860298348</v>
      </c>
      <c r="CT158" s="1513">
        <v>2.5630375915505756</v>
      </c>
      <c r="CU158" s="1513">
        <v>2.564301319856642</v>
      </c>
      <c r="CV158" s="1513">
        <v>2.5624850697467836</v>
      </c>
      <c r="CW158" s="1513">
        <v>2.5606701060553489</v>
      </c>
      <c r="CX158" s="1513">
        <v>2.5588564278711901</v>
      </c>
      <c r="CY158" s="1513">
        <v>2.5570440342838041</v>
      </c>
      <c r="CZ158" s="1514">
        <v>2.555232924383334</v>
      </c>
    </row>
    <row r="159" spans="1:104" x14ac:dyDescent="0.25">
      <c r="A159" s="1512" t="s">
        <v>683</v>
      </c>
      <c r="B159" s="1513"/>
      <c r="C159" s="1513"/>
      <c r="D159" s="1513"/>
      <c r="E159" s="1513"/>
      <c r="F159" s="1513"/>
      <c r="G159" s="1513"/>
      <c r="H159" s="1513">
        <v>28.373013628420669</v>
      </c>
      <c r="I159" s="1513">
        <v>29.17093293229123</v>
      </c>
      <c r="J159" s="1513">
        <v>30.878569780545078</v>
      </c>
      <c r="K159" s="1513">
        <v>30.682595180991225</v>
      </c>
      <c r="L159" s="1513">
        <v>31.992353762541459</v>
      </c>
      <c r="M159" s="1513">
        <v>31.4429334181984</v>
      </c>
      <c r="N159" s="1513">
        <v>31.156600892671783</v>
      </c>
      <c r="O159" s="1513">
        <v>30.676058322376605</v>
      </c>
      <c r="P159" s="1513">
        <v>29.679126186318804</v>
      </c>
      <c r="Q159" s="1513">
        <v>29.700131988890092</v>
      </c>
      <c r="R159" s="1513">
        <v>30.54196479432273</v>
      </c>
      <c r="S159" s="1513">
        <v>29.932211922183079</v>
      </c>
      <c r="T159" s="1513">
        <v>28.972214109999999</v>
      </c>
      <c r="U159" s="1513">
        <v>29.128232055928784</v>
      </c>
      <c r="V159" s="1513">
        <v>28.995688380521983</v>
      </c>
      <c r="W159" s="1513">
        <v>29.39475155821113</v>
      </c>
      <c r="X159" s="1513">
        <v>29.885964346916182</v>
      </c>
      <c r="Y159" s="1513">
        <v>30.089071101439163</v>
      </c>
      <c r="Z159" s="1513">
        <v>31.081689502737298</v>
      </c>
      <c r="AA159" s="1513">
        <v>31.400245105473072</v>
      </c>
      <c r="AB159" s="1513">
        <v>31.337976372818122</v>
      </c>
      <c r="AC159" s="1513">
        <v>31.854564117923594</v>
      </c>
      <c r="AD159" s="1513">
        <v>32.189964324168578</v>
      </c>
      <c r="AE159" s="1513">
        <v>32.274661250208517</v>
      </c>
      <c r="AF159" s="1513">
        <v>32.347049824843424</v>
      </c>
      <c r="AG159" s="1513">
        <v>32.398275541772193</v>
      </c>
      <c r="AH159" s="1513">
        <v>32.473329377777105</v>
      </c>
      <c r="AI159" s="1513">
        <v>32.424485524938959</v>
      </c>
      <c r="AJ159" s="1513">
        <v>32.33705604252286</v>
      </c>
      <c r="AK159" s="1513">
        <v>32.213589610409308</v>
      </c>
      <c r="AL159" s="1513">
        <v>32.123147965605618</v>
      </c>
      <c r="AM159" s="1513">
        <v>32.189031672252469</v>
      </c>
      <c r="AN159" s="1513">
        <v>32.20134665837643</v>
      </c>
      <c r="AO159" s="1513">
        <v>32.137342472816606</v>
      </c>
      <c r="AP159" s="1513">
        <v>32.106067355666433</v>
      </c>
      <c r="AQ159" s="1513">
        <v>32.055398007309563</v>
      </c>
      <c r="AR159" s="1513">
        <v>31.985796962436115</v>
      </c>
      <c r="AS159" s="1513">
        <v>31.883579639374592</v>
      </c>
      <c r="AT159" s="1513">
        <v>31.88043762605966</v>
      </c>
      <c r="AU159" s="1513">
        <v>31.921825950470875</v>
      </c>
      <c r="AV159" s="1513">
        <v>31.967798865652629</v>
      </c>
      <c r="AW159" s="1513">
        <v>32.011030694105337</v>
      </c>
      <c r="AX159" s="1513">
        <v>32.04019407500644</v>
      </c>
      <c r="AY159" s="1513">
        <v>32.084258086774547</v>
      </c>
      <c r="AZ159" s="1513">
        <v>32.12290532445671</v>
      </c>
      <c r="BA159" s="1513">
        <v>32.1438833578502</v>
      </c>
      <c r="BB159" s="1513">
        <v>32.210559439498944</v>
      </c>
      <c r="BC159" s="1513">
        <v>32.212518425109167</v>
      </c>
      <c r="BD159" s="1513">
        <v>32.214477529861206</v>
      </c>
      <c r="BE159" s="1513">
        <v>32.216436753762309</v>
      </c>
      <c r="BF159" s="1513">
        <v>32.218396096819724</v>
      </c>
      <c r="BG159" s="1513">
        <v>32.220355559040698</v>
      </c>
      <c r="BH159" s="1513">
        <v>32.225068562587758</v>
      </c>
      <c r="BI159" s="1513">
        <v>32.229782255525173</v>
      </c>
      <c r="BJ159" s="1513">
        <v>32.234496637953782</v>
      </c>
      <c r="BK159" s="1513">
        <v>32.239211709974448</v>
      </c>
      <c r="BL159" s="1513">
        <v>32.243927471688032</v>
      </c>
      <c r="BM159" s="1513">
        <v>32.234738373564198</v>
      </c>
      <c r="BN159" s="1513">
        <v>32.225551894213289</v>
      </c>
      <c r="BO159" s="1513">
        <v>32.216368032888994</v>
      </c>
      <c r="BP159" s="1513">
        <v>32.207186788845206</v>
      </c>
      <c r="BQ159" s="1513">
        <v>32.198008161336034</v>
      </c>
      <c r="BR159" s="1513">
        <v>32.188328675270981</v>
      </c>
      <c r="BS159" s="1513">
        <v>32.178652099089362</v>
      </c>
      <c r="BT159" s="1513">
        <v>32.168978431916393</v>
      </c>
      <c r="BU159" s="1513">
        <v>32.15930767287756</v>
      </c>
      <c r="BV159" s="1513">
        <v>32.14963982109861</v>
      </c>
      <c r="BW159" s="1513">
        <v>32.135484213462775</v>
      </c>
      <c r="BX159" s="1513">
        <v>32.121334838594358</v>
      </c>
      <c r="BY159" s="1513">
        <v>32.107191693749044</v>
      </c>
      <c r="BZ159" s="1513">
        <v>32.093054776183735</v>
      </c>
      <c r="CA159" s="1513">
        <v>32.078924083156537</v>
      </c>
      <c r="CB159" s="1513">
        <v>32.05322936592912</v>
      </c>
      <c r="CC159" s="1513">
        <v>32.027555229768936</v>
      </c>
      <c r="CD159" s="1513">
        <v>32.001901658190874</v>
      </c>
      <c r="CE159" s="1513">
        <v>31.976268634723027</v>
      </c>
      <c r="CF159" s="1513">
        <v>31.950656142906677</v>
      </c>
      <c r="CG159" s="1513">
        <v>31.915373500092528</v>
      </c>
      <c r="CH159" s="1513">
        <v>31.880129819385399</v>
      </c>
      <c r="CI159" s="1513">
        <v>31.844925057760001</v>
      </c>
      <c r="CJ159" s="1513">
        <v>31.809759172238564</v>
      </c>
      <c r="CK159" s="1513">
        <v>31.774632119890772</v>
      </c>
      <c r="CL159" s="1513">
        <v>31.736335048107414</v>
      </c>
      <c r="CM159" s="1513">
        <v>31.698084134709202</v>
      </c>
      <c r="CN159" s="1513">
        <v>31.659879324062725</v>
      </c>
      <c r="CO159" s="1513">
        <v>31.621720560601634</v>
      </c>
      <c r="CP159" s="1513">
        <v>31.583607788826551</v>
      </c>
      <c r="CQ159" s="1513">
        <v>31.539463246970023</v>
      </c>
      <c r="CR159" s="1513">
        <v>31.495380406125889</v>
      </c>
      <c r="CS159" s="1513">
        <v>31.451359180054389</v>
      </c>
      <c r="CT159" s="1513">
        <v>31.407399482636293</v>
      </c>
      <c r="CU159" s="1513">
        <v>31.363501227872742</v>
      </c>
      <c r="CV159" s="1513">
        <v>31.320648715953933</v>
      </c>
      <c r="CW159" s="1513">
        <v>31.277854754187555</v>
      </c>
      <c r="CX159" s="1513">
        <v>31.235119262575491</v>
      </c>
      <c r="CY159" s="1513">
        <v>31.192442161228929</v>
      </c>
      <c r="CZ159" s="1514">
        <v>31.1498233703682</v>
      </c>
    </row>
    <row r="160" spans="1:104" x14ac:dyDescent="0.25">
      <c r="A160" s="1512" t="s">
        <v>698</v>
      </c>
      <c r="B160" s="1513"/>
      <c r="C160" s="1513"/>
      <c r="D160" s="1513"/>
      <c r="E160" s="1513"/>
      <c r="F160" s="1513"/>
      <c r="G160" s="1513"/>
      <c r="H160" s="1513">
        <v>18.232352698801531</v>
      </c>
      <c r="I160" s="1513">
        <v>19.279059481202857</v>
      </c>
      <c r="J160" s="1513">
        <v>20.106975671052609</v>
      </c>
      <c r="K160" s="1513">
        <v>20.31728323383771</v>
      </c>
      <c r="L160" s="1513">
        <v>21.702415417864383</v>
      </c>
      <c r="M160" s="1513">
        <v>21.137326303769196</v>
      </c>
      <c r="N160" s="1513">
        <v>20.699724047437488</v>
      </c>
      <c r="O160" s="1513">
        <v>20.430734156114106</v>
      </c>
      <c r="P160" s="1513">
        <v>19.619402543384187</v>
      </c>
      <c r="Q160" s="1513">
        <v>19.94482547791937</v>
      </c>
      <c r="R160" s="1513">
        <v>20.190684361237558</v>
      </c>
      <c r="S160" s="1513">
        <v>19.439058682545589</v>
      </c>
      <c r="T160" s="1513">
        <v>18.777772519999996</v>
      </c>
      <c r="U160" s="1513">
        <v>19.537493744407882</v>
      </c>
      <c r="V160" s="1513">
        <v>19.094688812726531</v>
      </c>
      <c r="W160" s="1513">
        <v>19.340880484069093</v>
      </c>
      <c r="X160" s="1513">
        <v>19.700726786066333</v>
      </c>
      <c r="Y160" s="1513">
        <v>19.809231927025674</v>
      </c>
      <c r="Z160" s="1513">
        <v>20.448628319255093</v>
      </c>
      <c r="AA160" s="1513">
        <v>20.513438149254636</v>
      </c>
      <c r="AB160" s="1513">
        <v>20.459361398826221</v>
      </c>
      <c r="AC160" s="1513">
        <v>20.950622526197662</v>
      </c>
      <c r="AD160" s="1513">
        <v>21.163384692376518</v>
      </c>
      <c r="AE160" s="1513">
        <v>21.285322295688569</v>
      </c>
      <c r="AF160" s="1513">
        <v>21.423623959296947</v>
      </c>
      <c r="AG160" s="1513">
        <v>21.53228264660833</v>
      </c>
      <c r="AH160" s="1513">
        <v>21.607771530610695</v>
      </c>
      <c r="AI160" s="1513">
        <v>21.635145433038627</v>
      </c>
      <c r="AJ160" s="1513">
        <v>21.585785019942069</v>
      </c>
      <c r="AK160" s="1513">
        <v>21.508628925857963</v>
      </c>
      <c r="AL160" s="1513">
        <v>21.446118499871098</v>
      </c>
      <c r="AM160" s="1513">
        <v>21.521952389257063</v>
      </c>
      <c r="AN160" s="1513">
        <v>21.600204159779199</v>
      </c>
      <c r="AO160" s="1513">
        <v>21.583872325260458</v>
      </c>
      <c r="AP160" s="1513">
        <v>21.588666383585327</v>
      </c>
      <c r="AQ160" s="1513">
        <v>21.605374501448264</v>
      </c>
      <c r="AR160" s="1513">
        <v>21.554715579078266</v>
      </c>
      <c r="AS160" s="1513">
        <v>21.491324631109631</v>
      </c>
      <c r="AT160" s="1513">
        <v>21.516251270074765</v>
      </c>
      <c r="AU160" s="1513">
        <v>21.58191413536343</v>
      </c>
      <c r="AV160" s="1513">
        <v>21.663232093841465</v>
      </c>
      <c r="AW160" s="1513">
        <v>21.742367229796333</v>
      </c>
      <c r="AX160" s="1513">
        <v>21.822824570449338</v>
      </c>
      <c r="AY160" s="1513">
        <v>21.895024529503647</v>
      </c>
      <c r="AZ160" s="1513">
        <v>21.976239175929997</v>
      </c>
      <c r="BA160" s="1513">
        <v>22.046603213478718</v>
      </c>
      <c r="BB160" s="1513">
        <v>22.114819497732821</v>
      </c>
      <c r="BC160" s="1513">
        <v>22.13487665280584</v>
      </c>
      <c r="BD160" s="1513">
        <v>22.15495199882406</v>
      </c>
      <c r="BE160" s="1513">
        <v>22.175045552285859</v>
      </c>
      <c r="BF160" s="1513">
        <v>22.195157329704575</v>
      </c>
      <c r="BG160" s="1513">
        <v>22.215287347608523</v>
      </c>
      <c r="BH160" s="1513">
        <v>22.237407284551185</v>
      </c>
      <c r="BI160" s="1513">
        <v>22.259549246489641</v>
      </c>
      <c r="BJ160" s="1513">
        <v>22.281713255354351</v>
      </c>
      <c r="BK160" s="1513">
        <v>22.303899333097611</v>
      </c>
      <c r="BL160" s="1513">
        <v>22.326107501693581</v>
      </c>
      <c r="BM160" s="1513">
        <v>22.336823207612067</v>
      </c>
      <c r="BN160" s="1513">
        <v>22.347544056673097</v>
      </c>
      <c r="BO160" s="1513">
        <v>22.358270051345187</v>
      </c>
      <c r="BP160" s="1513">
        <v>22.369001194098043</v>
      </c>
      <c r="BQ160" s="1513">
        <v>22.379737487402554</v>
      </c>
      <c r="BR160" s="1513">
        <v>22.390100389733625</v>
      </c>
      <c r="BS160" s="1513">
        <v>22.400468090590362</v>
      </c>
      <c r="BT160" s="1513">
        <v>22.410840592194713</v>
      </c>
      <c r="BU160" s="1513">
        <v>22.421217896769658</v>
      </c>
      <c r="BV160" s="1513">
        <v>22.431600006539206</v>
      </c>
      <c r="BW160" s="1513">
        <v>22.438377931004013</v>
      </c>
      <c r="BX160" s="1513">
        <v>22.44515790348412</v>
      </c>
      <c r="BY160" s="1513">
        <v>22.451939924598356</v>
      </c>
      <c r="BZ160" s="1513">
        <v>22.458723994965737</v>
      </c>
      <c r="CA160" s="1513">
        <v>22.465510115205461</v>
      </c>
      <c r="CB160" s="1513">
        <v>22.462969438648798</v>
      </c>
      <c r="CC160" s="1513">
        <v>22.46042904942313</v>
      </c>
      <c r="CD160" s="1513">
        <v>22.45788894749596</v>
      </c>
      <c r="CE160" s="1513">
        <v>22.455349132834797</v>
      </c>
      <c r="CF160" s="1513">
        <v>22.452809605407158</v>
      </c>
      <c r="CG160" s="1513">
        <v>22.442624812220661</v>
      </c>
      <c r="CH160" s="1513">
        <v>22.432444638946507</v>
      </c>
      <c r="CI160" s="1513">
        <v>22.422269083489063</v>
      </c>
      <c r="CJ160" s="1513">
        <v>22.412098143753649</v>
      </c>
      <c r="CK160" s="1513">
        <v>22.401931817646531</v>
      </c>
      <c r="CL160" s="1513">
        <v>22.389459823741635</v>
      </c>
      <c r="CM160" s="1513">
        <v>22.376994773462549</v>
      </c>
      <c r="CN160" s="1513">
        <v>22.364536662943497</v>
      </c>
      <c r="CO160" s="1513">
        <v>22.352085488320853</v>
      </c>
      <c r="CP160" s="1513">
        <v>22.339641245733144</v>
      </c>
      <c r="CQ160" s="1513">
        <v>22.322592014179389</v>
      </c>
      <c r="CR160" s="1513">
        <v>22.305555794307125</v>
      </c>
      <c r="CS160" s="1513">
        <v>22.288532576186064</v>
      </c>
      <c r="CT160" s="1513">
        <v>22.271522349893491</v>
      </c>
      <c r="CU160" s="1513">
        <v>22.254525105514261</v>
      </c>
      <c r="CV160" s="1513">
        <v>22.238544472899552</v>
      </c>
      <c r="CW160" s="1513">
        <v>22.222575315731635</v>
      </c>
      <c r="CX160" s="1513">
        <v>22.206617625770171</v>
      </c>
      <c r="CY160" s="1513">
        <v>22.190671394780733</v>
      </c>
      <c r="CZ160" s="1514">
        <v>22.174736614534808</v>
      </c>
    </row>
    <row r="161" spans="1:104" x14ac:dyDescent="0.25">
      <c r="A161" s="1515" t="s">
        <v>684</v>
      </c>
      <c r="B161" s="1516"/>
      <c r="C161" s="1516"/>
      <c r="D161" s="1516"/>
      <c r="E161" s="1516"/>
      <c r="F161" s="1516"/>
      <c r="G161" s="1516"/>
      <c r="H161" s="1516">
        <v>31.081820315099751</v>
      </c>
      <c r="I161" s="1516">
        <v>31.795307521355493</v>
      </c>
      <c r="J161" s="1516">
        <v>33.946842042036877</v>
      </c>
      <c r="K161" s="1516">
        <v>33.862138723062856</v>
      </c>
      <c r="L161" s="1516">
        <v>35.110516897292094</v>
      </c>
      <c r="M161" s="1516">
        <v>35.620882248372396</v>
      </c>
      <c r="N161" s="1516">
        <v>35.284315436843215</v>
      </c>
      <c r="O161" s="1516">
        <v>35.109707376782602</v>
      </c>
      <c r="P161" s="1516">
        <v>34.944303180720262</v>
      </c>
      <c r="Q161" s="1516">
        <v>35.113313940081568</v>
      </c>
      <c r="R161" s="1516">
        <v>35.603854676435802</v>
      </c>
      <c r="S161" s="1516">
        <v>35.586699324775935</v>
      </c>
      <c r="T161" s="1516">
        <v>34.861101349999998</v>
      </c>
      <c r="U161" s="1516">
        <v>34.664653819323334</v>
      </c>
      <c r="V161" s="1516">
        <v>34.410290069910978</v>
      </c>
      <c r="W161" s="1516">
        <v>34.908531869398402</v>
      </c>
      <c r="X161" s="1516">
        <v>35.616671532127199</v>
      </c>
      <c r="Y161" s="1516">
        <v>35.947520321196222</v>
      </c>
      <c r="Z161" s="1516">
        <v>36.987705865849776</v>
      </c>
      <c r="AA161" s="1516">
        <v>37.546039262370911</v>
      </c>
      <c r="AB161" s="1516">
        <v>37.510823122184988</v>
      </c>
      <c r="AC161" s="1516">
        <v>38.008797637281816</v>
      </c>
      <c r="AD161" s="1516">
        <v>38.419808048103611</v>
      </c>
      <c r="AE161" s="1516">
        <v>38.480927078752217</v>
      </c>
      <c r="AF161" s="1516">
        <v>38.529894147798792</v>
      </c>
      <c r="AG161" s="1516">
        <v>38.610432052895767</v>
      </c>
      <c r="AH161" s="1516">
        <v>38.669048846696292</v>
      </c>
      <c r="AI161" s="1516">
        <v>38.631731396248163</v>
      </c>
      <c r="AJ161" s="1516">
        <v>38.567872226687491</v>
      </c>
      <c r="AK161" s="1516">
        <v>38.465126969563705</v>
      </c>
      <c r="AL161" s="1516">
        <v>38.413723063041203</v>
      </c>
      <c r="AM161" s="1516">
        <v>38.515467425425761</v>
      </c>
      <c r="AN161" s="1516">
        <v>38.527084818246614</v>
      </c>
      <c r="AO161" s="1516">
        <v>38.521472793861179</v>
      </c>
      <c r="AP161" s="1516">
        <v>38.546973809920992</v>
      </c>
      <c r="AQ161" s="1516">
        <v>38.560691565187064</v>
      </c>
      <c r="AR161" s="1516">
        <v>38.568356561168315</v>
      </c>
      <c r="AS161" s="1516">
        <v>38.569368829711408</v>
      </c>
      <c r="AT161" s="1516">
        <v>38.651143635977618</v>
      </c>
      <c r="AU161" s="1516">
        <v>38.781520601750053</v>
      </c>
      <c r="AV161" s="1516">
        <v>38.929117506558889</v>
      </c>
      <c r="AW161" s="1516">
        <v>39.08758776785308</v>
      </c>
      <c r="AX161" s="1516">
        <v>39.228047610742941</v>
      </c>
      <c r="AY161" s="1516">
        <v>39.393119417357944</v>
      </c>
      <c r="AZ161" s="1516">
        <v>39.595269824540118</v>
      </c>
      <c r="BA161" s="1516">
        <v>39.769550621009692</v>
      </c>
      <c r="BB161" s="1516">
        <v>39.980674011616443</v>
      </c>
      <c r="BC161" s="1516">
        <v>39.983105560972888</v>
      </c>
      <c r="BD161" s="1516">
        <v>39.985537258211586</v>
      </c>
      <c r="BE161" s="1516">
        <v>39.987969103341534</v>
      </c>
      <c r="BF161" s="1516">
        <v>39.990401096371727</v>
      </c>
      <c r="BG161" s="1516">
        <v>39.99283323731116</v>
      </c>
      <c r="BH161" s="1516">
        <v>39.998683153044055</v>
      </c>
      <c r="BI161" s="1516">
        <v>40.00453392446812</v>
      </c>
      <c r="BJ161" s="1516">
        <v>40.010385551708517</v>
      </c>
      <c r="BK161" s="1516">
        <v>40.016238034890421</v>
      </c>
      <c r="BL161" s="1516">
        <v>40.022091374139045</v>
      </c>
      <c r="BM161" s="1516">
        <v>40.01068560090993</v>
      </c>
      <c r="BN161" s="1516">
        <v>39.999283078177193</v>
      </c>
      <c r="BO161" s="1516">
        <v>39.987883805014484</v>
      </c>
      <c r="BP161" s="1516">
        <v>39.976487780495717</v>
      </c>
      <c r="BQ161" s="1516">
        <v>39.965095003695069</v>
      </c>
      <c r="BR161" s="1516">
        <v>39.953080546830584</v>
      </c>
      <c r="BS161" s="1516">
        <v>39.941069701797218</v>
      </c>
      <c r="BT161" s="1516">
        <v>39.929062467509169</v>
      </c>
      <c r="BU161" s="1516">
        <v>39.917058842880955</v>
      </c>
      <c r="BV161" s="1516">
        <v>39.905058826827435</v>
      </c>
      <c r="BW161" s="1516">
        <v>39.887488478960996</v>
      </c>
      <c r="BX161" s="1516">
        <v>39.869925867384971</v>
      </c>
      <c r="BY161" s="1516">
        <v>39.852370988693046</v>
      </c>
      <c r="BZ161" s="1516">
        <v>39.8348238394804</v>
      </c>
      <c r="CA161" s="1516">
        <v>39.817284416343718</v>
      </c>
      <c r="CB161" s="1516">
        <v>39.785391393336162</v>
      </c>
      <c r="CC161" s="1516">
        <v>39.75352391614198</v>
      </c>
      <c r="CD161" s="1516">
        <v>39.721681964299371</v>
      </c>
      <c r="CE161" s="1516">
        <v>39.689865517362925</v>
      </c>
      <c r="CF161" s="1516">
        <v>39.658074554903607</v>
      </c>
      <c r="CG161" s="1516">
        <v>39.614280722534119</v>
      </c>
      <c r="CH161" s="1516">
        <v>39.57053525105394</v>
      </c>
      <c r="CI161" s="1516">
        <v>39.526838087058842</v>
      </c>
      <c r="CJ161" s="1516">
        <v>39.48318917720357</v>
      </c>
      <c r="CK161" s="1516">
        <v>39.439588468201791</v>
      </c>
      <c r="CL161" s="1516">
        <v>39.392053039782866</v>
      </c>
      <c r="CM161" s="1516">
        <v>39.344574904480901</v>
      </c>
      <c r="CN161" s="1516">
        <v>39.297153993242112</v>
      </c>
      <c r="CO161" s="1516">
        <v>39.249790237095944</v>
      </c>
      <c r="CP161" s="1516">
        <v>39.202483567154964</v>
      </c>
      <c r="CQ161" s="1516">
        <v>39.147690090479308</v>
      </c>
      <c r="CR161" s="1516">
        <v>39.092973198877175</v>
      </c>
      <c r="CS161" s="1516">
        <v>39.038332785305279</v>
      </c>
      <c r="CT161" s="1516">
        <v>38.983768742869955</v>
      </c>
      <c r="CU161" s="1516">
        <v>38.929280964826951</v>
      </c>
      <c r="CV161" s="1516">
        <v>38.876091192919297</v>
      </c>
      <c r="CW161" s="1516">
        <v>38.822974095147039</v>
      </c>
      <c r="CX161" s="1516">
        <v>38.769929572214203</v>
      </c>
      <c r="CY161" s="1516">
        <v>38.716957524960492</v>
      </c>
      <c r="CZ161" s="1517">
        <v>38.66405785436109</v>
      </c>
    </row>
    <row r="202" spans="1:2" ht="14" x14ac:dyDescent="0.3">
      <c r="A202" s="2"/>
      <c r="B202" s="2"/>
    </row>
    <row r="203" spans="1:2" ht="14" x14ac:dyDescent="0.3">
      <c r="A203" s="2"/>
      <c r="B203" s="2"/>
    </row>
    <row r="249" spans="1:29" x14ac:dyDescent="0.25">
      <c r="A249" s="33"/>
    </row>
    <row r="251" spans="1:29" x14ac:dyDescent="0.25">
      <c r="AC251" s="28"/>
    </row>
    <row r="252" spans="1:29" x14ac:dyDescent="0.25">
      <c r="AC252" s="28"/>
    </row>
    <row r="253" spans="1:29" x14ac:dyDescent="0.25">
      <c r="AC253" s="28"/>
    </row>
    <row r="254" spans="1:29" x14ac:dyDescent="0.25">
      <c r="AC254" s="28"/>
    </row>
    <row r="257" spans="29:29" x14ac:dyDescent="0.25">
      <c r="AC257" s="28"/>
    </row>
    <row r="258" spans="29:29" x14ac:dyDescent="0.25">
      <c r="AC258" s="28"/>
    </row>
    <row r="259" spans="29:29" x14ac:dyDescent="0.25">
      <c r="AC259" s="28"/>
    </row>
    <row r="260" spans="29:29" x14ac:dyDescent="0.25">
      <c r="AC260" s="28"/>
    </row>
    <row r="263" spans="29:29" x14ac:dyDescent="0.25">
      <c r="AC263" s="28"/>
    </row>
    <row r="264" spans="29:29" x14ac:dyDescent="0.25">
      <c r="AC264" s="28"/>
    </row>
    <row r="265" spans="29:29" x14ac:dyDescent="0.25">
      <c r="AC265" s="28"/>
    </row>
    <row r="266" spans="29:29" x14ac:dyDescent="0.25">
      <c r="AC266" s="28"/>
    </row>
    <row r="267" spans="29:29" x14ac:dyDescent="0.25">
      <c r="AC267" s="28"/>
    </row>
    <row r="268" spans="29:29" x14ac:dyDescent="0.25">
      <c r="AC268" s="28"/>
    </row>
    <row r="270" spans="29:29" x14ac:dyDescent="0.25">
      <c r="AC270" s="28"/>
    </row>
    <row r="273" spans="29:29" x14ac:dyDescent="0.25">
      <c r="AC273" s="28"/>
    </row>
    <row r="274" spans="29:29" x14ac:dyDescent="0.25">
      <c r="AC274" s="28"/>
    </row>
    <row r="275" spans="29:29" x14ac:dyDescent="0.25">
      <c r="AC275" s="28"/>
    </row>
    <row r="276" spans="29:29" x14ac:dyDescent="0.25">
      <c r="AC276" s="28"/>
    </row>
    <row r="277" spans="29:29" x14ac:dyDescent="0.25">
      <c r="AC277" s="28"/>
    </row>
    <row r="278" spans="29:29" x14ac:dyDescent="0.25">
      <c r="AC278" s="28"/>
    </row>
    <row r="279" spans="29:29" x14ac:dyDescent="0.25">
      <c r="AC279" s="28"/>
    </row>
    <row r="280" spans="29:29" x14ac:dyDescent="0.25">
      <c r="AC280" s="28"/>
    </row>
    <row r="283" spans="29:29" x14ac:dyDescent="0.25">
      <c r="AC283" s="28"/>
    </row>
    <row r="284" spans="29:29" x14ac:dyDescent="0.25">
      <c r="AC284" s="28"/>
    </row>
    <row r="285" spans="29:29" x14ac:dyDescent="0.25">
      <c r="AC285" s="28"/>
    </row>
    <row r="286" spans="29:29" x14ac:dyDescent="0.25">
      <c r="AC286" s="28"/>
    </row>
    <row r="289" spans="29:29" x14ac:dyDescent="0.25">
      <c r="AC289" s="28"/>
    </row>
    <row r="290" spans="29:29" x14ac:dyDescent="0.25">
      <c r="AC290" s="28"/>
    </row>
    <row r="291" spans="29:29" x14ac:dyDescent="0.25">
      <c r="AC291" s="28"/>
    </row>
    <row r="292" spans="29:29" x14ac:dyDescent="0.25">
      <c r="AC292" s="28"/>
    </row>
    <row r="293" spans="29:29" x14ac:dyDescent="0.25">
      <c r="AC293" s="28"/>
    </row>
    <row r="294" spans="29:29" x14ac:dyDescent="0.25">
      <c r="AC294" s="28"/>
    </row>
    <row r="295" spans="29:29" x14ac:dyDescent="0.25">
      <c r="AC295" s="28"/>
    </row>
    <row r="296" spans="29:29" x14ac:dyDescent="0.25">
      <c r="AC296" s="28"/>
    </row>
    <row r="297" spans="29:29" x14ac:dyDescent="0.25">
      <c r="AC297" s="28"/>
    </row>
    <row r="299" spans="29:29" x14ac:dyDescent="0.25">
      <c r="AC299" s="28"/>
    </row>
    <row r="303" spans="29:29" x14ac:dyDescent="0.25">
      <c r="AC303" s="28"/>
    </row>
    <row r="304" spans="29:29" x14ac:dyDescent="0.25">
      <c r="AC304" s="28"/>
    </row>
    <row r="305" spans="29:29" x14ac:dyDescent="0.25">
      <c r="AC305" s="28"/>
    </row>
    <row r="306" spans="29:29" x14ac:dyDescent="0.25">
      <c r="AC306" s="28"/>
    </row>
    <row r="307" spans="29:29" x14ac:dyDescent="0.25">
      <c r="AC307" s="28"/>
    </row>
    <row r="308" spans="29:29" x14ac:dyDescent="0.25">
      <c r="AC308" s="28"/>
    </row>
    <row r="309" spans="29:29" x14ac:dyDescent="0.25">
      <c r="AC309" s="28"/>
    </row>
  </sheetData>
  <phoneticPr fontId="2" type="noConversion"/>
  <pageMargins left="0.75" right="0.75" top="1" bottom="1" header="0.5" footer="0.5"/>
  <pageSetup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tabColor indexed="51"/>
  </sheetPr>
  <dimension ref="A1:CZ8"/>
  <sheetViews>
    <sheetView workbookViewId="0"/>
  </sheetViews>
  <sheetFormatPr defaultRowHeight="12.5" x14ac:dyDescent="0.25"/>
  <cols>
    <col min="1" max="1" width="27.81640625" customWidth="1"/>
    <col min="2" max="2" width="12.7265625" customWidth="1"/>
    <col min="3" max="3" width="19.81640625" customWidth="1"/>
    <col min="4" max="4" width="28.26953125" customWidth="1"/>
    <col min="5" max="5" width="16.54296875" customWidth="1"/>
    <col min="6" max="6" width="11.453125" customWidth="1"/>
    <col min="7" max="7" width="9.7265625" customWidth="1"/>
    <col min="8" max="8" width="10.26953125" customWidth="1"/>
    <col min="9" max="9" width="10.453125" customWidth="1"/>
    <col min="10" max="10" width="9.54296875" customWidth="1"/>
    <col min="11" max="12" width="10" customWidth="1"/>
    <col min="13" max="13" width="10.7265625" customWidth="1"/>
    <col min="14" max="14" width="9.54296875" customWidth="1"/>
    <col min="15" max="15" width="10.7265625" customWidth="1"/>
    <col min="16" max="16" width="10.26953125" customWidth="1"/>
    <col min="17" max="17" width="9.54296875" customWidth="1"/>
    <col min="18" max="18" width="9.7265625" customWidth="1"/>
    <col min="19" max="19" width="10" customWidth="1"/>
    <col min="20" max="21" width="9.7265625" customWidth="1"/>
    <col min="22" max="22" width="10" customWidth="1"/>
    <col min="23" max="24" width="9.7265625" customWidth="1"/>
    <col min="25" max="25" width="10" customWidth="1"/>
    <col min="26" max="26" width="9.7265625" customWidth="1"/>
    <col min="27" max="27" width="10.7265625" customWidth="1"/>
    <col min="28" max="28" width="10.26953125" customWidth="1"/>
    <col min="29" max="29" width="10" customWidth="1"/>
    <col min="30" max="30" width="9.7265625" customWidth="1"/>
    <col min="31" max="31" width="10.26953125" customWidth="1"/>
    <col min="32" max="32" width="10.453125" customWidth="1"/>
    <col min="33" max="33" width="9.54296875" customWidth="1"/>
    <col min="34" max="34" width="10" customWidth="1"/>
    <col min="35" max="35" width="9.26953125" customWidth="1"/>
    <col min="36" max="36" width="10" customWidth="1"/>
    <col min="37" max="37" width="10.26953125" customWidth="1"/>
    <col min="38" max="38" width="9.7265625" customWidth="1"/>
    <col min="39" max="39" width="9.54296875" customWidth="1"/>
    <col min="40" max="40" width="9.7265625" customWidth="1"/>
    <col min="41" max="41" width="10.26953125" customWidth="1"/>
    <col min="42" max="44" width="9.7265625" customWidth="1"/>
    <col min="45" max="45" width="9.26953125" customWidth="1"/>
    <col min="46" max="46" width="9.54296875" customWidth="1"/>
    <col min="47" max="47" width="9.7265625" customWidth="1"/>
    <col min="48" max="48" width="10.26953125" customWidth="1"/>
    <col min="49" max="49" width="10.453125" customWidth="1"/>
    <col min="50" max="50" width="9.54296875" customWidth="1"/>
    <col min="51" max="52" width="9.7265625" customWidth="1"/>
    <col min="53" max="54" width="9.54296875" customWidth="1"/>
    <col min="55" max="55" width="9.7265625" customWidth="1"/>
    <col min="56" max="56" width="9.54296875" customWidth="1"/>
    <col min="57" max="59" width="9.7265625" customWidth="1"/>
    <col min="60" max="60" width="9.54296875" customWidth="1"/>
    <col min="61" max="61" width="9.7265625" customWidth="1"/>
    <col min="62" max="62" width="9.54296875" customWidth="1"/>
    <col min="63" max="63" width="9.7265625" customWidth="1"/>
    <col min="64" max="64" width="10.26953125" customWidth="1"/>
    <col min="65" max="65" width="9.7265625" customWidth="1"/>
    <col min="66" max="66" width="10.26953125" customWidth="1"/>
    <col min="67" max="67" width="9.54296875" customWidth="1"/>
    <col min="68" max="68" width="9.7265625" customWidth="1"/>
    <col min="69" max="69" width="9.54296875" customWidth="1"/>
    <col min="70" max="70" width="9.7265625" customWidth="1"/>
    <col min="71" max="71" width="10.26953125" customWidth="1"/>
    <col min="72" max="72" width="9.7265625" customWidth="1"/>
    <col min="73" max="74" width="9.54296875" customWidth="1"/>
  </cols>
  <sheetData>
    <row r="1" spans="1:104" ht="53" thickTop="1" thickBot="1" x14ac:dyDescent="0.35">
      <c r="A1" s="227" t="s">
        <v>1050</v>
      </c>
      <c r="B1" s="228" t="s">
        <v>1049</v>
      </c>
      <c r="C1" s="905" t="s">
        <v>678</v>
      </c>
      <c r="D1" s="905" t="s">
        <v>823</v>
      </c>
      <c r="E1" s="229">
        <v>2001</v>
      </c>
      <c r="F1" s="230">
        <v>2002</v>
      </c>
      <c r="G1" s="230">
        <v>2003</v>
      </c>
      <c r="H1" s="230">
        <v>2004</v>
      </c>
      <c r="I1" s="230">
        <v>2005</v>
      </c>
      <c r="J1" s="230">
        <v>2006</v>
      </c>
      <c r="K1" s="230">
        <v>2007</v>
      </c>
      <c r="L1" s="230">
        <v>2008</v>
      </c>
      <c r="M1" s="230">
        <v>2009</v>
      </c>
      <c r="N1" s="230">
        <v>2010</v>
      </c>
      <c r="O1" s="230">
        <v>2011</v>
      </c>
      <c r="P1" s="230">
        <v>2012</v>
      </c>
      <c r="Q1" s="230">
        <v>2013</v>
      </c>
      <c r="R1" s="230">
        <v>2014</v>
      </c>
      <c r="S1" s="230">
        <v>2015</v>
      </c>
      <c r="T1" s="230">
        <v>2016</v>
      </c>
      <c r="U1" s="230">
        <v>2017</v>
      </c>
      <c r="V1" s="230">
        <v>2018</v>
      </c>
      <c r="W1" s="230">
        <v>2019</v>
      </c>
      <c r="X1" s="230">
        <v>2020</v>
      </c>
      <c r="Y1" s="230">
        <v>2021</v>
      </c>
      <c r="Z1" s="230">
        <v>2022</v>
      </c>
      <c r="AA1" s="230">
        <v>2023</v>
      </c>
      <c r="AB1" s="230">
        <v>2024</v>
      </c>
      <c r="AC1" s="230">
        <v>2025</v>
      </c>
      <c r="AD1" s="230">
        <v>2026</v>
      </c>
      <c r="AE1" s="230">
        <v>2027</v>
      </c>
      <c r="AF1" s="230">
        <v>2028</v>
      </c>
      <c r="AG1" s="230">
        <v>2029</v>
      </c>
      <c r="AH1" s="230">
        <v>2030</v>
      </c>
      <c r="AI1" s="230">
        <v>2031</v>
      </c>
      <c r="AJ1" s="230">
        <v>2032</v>
      </c>
      <c r="AK1" s="230">
        <v>2033</v>
      </c>
      <c r="AL1" s="230">
        <v>2034</v>
      </c>
      <c r="AM1" s="230">
        <v>2035</v>
      </c>
      <c r="AN1" s="230">
        <v>2036</v>
      </c>
      <c r="AO1" s="230">
        <v>2037</v>
      </c>
      <c r="AP1" s="230">
        <v>2038</v>
      </c>
      <c r="AQ1" s="230">
        <v>2039</v>
      </c>
      <c r="AR1" s="230">
        <v>2040</v>
      </c>
      <c r="AS1" s="230">
        <v>2041</v>
      </c>
      <c r="AT1" s="230">
        <v>2042</v>
      </c>
      <c r="AU1" s="230">
        <v>2043</v>
      </c>
      <c r="AV1" s="230">
        <v>2044</v>
      </c>
      <c r="AW1" s="230">
        <v>2045</v>
      </c>
      <c r="AX1" s="230">
        <v>2046</v>
      </c>
      <c r="AY1" s="230">
        <v>2047</v>
      </c>
      <c r="AZ1" s="230">
        <v>2048</v>
      </c>
      <c r="BA1" s="230">
        <v>2049</v>
      </c>
      <c r="BB1" s="230">
        <v>2050</v>
      </c>
      <c r="BC1" s="230">
        <v>2051</v>
      </c>
      <c r="BD1" s="230">
        <v>2052</v>
      </c>
      <c r="BE1" s="230">
        <v>2053</v>
      </c>
      <c r="BF1" s="230">
        <v>2054</v>
      </c>
      <c r="BG1" s="230">
        <v>2055</v>
      </c>
      <c r="BH1" s="230">
        <v>2056</v>
      </c>
      <c r="BI1" s="230">
        <v>2057</v>
      </c>
      <c r="BJ1" s="230">
        <v>2058</v>
      </c>
      <c r="BK1" s="230">
        <v>2059</v>
      </c>
      <c r="BL1" s="230">
        <v>2060</v>
      </c>
      <c r="BM1" s="230">
        <v>2061</v>
      </c>
      <c r="BN1" s="230">
        <v>2062</v>
      </c>
      <c r="BO1" s="230">
        <v>2063</v>
      </c>
      <c r="BP1" s="230">
        <v>2064</v>
      </c>
      <c r="BQ1" s="230">
        <v>2065</v>
      </c>
      <c r="BR1" s="230">
        <v>2066</v>
      </c>
      <c r="BS1" s="230">
        <v>2067</v>
      </c>
      <c r="BT1" s="230">
        <v>2068</v>
      </c>
      <c r="BU1" s="230">
        <v>2069</v>
      </c>
      <c r="BV1" s="231">
        <v>2070</v>
      </c>
      <c r="BW1">
        <f>+BV1+1</f>
        <v>2071</v>
      </c>
      <c r="BX1">
        <f t="shared" ref="BX1:CZ1" si="0">+BW1+1</f>
        <v>2072</v>
      </c>
      <c r="BY1">
        <f t="shared" si="0"/>
        <v>2073</v>
      </c>
      <c r="BZ1">
        <f t="shared" si="0"/>
        <v>2074</v>
      </c>
      <c r="CA1">
        <f t="shared" si="0"/>
        <v>2075</v>
      </c>
      <c r="CB1">
        <f t="shared" si="0"/>
        <v>2076</v>
      </c>
      <c r="CC1">
        <f t="shared" si="0"/>
        <v>2077</v>
      </c>
      <c r="CD1">
        <f t="shared" si="0"/>
        <v>2078</v>
      </c>
      <c r="CE1">
        <f t="shared" si="0"/>
        <v>2079</v>
      </c>
      <c r="CF1">
        <f t="shared" si="0"/>
        <v>2080</v>
      </c>
      <c r="CG1">
        <f t="shared" si="0"/>
        <v>2081</v>
      </c>
      <c r="CH1">
        <f t="shared" si="0"/>
        <v>2082</v>
      </c>
      <c r="CI1">
        <f t="shared" si="0"/>
        <v>2083</v>
      </c>
      <c r="CJ1">
        <f t="shared" si="0"/>
        <v>2084</v>
      </c>
      <c r="CK1">
        <f t="shared" si="0"/>
        <v>2085</v>
      </c>
      <c r="CL1">
        <f t="shared" si="0"/>
        <v>2086</v>
      </c>
      <c r="CM1">
        <f t="shared" si="0"/>
        <v>2087</v>
      </c>
      <c r="CN1">
        <f t="shared" si="0"/>
        <v>2088</v>
      </c>
      <c r="CO1">
        <f t="shared" si="0"/>
        <v>2089</v>
      </c>
      <c r="CP1">
        <f t="shared" si="0"/>
        <v>2090</v>
      </c>
      <c r="CQ1">
        <f t="shared" si="0"/>
        <v>2091</v>
      </c>
      <c r="CR1">
        <f t="shared" si="0"/>
        <v>2092</v>
      </c>
      <c r="CS1">
        <f t="shared" si="0"/>
        <v>2093</v>
      </c>
      <c r="CT1">
        <f t="shared" si="0"/>
        <v>2094</v>
      </c>
      <c r="CU1">
        <f t="shared" si="0"/>
        <v>2095</v>
      </c>
      <c r="CV1">
        <f t="shared" si="0"/>
        <v>2096</v>
      </c>
      <c r="CW1">
        <f t="shared" si="0"/>
        <v>2097</v>
      </c>
      <c r="CX1">
        <f t="shared" si="0"/>
        <v>2098</v>
      </c>
      <c r="CY1">
        <f t="shared" si="0"/>
        <v>2099</v>
      </c>
      <c r="CZ1">
        <f t="shared" si="0"/>
        <v>2100</v>
      </c>
    </row>
    <row r="2" spans="1:104" ht="13" thickTop="1" x14ac:dyDescent="0.25">
      <c r="A2" t="s">
        <v>1045</v>
      </c>
      <c r="B2" s="467" t="s">
        <v>707</v>
      </c>
      <c r="C2">
        <v>2005</v>
      </c>
      <c r="D2">
        <f t="shared" ref="D2:D8" si="1">VLOOKUP(ref_year,Chemical_price_indexes,2,FALSE)/VLOOKUP(C2,Chemical_price_indexes,2,FALSE)</f>
        <v>1.4260544580886279</v>
      </c>
      <c r="E2">
        <f t="shared" ref="E2:AJ2" si="2">0.000079485*($D$2)</f>
        <v>1.1334993860117458E-4</v>
      </c>
      <c r="F2">
        <f t="shared" si="2"/>
        <v>1.1334993860117458E-4</v>
      </c>
      <c r="G2">
        <f t="shared" si="2"/>
        <v>1.1334993860117458E-4</v>
      </c>
      <c r="H2">
        <f t="shared" si="2"/>
        <v>1.1334993860117458E-4</v>
      </c>
      <c r="I2">
        <f t="shared" si="2"/>
        <v>1.1334993860117458E-4</v>
      </c>
      <c r="J2">
        <f t="shared" si="2"/>
        <v>1.1334993860117458E-4</v>
      </c>
      <c r="K2">
        <f t="shared" si="2"/>
        <v>1.1334993860117458E-4</v>
      </c>
      <c r="L2">
        <f t="shared" si="2"/>
        <v>1.1334993860117458E-4</v>
      </c>
      <c r="M2">
        <f t="shared" si="2"/>
        <v>1.1334993860117458E-4</v>
      </c>
      <c r="N2">
        <f t="shared" si="2"/>
        <v>1.1334993860117458E-4</v>
      </c>
      <c r="O2">
        <f t="shared" si="2"/>
        <v>1.1334993860117458E-4</v>
      </c>
      <c r="P2">
        <f t="shared" si="2"/>
        <v>1.1334993860117458E-4</v>
      </c>
      <c r="Q2">
        <f t="shared" si="2"/>
        <v>1.1334993860117458E-4</v>
      </c>
      <c r="R2">
        <f t="shared" si="2"/>
        <v>1.1334993860117458E-4</v>
      </c>
      <c r="S2">
        <f t="shared" si="2"/>
        <v>1.1334993860117458E-4</v>
      </c>
      <c r="T2">
        <f t="shared" si="2"/>
        <v>1.1334993860117458E-4</v>
      </c>
      <c r="U2">
        <f t="shared" si="2"/>
        <v>1.1334993860117458E-4</v>
      </c>
      <c r="V2">
        <f t="shared" si="2"/>
        <v>1.1334993860117458E-4</v>
      </c>
      <c r="W2">
        <f t="shared" si="2"/>
        <v>1.1334993860117458E-4</v>
      </c>
      <c r="X2">
        <f t="shared" si="2"/>
        <v>1.1334993860117458E-4</v>
      </c>
      <c r="Y2">
        <f t="shared" si="2"/>
        <v>1.1334993860117458E-4</v>
      </c>
      <c r="Z2">
        <f t="shared" si="2"/>
        <v>1.1334993860117458E-4</v>
      </c>
      <c r="AA2">
        <f t="shared" si="2"/>
        <v>1.1334993860117458E-4</v>
      </c>
      <c r="AB2">
        <f t="shared" si="2"/>
        <v>1.1334993860117458E-4</v>
      </c>
      <c r="AC2">
        <f t="shared" si="2"/>
        <v>1.1334993860117458E-4</v>
      </c>
      <c r="AD2">
        <f t="shared" si="2"/>
        <v>1.1334993860117458E-4</v>
      </c>
      <c r="AE2">
        <f t="shared" si="2"/>
        <v>1.1334993860117458E-4</v>
      </c>
      <c r="AF2">
        <f t="shared" si="2"/>
        <v>1.1334993860117458E-4</v>
      </c>
      <c r="AG2">
        <f t="shared" si="2"/>
        <v>1.1334993860117458E-4</v>
      </c>
      <c r="AH2">
        <f t="shared" si="2"/>
        <v>1.1334993860117458E-4</v>
      </c>
      <c r="AI2">
        <f t="shared" si="2"/>
        <v>1.1334993860117458E-4</v>
      </c>
      <c r="AJ2">
        <f t="shared" si="2"/>
        <v>1.1334993860117458E-4</v>
      </c>
      <c r="AK2">
        <f t="shared" ref="AK2:BP2" si="3">0.000079485*($D$2)</f>
        <v>1.1334993860117458E-4</v>
      </c>
      <c r="AL2">
        <f t="shared" si="3"/>
        <v>1.1334993860117458E-4</v>
      </c>
      <c r="AM2">
        <f t="shared" si="3"/>
        <v>1.1334993860117458E-4</v>
      </c>
      <c r="AN2">
        <f t="shared" si="3"/>
        <v>1.1334993860117458E-4</v>
      </c>
      <c r="AO2">
        <f t="shared" si="3"/>
        <v>1.1334993860117458E-4</v>
      </c>
      <c r="AP2">
        <f t="shared" si="3"/>
        <v>1.1334993860117458E-4</v>
      </c>
      <c r="AQ2">
        <f t="shared" si="3"/>
        <v>1.1334993860117458E-4</v>
      </c>
      <c r="AR2">
        <f t="shared" si="3"/>
        <v>1.1334993860117458E-4</v>
      </c>
      <c r="AS2">
        <f t="shared" si="3"/>
        <v>1.1334993860117458E-4</v>
      </c>
      <c r="AT2">
        <f t="shared" si="3"/>
        <v>1.1334993860117458E-4</v>
      </c>
      <c r="AU2">
        <f t="shared" si="3"/>
        <v>1.1334993860117458E-4</v>
      </c>
      <c r="AV2">
        <f t="shared" si="3"/>
        <v>1.1334993860117458E-4</v>
      </c>
      <c r="AW2">
        <f t="shared" si="3"/>
        <v>1.1334993860117458E-4</v>
      </c>
      <c r="AX2">
        <f t="shared" si="3"/>
        <v>1.1334993860117458E-4</v>
      </c>
      <c r="AY2">
        <f t="shared" si="3"/>
        <v>1.1334993860117458E-4</v>
      </c>
      <c r="AZ2">
        <f t="shared" si="3"/>
        <v>1.1334993860117458E-4</v>
      </c>
      <c r="BA2">
        <f t="shared" si="3"/>
        <v>1.1334993860117458E-4</v>
      </c>
      <c r="BB2">
        <f t="shared" si="3"/>
        <v>1.1334993860117458E-4</v>
      </c>
      <c r="BC2">
        <f t="shared" si="3"/>
        <v>1.1334993860117458E-4</v>
      </c>
      <c r="BD2">
        <f t="shared" si="3"/>
        <v>1.1334993860117458E-4</v>
      </c>
      <c r="BE2">
        <f t="shared" si="3"/>
        <v>1.1334993860117458E-4</v>
      </c>
      <c r="BF2">
        <f t="shared" si="3"/>
        <v>1.1334993860117458E-4</v>
      </c>
      <c r="BG2">
        <f t="shared" si="3"/>
        <v>1.1334993860117458E-4</v>
      </c>
      <c r="BH2">
        <f t="shared" si="3"/>
        <v>1.1334993860117458E-4</v>
      </c>
      <c r="BI2">
        <f t="shared" si="3"/>
        <v>1.1334993860117458E-4</v>
      </c>
      <c r="BJ2">
        <f t="shared" si="3"/>
        <v>1.1334993860117458E-4</v>
      </c>
      <c r="BK2">
        <f t="shared" si="3"/>
        <v>1.1334993860117458E-4</v>
      </c>
      <c r="BL2">
        <f t="shared" si="3"/>
        <v>1.1334993860117458E-4</v>
      </c>
      <c r="BM2">
        <f t="shared" si="3"/>
        <v>1.1334993860117458E-4</v>
      </c>
      <c r="BN2">
        <f t="shared" si="3"/>
        <v>1.1334993860117458E-4</v>
      </c>
      <c r="BO2">
        <f t="shared" si="3"/>
        <v>1.1334993860117458E-4</v>
      </c>
      <c r="BP2">
        <f t="shared" si="3"/>
        <v>1.1334993860117458E-4</v>
      </c>
      <c r="BQ2">
        <f t="shared" ref="BQ2:BV2" si="4">0.000079485*($D$2)</f>
        <v>1.1334993860117458E-4</v>
      </c>
      <c r="BR2">
        <f t="shared" si="4"/>
        <v>1.1334993860117458E-4</v>
      </c>
      <c r="BS2">
        <f t="shared" si="4"/>
        <v>1.1334993860117458E-4</v>
      </c>
      <c r="BT2">
        <f t="shared" si="4"/>
        <v>1.1334993860117458E-4</v>
      </c>
      <c r="BU2">
        <f t="shared" si="4"/>
        <v>1.1334993860117458E-4</v>
      </c>
      <c r="BV2">
        <f t="shared" si="4"/>
        <v>1.1334993860117458E-4</v>
      </c>
      <c r="BW2">
        <f>+BV2</f>
        <v>1.1334993860117458E-4</v>
      </c>
      <c r="BX2">
        <f t="shared" ref="BX2:CZ8" si="5">+BW2</f>
        <v>1.1334993860117458E-4</v>
      </c>
      <c r="BY2">
        <f t="shared" si="5"/>
        <v>1.1334993860117458E-4</v>
      </c>
      <c r="BZ2">
        <f t="shared" si="5"/>
        <v>1.1334993860117458E-4</v>
      </c>
      <c r="CA2">
        <f t="shared" si="5"/>
        <v>1.1334993860117458E-4</v>
      </c>
      <c r="CB2">
        <f t="shared" si="5"/>
        <v>1.1334993860117458E-4</v>
      </c>
      <c r="CC2">
        <f t="shared" si="5"/>
        <v>1.1334993860117458E-4</v>
      </c>
      <c r="CD2">
        <f t="shared" si="5"/>
        <v>1.1334993860117458E-4</v>
      </c>
      <c r="CE2">
        <f t="shared" si="5"/>
        <v>1.1334993860117458E-4</v>
      </c>
      <c r="CF2">
        <f t="shared" si="5"/>
        <v>1.1334993860117458E-4</v>
      </c>
      <c r="CG2">
        <f t="shared" si="5"/>
        <v>1.1334993860117458E-4</v>
      </c>
      <c r="CH2">
        <f t="shared" si="5"/>
        <v>1.1334993860117458E-4</v>
      </c>
      <c r="CI2">
        <f t="shared" si="5"/>
        <v>1.1334993860117458E-4</v>
      </c>
      <c r="CJ2">
        <f t="shared" si="5"/>
        <v>1.1334993860117458E-4</v>
      </c>
      <c r="CK2">
        <f t="shared" si="5"/>
        <v>1.1334993860117458E-4</v>
      </c>
      <c r="CL2">
        <f t="shared" si="5"/>
        <v>1.1334993860117458E-4</v>
      </c>
      <c r="CM2">
        <f t="shared" si="5"/>
        <v>1.1334993860117458E-4</v>
      </c>
      <c r="CN2">
        <f t="shared" si="5"/>
        <v>1.1334993860117458E-4</v>
      </c>
      <c r="CO2">
        <f t="shared" si="5"/>
        <v>1.1334993860117458E-4</v>
      </c>
      <c r="CP2">
        <f t="shared" si="5"/>
        <v>1.1334993860117458E-4</v>
      </c>
      <c r="CQ2">
        <f t="shared" si="5"/>
        <v>1.1334993860117458E-4</v>
      </c>
      <c r="CR2">
        <f t="shared" si="5"/>
        <v>1.1334993860117458E-4</v>
      </c>
      <c r="CS2">
        <f t="shared" si="5"/>
        <v>1.1334993860117458E-4</v>
      </c>
      <c r="CT2">
        <f t="shared" si="5"/>
        <v>1.1334993860117458E-4</v>
      </c>
      <c r="CU2">
        <f t="shared" si="5"/>
        <v>1.1334993860117458E-4</v>
      </c>
      <c r="CV2">
        <f t="shared" si="5"/>
        <v>1.1334993860117458E-4</v>
      </c>
      <c r="CW2">
        <f t="shared" si="5"/>
        <v>1.1334993860117458E-4</v>
      </c>
      <c r="CX2">
        <f t="shared" si="5"/>
        <v>1.1334993860117458E-4</v>
      </c>
      <c r="CY2">
        <f t="shared" si="5"/>
        <v>1.1334993860117458E-4</v>
      </c>
      <c r="CZ2">
        <f t="shared" si="5"/>
        <v>1.1334993860117458E-4</v>
      </c>
    </row>
    <row r="3" spans="1:104" x14ac:dyDescent="0.25">
      <c r="A3" t="s">
        <v>1046</v>
      </c>
      <c r="B3" s="467" t="s">
        <v>707</v>
      </c>
      <c r="C3">
        <v>2005</v>
      </c>
      <c r="D3">
        <f t="shared" si="1"/>
        <v>1.4260544580886279</v>
      </c>
      <c r="E3">
        <f t="shared" ref="E3:AJ3" si="6">0.0049962*($D$3)</f>
        <v>7.1248532835024025E-3</v>
      </c>
      <c r="F3">
        <f t="shared" si="6"/>
        <v>7.1248532835024025E-3</v>
      </c>
      <c r="G3">
        <f t="shared" si="6"/>
        <v>7.1248532835024025E-3</v>
      </c>
      <c r="H3">
        <f t="shared" si="6"/>
        <v>7.1248532835024025E-3</v>
      </c>
      <c r="I3">
        <f t="shared" si="6"/>
        <v>7.1248532835024025E-3</v>
      </c>
      <c r="J3">
        <f t="shared" si="6"/>
        <v>7.1248532835024025E-3</v>
      </c>
      <c r="K3">
        <f t="shared" si="6"/>
        <v>7.1248532835024025E-3</v>
      </c>
      <c r="L3">
        <f t="shared" si="6"/>
        <v>7.1248532835024025E-3</v>
      </c>
      <c r="M3">
        <f t="shared" si="6"/>
        <v>7.1248532835024025E-3</v>
      </c>
      <c r="N3">
        <f t="shared" si="6"/>
        <v>7.1248532835024025E-3</v>
      </c>
      <c r="O3">
        <f t="shared" si="6"/>
        <v>7.1248532835024025E-3</v>
      </c>
      <c r="P3">
        <f t="shared" si="6"/>
        <v>7.1248532835024025E-3</v>
      </c>
      <c r="Q3">
        <f t="shared" si="6"/>
        <v>7.1248532835024025E-3</v>
      </c>
      <c r="R3">
        <f t="shared" si="6"/>
        <v>7.1248532835024025E-3</v>
      </c>
      <c r="S3">
        <f t="shared" si="6"/>
        <v>7.1248532835024025E-3</v>
      </c>
      <c r="T3">
        <f t="shared" si="6"/>
        <v>7.1248532835024025E-3</v>
      </c>
      <c r="U3">
        <f t="shared" si="6"/>
        <v>7.1248532835024025E-3</v>
      </c>
      <c r="V3">
        <f t="shared" si="6"/>
        <v>7.1248532835024025E-3</v>
      </c>
      <c r="W3">
        <f t="shared" si="6"/>
        <v>7.1248532835024025E-3</v>
      </c>
      <c r="X3">
        <f t="shared" si="6"/>
        <v>7.1248532835024025E-3</v>
      </c>
      <c r="Y3">
        <f t="shared" si="6"/>
        <v>7.1248532835024025E-3</v>
      </c>
      <c r="Z3">
        <f t="shared" si="6"/>
        <v>7.1248532835024025E-3</v>
      </c>
      <c r="AA3">
        <f t="shared" si="6"/>
        <v>7.1248532835024025E-3</v>
      </c>
      <c r="AB3">
        <f t="shared" si="6"/>
        <v>7.1248532835024025E-3</v>
      </c>
      <c r="AC3">
        <f t="shared" si="6"/>
        <v>7.1248532835024025E-3</v>
      </c>
      <c r="AD3">
        <f t="shared" si="6"/>
        <v>7.1248532835024025E-3</v>
      </c>
      <c r="AE3">
        <f t="shared" si="6"/>
        <v>7.1248532835024025E-3</v>
      </c>
      <c r="AF3">
        <f t="shared" si="6"/>
        <v>7.1248532835024025E-3</v>
      </c>
      <c r="AG3">
        <f t="shared" si="6"/>
        <v>7.1248532835024025E-3</v>
      </c>
      <c r="AH3">
        <f t="shared" si="6"/>
        <v>7.1248532835024025E-3</v>
      </c>
      <c r="AI3">
        <f t="shared" si="6"/>
        <v>7.1248532835024025E-3</v>
      </c>
      <c r="AJ3">
        <f t="shared" si="6"/>
        <v>7.1248532835024025E-3</v>
      </c>
      <c r="AK3">
        <f t="shared" ref="AK3:BP3" si="7">0.0049962*($D$3)</f>
        <v>7.1248532835024025E-3</v>
      </c>
      <c r="AL3">
        <f t="shared" si="7"/>
        <v>7.1248532835024025E-3</v>
      </c>
      <c r="AM3">
        <f t="shared" si="7"/>
        <v>7.1248532835024025E-3</v>
      </c>
      <c r="AN3">
        <f t="shared" si="7"/>
        <v>7.1248532835024025E-3</v>
      </c>
      <c r="AO3">
        <f t="shared" si="7"/>
        <v>7.1248532835024025E-3</v>
      </c>
      <c r="AP3">
        <f t="shared" si="7"/>
        <v>7.1248532835024025E-3</v>
      </c>
      <c r="AQ3">
        <f t="shared" si="7"/>
        <v>7.1248532835024025E-3</v>
      </c>
      <c r="AR3">
        <f t="shared" si="7"/>
        <v>7.1248532835024025E-3</v>
      </c>
      <c r="AS3">
        <f t="shared" si="7"/>
        <v>7.1248532835024025E-3</v>
      </c>
      <c r="AT3">
        <f t="shared" si="7"/>
        <v>7.1248532835024025E-3</v>
      </c>
      <c r="AU3">
        <f t="shared" si="7"/>
        <v>7.1248532835024025E-3</v>
      </c>
      <c r="AV3">
        <f t="shared" si="7"/>
        <v>7.1248532835024025E-3</v>
      </c>
      <c r="AW3">
        <f t="shared" si="7"/>
        <v>7.1248532835024025E-3</v>
      </c>
      <c r="AX3">
        <f t="shared" si="7"/>
        <v>7.1248532835024025E-3</v>
      </c>
      <c r="AY3">
        <f t="shared" si="7"/>
        <v>7.1248532835024025E-3</v>
      </c>
      <c r="AZ3">
        <f t="shared" si="7"/>
        <v>7.1248532835024025E-3</v>
      </c>
      <c r="BA3">
        <f t="shared" si="7"/>
        <v>7.1248532835024025E-3</v>
      </c>
      <c r="BB3">
        <f t="shared" si="7"/>
        <v>7.1248532835024025E-3</v>
      </c>
      <c r="BC3">
        <f t="shared" si="7"/>
        <v>7.1248532835024025E-3</v>
      </c>
      <c r="BD3">
        <f t="shared" si="7"/>
        <v>7.1248532835024025E-3</v>
      </c>
      <c r="BE3">
        <f t="shared" si="7"/>
        <v>7.1248532835024025E-3</v>
      </c>
      <c r="BF3">
        <f t="shared" si="7"/>
        <v>7.1248532835024025E-3</v>
      </c>
      <c r="BG3">
        <f t="shared" si="7"/>
        <v>7.1248532835024025E-3</v>
      </c>
      <c r="BH3">
        <f t="shared" si="7"/>
        <v>7.1248532835024025E-3</v>
      </c>
      <c r="BI3">
        <f t="shared" si="7"/>
        <v>7.1248532835024025E-3</v>
      </c>
      <c r="BJ3">
        <f t="shared" si="7"/>
        <v>7.1248532835024025E-3</v>
      </c>
      <c r="BK3">
        <f t="shared" si="7"/>
        <v>7.1248532835024025E-3</v>
      </c>
      <c r="BL3">
        <f t="shared" si="7"/>
        <v>7.1248532835024025E-3</v>
      </c>
      <c r="BM3">
        <f t="shared" si="7"/>
        <v>7.1248532835024025E-3</v>
      </c>
      <c r="BN3">
        <f t="shared" si="7"/>
        <v>7.1248532835024025E-3</v>
      </c>
      <c r="BO3">
        <f t="shared" si="7"/>
        <v>7.1248532835024025E-3</v>
      </c>
      <c r="BP3">
        <f t="shared" si="7"/>
        <v>7.1248532835024025E-3</v>
      </c>
      <c r="BQ3">
        <f t="shared" ref="BQ3:BV3" si="8">0.0049962*($D$3)</f>
        <v>7.1248532835024025E-3</v>
      </c>
      <c r="BR3">
        <f t="shared" si="8"/>
        <v>7.1248532835024025E-3</v>
      </c>
      <c r="BS3">
        <f t="shared" si="8"/>
        <v>7.1248532835024025E-3</v>
      </c>
      <c r="BT3">
        <f t="shared" si="8"/>
        <v>7.1248532835024025E-3</v>
      </c>
      <c r="BU3">
        <f t="shared" si="8"/>
        <v>7.1248532835024025E-3</v>
      </c>
      <c r="BV3">
        <f t="shared" si="8"/>
        <v>7.1248532835024025E-3</v>
      </c>
      <c r="BW3">
        <f t="shared" ref="BW3:CL8" si="9">+BV3</f>
        <v>7.1248532835024025E-3</v>
      </c>
      <c r="BX3">
        <f t="shared" si="9"/>
        <v>7.1248532835024025E-3</v>
      </c>
      <c r="BY3">
        <f t="shared" si="9"/>
        <v>7.1248532835024025E-3</v>
      </c>
      <c r="BZ3">
        <f t="shared" si="9"/>
        <v>7.1248532835024025E-3</v>
      </c>
      <c r="CA3">
        <f t="shared" si="9"/>
        <v>7.1248532835024025E-3</v>
      </c>
      <c r="CB3">
        <f t="shared" si="9"/>
        <v>7.1248532835024025E-3</v>
      </c>
      <c r="CC3">
        <f t="shared" si="9"/>
        <v>7.1248532835024025E-3</v>
      </c>
      <c r="CD3">
        <f t="shared" si="9"/>
        <v>7.1248532835024025E-3</v>
      </c>
      <c r="CE3">
        <f t="shared" si="9"/>
        <v>7.1248532835024025E-3</v>
      </c>
      <c r="CF3">
        <f t="shared" si="9"/>
        <v>7.1248532835024025E-3</v>
      </c>
      <c r="CG3">
        <f t="shared" si="9"/>
        <v>7.1248532835024025E-3</v>
      </c>
      <c r="CH3">
        <f t="shared" si="9"/>
        <v>7.1248532835024025E-3</v>
      </c>
      <c r="CI3">
        <f t="shared" si="9"/>
        <v>7.1248532835024025E-3</v>
      </c>
      <c r="CJ3">
        <f t="shared" si="9"/>
        <v>7.1248532835024025E-3</v>
      </c>
      <c r="CK3">
        <f t="shared" si="9"/>
        <v>7.1248532835024025E-3</v>
      </c>
      <c r="CL3">
        <f t="shared" si="9"/>
        <v>7.1248532835024025E-3</v>
      </c>
      <c r="CM3">
        <f t="shared" si="5"/>
        <v>7.1248532835024025E-3</v>
      </c>
      <c r="CN3">
        <f t="shared" si="5"/>
        <v>7.1248532835024025E-3</v>
      </c>
      <c r="CO3">
        <f t="shared" si="5"/>
        <v>7.1248532835024025E-3</v>
      </c>
      <c r="CP3">
        <f t="shared" si="5"/>
        <v>7.1248532835024025E-3</v>
      </c>
      <c r="CQ3">
        <f t="shared" si="5"/>
        <v>7.1248532835024025E-3</v>
      </c>
      <c r="CR3">
        <f t="shared" si="5"/>
        <v>7.1248532835024025E-3</v>
      </c>
      <c r="CS3">
        <f t="shared" si="5"/>
        <v>7.1248532835024025E-3</v>
      </c>
      <c r="CT3">
        <f t="shared" si="5"/>
        <v>7.1248532835024025E-3</v>
      </c>
      <c r="CU3">
        <f t="shared" si="5"/>
        <v>7.1248532835024025E-3</v>
      </c>
      <c r="CV3">
        <f t="shared" si="5"/>
        <v>7.1248532835024025E-3</v>
      </c>
      <c r="CW3">
        <f t="shared" si="5"/>
        <v>7.1248532835024025E-3</v>
      </c>
      <c r="CX3">
        <f t="shared" si="5"/>
        <v>7.1248532835024025E-3</v>
      </c>
      <c r="CY3">
        <f t="shared" si="5"/>
        <v>7.1248532835024025E-3</v>
      </c>
      <c r="CZ3">
        <f t="shared" si="5"/>
        <v>7.1248532835024025E-3</v>
      </c>
    </row>
    <row r="4" spans="1:104" x14ac:dyDescent="0.25">
      <c r="A4" t="s">
        <v>1047</v>
      </c>
      <c r="B4" s="467" t="s">
        <v>707</v>
      </c>
      <c r="C4">
        <v>2005</v>
      </c>
      <c r="D4">
        <f t="shared" si="1"/>
        <v>1.4260544580886279</v>
      </c>
      <c r="E4">
        <f t="shared" ref="E4:AJ4" si="10">0.0016654*($D$4)</f>
        <v>2.374951094500801E-3</v>
      </c>
      <c r="F4">
        <f t="shared" si="10"/>
        <v>2.374951094500801E-3</v>
      </c>
      <c r="G4">
        <f t="shared" si="10"/>
        <v>2.374951094500801E-3</v>
      </c>
      <c r="H4">
        <f t="shared" si="10"/>
        <v>2.374951094500801E-3</v>
      </c>
      <c r="I4">
        <f t="shared" si="10"/>
        <v>2.374951094500801E-3</v>
      </c>
      <c r="J4">
        <f t="shared" si="10"/>
        <v>2.374951094500801E-3</v>
      </c>
      <c r="K4">
        <f t="shared" si="10"/>
        <v>2.374951094500801E-3</v>
      </c>
      <c r="L4">
        <f t="shared" si="10"/>
        <v>2.374951094500801E-3</v>
      </c>
      <c r="M4">
        <f t="shared" si="10"/>
        <v>2.374951094500801E-3</v>
      </c>
      <c r="N4">
        <f t="shared" si="10"/>
        <v>2.374951094500801E-3</v>
      </c>
      <c r="O4">
        <f t="shared" si="10"/>
        <v>2.374951094500801E-3</v>
      </c>
      <c r="P4">
        <f t="shared" si="10"/>
        <v>2.374951094500801E-3</v>
      </c>
      <c r="Q4">
        <f t="shared" si="10"/>
        <v>2.374951094500801E-3</v>
      </c>
      <c r="R4">
        <f t="shared" si="10"/>
        <v>2.374951094500801E-3</v>
      </c>
      <c r="S4">
        <f t="shared" si="10"/>
        <v>2.374951094500801E-3</v>
      </c>
      <c r="T4">
        <f t="shared" si="10"/>
        <v>2.374951094500801E-3</v>
      </c>
      <c r="U4">
        <f t="shared" si="10"/>
        <v>2.374951094500801E-3</v>
      </c>
      <c r="V4">
        <f t="shared" si="10"/>
        <v>2.374951094500801E-3</v>
      </c>
      <c r="W4">
        <f t="shared" si="10"/>
        <v>2.374951094500801E-3</v>
      </c>
      <c r="X4">
        <f t="shared" si="10"/>
        <v>2.374951094500801E-3</v>
      </c>
      <c r="Y4">
        <f t="shared" si="10"/>
        <v>2.374951094500801E-3</v>
      </c>
      <c r="Z4">
        <f t="shared" si="10"/>
        <v>2.374951094500801E-3</v>
      </c>
      <c r="AA4">
        <f t="shared" si="10"/>
        <v>2.374951094500801E-3</v>
      </c>
      <c r="AB4">
        <f t="shared" si="10"/>
        <v>2.374951094500801E-3</v>
      </c>
      <c r="AC4">
        <f t="shared" si="10"/>
        <v>2.374951094500801E-3</v>
      </c>
      <c r="AD4">
        <f t="shared" si="10"/>
        <v>2.374951094500801E-3</v>
      </c>
      <c r="AE4">
        <f t="shared" si="10"/>
        <v>2.374951094500801E-3</v>
      </c>
      <c r="AF4">
        <f t="shared" si="10"/>
        <v>2.374951094500801E-3</v>
      </c>
      <c r="AG4">
        <f t="shared" si="10"/>
        <v>2.374951094500801E-3</v>
      </c>
      <c r="AH4">
        <f t="shared" si="10"/>
        <v>2.374951094500801E-3</v>
      </c>
      <c r="AI4">
        <f t="shared" si="10"/>
        <v>2.374951094500801E-3</v>
      </c>
      <c r="AJ4">
        <f t="shared" si="10"/>
        <v>2.374951094500801E-3</v>
      </c>
      <c r="AK4">
        <f t="shared" ref="AK4:BP4" si="11">0.0016654*($D$4)</f>
        <v>2.374951094500801E-3</v>
      </c>
      <c r="AL4">
        <f t="shared" si="11"/>
        <v>2.374951094500801E-3</v>
      </c>
      <c r="AM4">
        <f t="shared" si="11"/>
        <v>2.374951094500801E-3</v>
      </c>
      <c r="AN4">
        <f t="shared" si="11"/>
        <v>2.374951094500801E-3</v>
      </c>
      <c r="AO4">
        <f t="shared" si="11"/>
        <v>2.374951094500801E-3</v>
      </c>
      <c r="AP4">
        <f t="shared" si="11"/>
        <v>2.374951094500801E-3</v>
      </c>
      <c r="AQ4">
        <f t="shared" si="11"/>
        <v>2.374951094500801E-3</v>
      </c>
      <c r="AR4">
        <f t="shared" si="11"/>
        <v>2.374951094500801E-3</v>
      </c>
      <c r="AS4">
        <f t="shared" si="11"/>
        <v>2.374951094500801E-3</v>
      </c>
      <c r="AT4">
        <f t="shared" si="11"/>
        <v>2.374951094500801E-3</v>
      </c>
      <c r="AU4">
        <f t="shared" si="11"/>
        <v>2.374951094500801E-3</v>
      </c>
      <c r="AV4">
        <f t="shared" si="11"/>
        <v>2.374951094500801E-3</v>
      </c>
      <c r="AW4">
        <f t="shared" si="11"/>
        <v>2.374951094500801E-3</v>
      </c>
      <c r="AX4">
        <f t="shared" si="11"/>
        <v>2.374951094500801E-3</v>
      </c>
      <c r="AY4">
        <f t="shared" si="11"/>
        <v>2.374951094500801E-3</v>
      </c>
      <c r="AZ4">
        <f t="shared" si="11"/>
        <v>2.374951094500801E-3</v>
      </c>
      <c r="BA4">
        <f t="shared" si="11"/>
        <v>2.374951094500801E-3</v>
      </c>
      <c r="BB4">
        <f t="shared" si="11"/>
        <v>2.374951094500801E-3</v>
      </c>
      <c r="BC4">
        <f t="shared" si="11"/>
        <v>2.374951094500801E-3</v>
      </c>
      <c r="BD4">
        <f t="shared" si="11"/>
        <v>2.374951094500801E-3</v>
      </c>
      <c r="BE4">
        <f t="shared" si="11"/>
        <v>2.374951094500801E-3</v>
      </c>
      <c r="BF4">
        <f t="shared" si="11"/>
        <v>2.374951094500801E-3</v>
      </c>
      <c r="BG4">
        <f t="shared" si="11"/>
        <v>2.374951094500801E-3</v>
      </c>
      <c r="BH4">
        <f t="shared" si="11"/>
        <v>2.374951094500801E-3</v>
      </c>
      <c r="BI4">
        <f t="shared" si="11"/>
        <v>2.374951094500801E-3</v>
      </c>
      <c r="BJ4">
        <f t="shared" si="11"/>
        <v>2.374951094500801E-3</v>
      </c>
      <c r="BK4">
        <f t="shared" si="11"/>
        <v>2.374951094500801E-3</v>
      </c>
      <c r="BL4">
        <f t="shared" si="11"/>
        <v>2.374951094500801E-3</v>
      </c>
      <c r="BM4">
        <f t="shared" si="11"/>
        <v>2.374951094500801E-3</v>
      </c>
      <c r="BN4">
        <f t="shared" si="11"/>
        <v>2.374951094500801E-3</v>
      </c>
      <c r="BO4">
        <f t="shared" si="11"/>
        <v>2.374951094500801E-3</v>
      </c>
      <c r="BP4">
        <f t="shared" si="11"/>
        <v>2.374951094500801E-3</v>
      </c>
      <c r="BQ4">
        <f t="shared" ref="BQ4:BV4" si="12">0.0016654*($D$4)</f>
        <v>2.374951094500801E-3</v>
      </c>
      <c r="BR4">
        <f t="shared" si="12"/>
        <v>2.374951094500801E-3</v>
      </c>
      <c r="BS4">
        <f t="shared" si="12"/>
        <v>2.374951094500801E-3</v>
      </c>
      <c r="BT4">
        <f t="shared" si="12"/>
        <v>2.374951094500801E-3</v>
      </c>
      <c r="BU4">
        <f t="shared" si="12"/>
        <v>2.374951094500801E-3</v>
      </c>
      <c r="BV4">
        <f t="shared" si="12"/>
        <v>2.374951094500801E-3</v>
      </c>
      <c r="BW4">
        <f t="shared" si="9"/>
        <v>2.374951094500801E-3</v>
      </c>
      <c r="BX4">
        <f t="shared" si="5"/>
        <v>2.374951094500801E-3</v>
      </c>
      <c r="BY4">
        <f t="shared" si="5"/>
        <v>2.374951094500801E-3</v>
      </c>
      <c r="BZ4">
        <f t="shared" si="5"/>
        <v>2.374951094500801E-3</v>
      </c>
      <c r="CA4">
        <f t="shared" si="5"/>
        <v>2.374951094500801E-3</v>
      </c>
      <c r="CB4">
        <f t="shared" si="5"/>
        <v>2.374951094500801E-3</v>
      </c>
      <c r="CC4">
        <f t="shared" si="5"/>
        <v>2.374951094500801E-3</v>
      </c>
      <c r="CD4">
        <f t="shared" si="5"/>
        <v>2.374951094500801E-3</v>
      </c>
      <c r="CE4">
        <f t="shared" si="5"/>
        <v>2.374951094500801E-3</v>
      </c>
      <c r="CF4">
        <f t="shared" si="5"/>
        <v>2.374951094500801E-3</v>
      </c>
      <c r="CG4">
        <f t="shared" si="5"/>
        <v>2.374951094500801E-3</v>
      </c>
      <c r="CH4">
        <f t="shared" si="5"/>
        <v>2.374951094500801E-3</v>
      </c>
      <c r="CI4">
        <f t="shared" si="5"/>
        <v>2.374951094500801E-3</v>
      </c>
      <c r="CJ4">
        <f t="shared" si="5"/>
        <v>2.374951094500801E-3</v>
      </c>
      <c r="CK4">
        <f t="shared" si="5"/>
        <v>2.374951094500801E-3</v>
      </c>
      <c r="CL4">
        <f t="shared" si="5"/>
        <v>2.374951094500801E-3</v>
      </c>
      <c r="CM4">
        <f t="shared" si="5"/>
        <v>2.374951094500801E-3</v>
      </c>
      <c r="CN4">
        <f t="shared" si="5"/>
        <v>2.374951094500801E-3</v>
      </c>
      <c r="CO4">
        <f t="shared" si="5"/>
        <v>2.374951094500801E-3</v>
      </c>
      <c r="CP4">
        <f t="shared" si="5"/>
        <v>2.374951094500801E-3</v>
      </c>
      <c r="CQ4">
        <f t="shared" si="5"/>
        <v>2.374951094500801E-3</v>
      </c>
      <c r="CR4">
        <f t="shared" si="5"/>
        <v>2.374951094500801E-3</v>
      </c>
      <c r="CS4">
        <f t="shared" si="5"/>
        <v>2.374951094500801E-3</v>
      </c>
      <c r="CT4">
        <f t="shared" si="5"/>
        <v>2.374951094500801E-3</v>
      </c>
      <c r="CU4">
        <f t="shared" si="5"/>
        <v>2.374951094500801E-3</v>
      </c>
      <c r="CV4">
        <f t="shared" si="5"/>
        <v>2.374951094500801E-3</v>
      </c>
      <c r="CW4">
        <f t="shared" si="5"/>
        <v>2.374951094500801E-3</v>
      </c>
      <c r="CX4">
        <f t="shared" si="5"/>
        <v>2.374951094500801E-3</v>
      </c>
      <c r="CY4">
        <f t="shared" si="5"/>
        <v>2.374951094500801E-3</v>
      </c>
      <c r="CZ4">
        <f t="shared" si="5"/>
        <v>2.374951094500801E-3</v>
      </c>
    </row>
    <row r="5" spans="1:104" x14ac:dyDescent="0.25">
      <c r="A5" t="s">
        <v>1048</v>
      </c>
      <c r="B5" s="467" t="s">
        <v>268</v>
      </c>
      <c r="C5">
        <v>2005</v>
      </c>
      <c r="D5">
        <f t="shared" si="1"/>
        <v>1.4260544580886279</v>
      </c>
      <c r="E5">
        <f t="shared" ref="E5:AJ5" si="13">0.02*($D$5)</f>
        <v>2.8521089161772557E-2</v>
      </c>
      <c r="F5">
        <f t="shared" si="13"/>
        <v>2.8521089161772557E-2</v>
      </c>
      <c r="G5">
        <f t="shared" si="13"/>
        <v>2.8521089161772557E-2</v>
      </c>
      <c r="H5">
        <f t="shared" si="13"/>
        <v>2.8521089161772557E-2</v>
      </c>
      <c r="I5">
        <f t="shared" si="13"/>
        <v>2.8521089161772557E-2</v>
      </c>
      <c r="J5">
        <f t="shared" si="13"/>
        <v>2.8521089161772557E-2</v>
      </c>
      <c r="K5">
        <f t="shared" si="13"/>
        <v>2.8521089161772557E-2</v>
      </c>
      <c r="L5">
        <f t="shared" si="13"/>
        <v>2.8521089161772557E-2</v>
      </c>
      <c r="M5">
        <f t="shared" si="13"/>
        <v>2.8521089161772557E-2</v>
      </c>
      <c r="N5">
        <f t="shared" si="13"/>
        <v>2.8521089161772557E-2</v>
      </c>
      <c r="O5">
        <f t="shared" si="13"/>
        <v>2.8521089161772557E-2</v>
      </c>
      <c r="P5">
        <f t="shared" si="13"/>
        <v>2.8521089161772557E-2</v>
      </c>
      <c r="Q5">
        <f t="shared" si="13"/>
        <v>2.8521089161772557E-2</v>
      </c>
      <c r="R5">
        <f t="shared" si="13"/>
        <v>2.8521089161772557E-2</v>
      </c>
      <c r="S5">
        <f t="shared" si="13"/>
        <v>2.8521089161772557E-2</v>
      </c>
      <c r="T5">
        <f t="shared" si="13"/>
        <v>2.8521089161772557E-2</v>
      </c>
      <c r="U5">
        <f t="shared" si="13"/>
        <v>2.8521089161772557E-2</v>
      </c>
      <c r="V5">
        <f t="shared" si="13"/>
        <v>2.8521089161772557E-2</v>
      </c>
      <c r="W5">
        <f t="shared" si="13"/>
        <v>2.8521089161772557E-2</v>
      </c>
      <c r="X5">
        <f t="shared" si="13"/>
        <v>2.8521089161772557E-2</v>
      </c>
      <c r="Y5">
        <f t="shared" si="13"/>
        <v>2.8521089161772557E-2</v>
      </c>
      <c r="Z5">
        <f t="shared" si="13"/>
        <v>2.8521089161772557E-2</v>
      </c>
      <c r="AA5">
        <f t="shared" si="13"/>
        <v>2.8521089161772557E-2</v>
      </c>
      <c r="AB5">
        <f t="shared" si="13"/>
        <v>2.8521089161772557E-2</v>
      </c>
      <c r="AC5">
        <f t="shared" si="13"/>
        <v>2.8521089161772557E-2</v>
      </c>
      <c r="AD5">
        <f t="shared" si="13"/>
        <v>2.8521089161772557E-2</v>
      </c>
      <c r="AE5">
        <f t="shared" si="13"/>
        <v>2.8521089161772557E-2</v>
      </c>
      <c r="AF5">
        <f t="shared" si="13"/>
        <v>2.8521089161772557E-2</v>
      </c>
      <c r="AG5">
        <f t="shared" si="13"/>
        <v>2.8521089161772557E-2</v>
      </c>
      <c r="AH5">
        <f t="shared" si="13"/>
        <v>2.8521089161772557E-2</v>
      </c>
      <c r="AI5">
        <f t="shared" si="13"/>
        <v>2.8521089161772557E-2</v>
      </c>
      <c r="AJ5">
        <f t="shared" si="13"/>
        <v>2.8521089161772557E-2</v>
      </c>
      <c r="AK5">
        <f t="shared" ref="AK5:BP5" si="14">0.02*($D$5)</f>
        <v>2.8521089161772557E-2</v>
      </c>
      <c r="AL5">
        <f t="shared" si="14"/>
        <v>2.8521089161772557E-2</v>
      </c>
      <c r="AM5">
        <f t="shared" si="14"/>
        <v>2.8521089161772557E-2</v>
      </c>
      <c r="AN5">
        <f t="shared" si="14"/>
        <v>2.8521089161772557E-2</v>
      </c>
      <c r="AO5">
        <f t="shared" si="14"/>
        <v>2.8521089161772557E-2</v>
      </c>
      <c r="AP5">
        <f t="shared" si="14"/>
        <v>2.8521089161772557E-2</v>
      </c>
      <c r="AQ5">
        <f t="shared" si="14"/>
        <v>2.8521089161772557E-2</v>
      </c>
      <c r="AR5">
        <f t="shared" si="14"/>
        <v>2.8521089161772557E-2</v>
      </c>
      <c r="AS5">
        <f t="shared" si="14"/>
        <v>2.8521089161772557E-2</v>
      </c>
      <c r="AT5">
        <f t="shared" si="14"/>
        <v>2.8521089161772557E-2</v>
      </c>
      <c r="AU5">
        <f t="shared" si="14"/>
        <v>2.8521089161772557E-2</v>
      </c>
      <c r="AV5">
        <f t="shared" si="14"/>
        <v>2.8521089161772557E-2</v>
      </c>
      <c r="AW5">
        <f t="shared" si="14"/>
        <v>2.8521089161772557E-2</v>
      </c>
      <c r="AX5">
        <f t="shared" si="14"/>
        <v>2.8521089161772557E-2</v>
      </c>
      <c r="AY5">
        <f t="shared" si="14"/>
        <v>2.8521089161772557E-2</v>
      </c>
      <c r="AZ5">
        <f t="shared" si="14"/>
        <v>2.8521089161772557E-2</v>
      </c>
      <c r="BA5">
        <f t="shared" si="14"/>
        <v>2.8521089161772557E-2</v>
      </c>
      <c r="BB5">
        <f t="shared" si="14"/>
        <v>2.8521089161772557E-2</v>
      </c>
      <c r="BC5">
        <f t="shared" si="14"/>
        <v>2.8521089161772557E-2</v>
      </c>
      <c r="BD5">
        <f t="shared" si="14"/>
        <v>2.8521089161772557E-2</v>
      </c>
      <c r="BE5">
        <f t="shared" si="14"/>
        <v>2.8521089161772557E-2</v>
      </c>
      <c r="BF5">
        <f t="shared" si="14"/>
        <v>2.8521089161772557E-2</v>
      </c>
      <c r="BG5">
        <f t="shared" si="14"/>
        <v>2.8521089161772557E-2</v>
      </c>
      <c r="BH5">
        <f t="shared" si="14"/>
        <v>2.8521089161772557E-2</v>
      </c>
      <c r="BI5">
        <f t="shared" si="14"/>
        <v>2.8521089161772557E-2</v>
      </c>
      <c r="BJ5">
        <f t="shared" si="14"/>
        <v>2.8521089161772557E-2</v>
      </c>
      <c r="BK5">
        <f t="shared" si="14"/>
        <v>2.8521089161772557E-2</v>
      </c>
      <c r="BL5">
        <f t="shared" si="14"/>
        <v>2.8521089161772557E-2</v>
      </c>
      <c r="BM5">
        <f t="shared" si="14"/>
        <v>2.8521089161772557E-2</v>
      </c>
      <c r="BN5">
        <f t="shared" si="14"/>
        <v>2.8521089161772557E-2</v>
      </c>
      <c r="BO5">
        <f t="shared" si="14"/>
        <v>2.8521089161772557E-2</v>
      </c>
      <c r="BP5">
        <f t="shared" si="14"/>
        <v>2.8521089161772557E-2</v>
      </c>
      <c r="BQ5">
        <f t="shared" ref="BQ5:BV5" si="15">0.02*($D$5)</f>
        <v>2.8521089161772557E-2</v>
      </c>
      <c r="BR5">
        <f t="shared" si="15"/>
        <v>2.8521089161772557E-2</v>
      </c>
      <c r="BS5">
        <f t="shared" si="15"/>
        <v>2.8521089161772557E-2</v>
      </c>
      <c r="BT5">
        <f t="shared" si="15"/>
        <v>2.8521089161772557E-2</v>
      </c>
      <c r="BU5">
        <f t="shared" si="15"/>
        <v>2.8521089161772557E-2</v>
      </c>
      <c r="BV5">
        <f t="shared" si="15"/>
        <v>2.8521089161772557E-2</v>
      </c>
      <c r="BW5">
        <f t="shared" si="9"/>
        <v>2.8521089161772557E-2</v>
      </c>
      <c r="BX5">
        <f t="shared" si="5"/>
        <v>2.8521089161772557E-2</v>
      </c>
      <c r="BY5">
        <f t="shared" si="5"/>
        <v>2.8521089161772557E-2</v>
      </c>
      <c r="BZ5">
        <f t="shared" si="5"/>
        <v>2.8521089161772557E-2</v>
      </c>
      <c r="CA5">
        <f t="shared" si="5"/>
        <v>2.8521089161772557E-2</v>
      </c>
      <c r="CB5">
        <f t="shared" si="5"/>
        <v>2.8521089161772557E-2</v>
      </c>
      <c r="CC5">
        <f t="shared" si="5"/>
        <v>2.8521089161772557E-2</v>
      </c>
      <c r="CD5">
        <f t="shared" si="5"/>
        <v>2.8521089161772557E-2</v>
      </c>
      <c r="CE5">
        <f t="shared" si="5"/>
        <v>2.8521089161772557E-2</v>
      </c>
      <c r="CF5">
        <f t="shared" si="5"/>
        <v>2.8521089161772557E-2</v>
      </c>
      <c r="CG5">
        <f t="shared" si="5"/>
        <v>2.8521089161772557E-2</v>
      </c>
      <c r="CH5">
        <f t="shared" si="5"/>
        <v>2.8521089161772557E-2</v>
      </c>
      <c r="CI5">
        <f t="shared" si="5"/>
        <v>2.8521089161772557E-2</v>
      </c>
      <c r="CJ5">
        <f t="shared" si="5"/>
        <v>2.8521089161772557E-2</v>
      </c>
      <c r="CK5">
        <f t="shared" si="5"/>
        <v>2.8521089161772557E-2</v>
      </c>
      <c r="CL5">
        <f t="shared" si="5"/>
        <v>2.8521089161772557E-2</v>
      </c>
      <c r="CM5">
        <f t="shared" si="5"/>
        <v>2.8521089161772557E-2</v>
      </c>
      <c r="CN5">
        <f t="shared" si="5"/>
        <v>2.8521089161772557E-2</v>
      </c>
      <c r="CO5">
        <f t="shared" si="5"/>
        <v>2.8521089161772557E-2</v>
      </c>
      <c r="CP5">
        <f t="shared" si="5"/>
        <v>2.8521089161772557E-2</v>
      </c>
      <c r="CQ5">
        <f t="shared" si="5"/>
        <v>2.8521089161772557E-2</v>
      </c>
      <c r="CR5">
        <f t="shared" si="5"/>
        <v>2.8521089161772557E-2</v>
      </c>
      <c r="CS5">
        <f t="shared" si="5"/>
        <v>2.8521089161772557E-2</v>
      </c>
      <c r="CT5">
        <f t="shared" si="5"/>
        <v>2.8521089161772557E-2</v>
      </c>
      <c r="CU5">
        <f t="shared" si="5"/>
        <v>2.8521089161772557E-2</v>
      </c>
      <c r="CV5">
        <f t="shared" si="5"/>
        <v>2.8521089161772557E-2</v>
      </c>
      <c r="CW5">
        <f t="shared" si="5"/>
        <v>2.8521089161772557E-2</v>
      </c>
      <c r="CX5">
        <f t="shared" si="5"/>
        <v>2.8521089161772557E-2</v>
      </c>
      <c r="CY5">
        <f t="shared" si="5"/>
        <v>2.8521089161772557E-2</v>
      </c>
      <c r="CZ5">
        <f t="shared" si="5"/>
        <v>2.8521089161772557E-2</v>
      </c>
    </row>
    <row r="6" spans="1:104" x14ac:dyDescent="0.25">
      <c r="A6" t="s">
        <v>674</v>
      </c>
      <c r="B6" s="467" t="s">
        <v>268</v>
      </c>
      <c r="C6">
        <v>2005</v>
      </c>
      <c r="D6">
        <f t="shared" si="1"/>
        <v>1.4260544580886279</v>
      </c>
      <c r="E6">
        <f t="shared" ref="E6:AJ6" si="16">0*($D$6)</f>
        <v>0</v>
      </c>
      <c r="F6">
        <f t="shared" si="16"/>
        <v>0</v>
      </c>
      <c r="G6">
        <f t="shared" si="16"/>
        <v>0</v>
      </c>
      <c r="H6">
        <f t="shared" si="16"/>
        <v>0</v>
      </c>
      <c r="I6">
        <f t="shared" si="16"/>
        <v>0</v>
      </c>
      <c r="J6">
        <f t="shared" si="16"/>
        <v>0</v>
      </c>
      <c r="K6">
        <f t="shared" si="16"/>
        <v>0</v>
      </c>
      <c r="L6">
        <f t="shared" si="16"/>
        <v>0</v>
      </c>
      <c r="M6">
        <f t="shared" si="16"/>
        <v>0</v>
      </c>
      <c r="N6">
        <f t="shared" si="16"/>
        <v>0</v>
      </c>
      <c r="O6">
        <f t="shared" si="16"/>
        <v>0</v>
      </c>
      <c r="P6">
        <f t="shared" si="16"/>
        <v>0</v>
      </c>
      <c r="Q6">
        <f t="shared" si="16"/>
        <v>0</v>
      </c>
      <c r="R6">
        <f t="shared" si="16"/>
        <v>0</v>
      </c>
      <c r="S6">
        <f t="shared" si="16"/>
        <v>0</v>
      </c>
      <c r="T6">
        <f t="shared" si="16"/>
        <v>0</v>
      </c>
      <c r="U6">
        <f t="shared" si="16"/>
        <v>0</v>
      </c>
      <c r="V6">
        <f t="shared" si="16"/>
        <v>0</v>
      </c>
      <c r="W6">
        <f t="shared" si="16"/>
        <v>0</v>
      </c>
      <c r="X6">
        <f t="shared" si="16"/>
        <v>0</v>
      </c>
      <c r="Y6">
        <f t="shared" si="16"/>
        <v>0</v>
      </c>
      <c r="Z6">
        <f t="shared" si="16"/>
        <v>0</v>
      </c>
      <c r="AA6">
        <f t="shared" si="16"/>
        <v>0</v>
      </c>
      <c r="AB6">
        <f t="shared" si="16"/>
        <v>0</v>
      </c>
      <c r="AC6">
        <f t="shared" si="16"/>
        <v>0</v>
      </c>
      <c r="AD6">
        <f t="shared" si="16"/>
        <v>0</v>
      </c>
      <c r="AE6">
        <f t="shared" si="16"/>
        <v>0</v>
      </c>
      <c r="AF6">
        <f t="shared" si="16"/>
        <v>0</v>
      </c>
      <c r="AG6">
        <f t="shared" si="16"/>
        <v>0</v>
      </c>
      <c r="AH6">
        <f t="shared" si="16"/>
        <v>0</v>
      </c>
      <c r="AI6">
        <f t="shared" si="16"/>
        <v>0</v>
      </c>
      <c r="AJ6">
        <f t="shared" si="16"/>
        <v>0</v>
      </c>
      <c r="AK6">
        <f t="shared" ref="AK6:BP6" si="17">0*($D$6)</f>
        <v>0</v>
      </c>
      <c r="AL6">
        <f t="shared" si="17"/>
        <v>0</v>
      </c>
      <c r="AM6">
        <f t="shared" si="17"/>
        <v>0</v>
      </c>
      <c r="AN6">
        <f t="shared" si="17"/>
        <v>0</v>
      </c>
      <c r="AO6">
        <f t="shared" si="17"/>
        <v>0</v>
      </c>
      <c r="AP6">
        <f t="shared" si="17"/>
        <v>0</v>
      </c>
      <c r="AQ6">
        <f t="shared" si="17"/>
        <v>0</v>
      </c>
      <c r="AR6">
        <f t="shared" si="17"/>
        <v>0</v>
      </c>
      <c r="AS6">
        <f t="shared" si="17"/>
        <v>0</v>
      </c>
      <c r="AT6">
        <f t="shared" si="17"/>
        <v>0</v>
      </c>
      <c r="AU6">
        <f t="shared" si="17"/>
        <v>0</v>
      </c>
      <c r="AV6">
        <f t="shared" si="17"/>
        <v>0</v>
      </c>
      <c r="AW6">
        <f t="shared" si="17"/>
        <v>0</v>
      </c>
      <c r="AX6">
        <f t="shared" si="17"/>
        <v>0</v>
      </c>
      <c r="AY6">
        <f t="shared" si="17"/>
        <v>0</v>
      </c>
      <c r="AZ6">
        <f t="shared" si="17"/>
        <v>0</v>
      </c>
      <c r="BA6">
        <f t="shared" si="17"/>
        <v>0</v>
      </c>
      <c r="BB6">
        <f t="shared" si="17"/>
        <v>0</v>
      </c>
      <c r="BC6">
        <f t="shared" si="17"/>
        <v>0</v>
      </c>
      <c r="BD6">
        <f t="shared" si="17"/>
        <v>0</v>
      </c>
      <c r="BE6">
        <f t="shared" si="17"/>
        <v>0</v>
      </c>
      <c r="BF6">
        <f t="shared" si="17"/>
        <v>0</v>
      </c>
      <c r="BG6">
        <f t="shared" si="17"/>
        <v>0</v>
      </c>
      <c r="BH6">
        <f t="shared" si="17"/>
        <v>0</v>
      </c>
      <c r="BI6">
        <f t="shared" si="17"/>
        <v>0</v>
      </c>
      <c r="BJ6">
        <f t="shared" si="17"/>
        <v>0</v>
      </c>
      <c r="BK6">
        <f t="shared" si="17"/>
        <v>0</v>
      </c>
      <c r="BL6">
        <f t="shared" si="17"/>
        <v>0</v>
      </c>
      <c r="BM6">
        <f t="shared" si="17"/>
        <v>0</v>
      </c>
      <c r="BN6">
        <f t="shared" si="17"/>
        <v>0</v>
      </c>
      <c r="BO6">
        <f t="shared" si="17"/>
        <v>0</v>
      </c>
      <c r="BP6">
        <f t="shared" si="17"/>
        <v>0</v>
      </c>
      <c r="BQ6">
        <f t="shared" ref="BQ6:BV6" si="18">0*($D$6)</f>
        <v>0</v>
      </c>
      <c r="BR6">
        <f t="shared" si="18"/>
        <v>0</v>
      </c>
      <c r="BS6">
        <f t="shared" si="18"/>
        <v>0</v>
      </c>
      <c r="BT6">
        <f t="shared" si="18"/>
        <v>0</v>
      </c>
      <c r="BU6">
        <f t="shared" si="18"/>
        <v>0</v>
      </c>
      <c r="BV6">
        <f t="shared" si="18"/>
        <v>0</v>
      </c>
      <c r="BW6">
        <f t="shared" si="9"/>
        <v>0</v>
      </c>
      <c r="BX6">
        <f t="shared" si="5"/>
        <v>0</v>
      </c>
      <c r="BY6">
        <f t="shared" si="5"/>
        <v>0</v>
      </c>
      <c r="BZ6">
        <f t="shared" si="5"/>
        <v>0</v>
      </c>
      <c r="CA6">
        <f t="shared" si="5"/>
        <v>0</v>
      </c>
      <c r="CB6">
        <f t="shared" si="5"/>
        <v>0</v>
      </c>
      <c r="CC6">
        <f t="shared" si="5"/>
        <v>0</v>
      </c>
      <c r="CD6">
        <f t="shared" si="5"/>
        <v>0</v>
      </c>
      <c r="CE6">
        <f t="shared" si="5"/>
        <v>0</v>
      </c>
      <c r="CF6">
        <f t="shared" si="5"/>
        <v>0</v>
      </c>
      <c r="CG6">
        <f t="shared" si="5"/>
        <v>0</v>
      </c>
      <c r="CH6">
        <f t="shared" si="5"/>
        <v>0</v>
      </c>
      <c r="CI6">
        <f t="shared" si="5"/>
        <v>0</v>
      </c>
      <c r="CJ6">
        <f t="shared" si="5"/>
        <v>0</v>
      </c>
      <c r="CK6">
        <f t="shared" si="5"/>
        <v>0</v>
      </c>
      <c r="CL6">
        <f t="shared" si="5"/>
        <v>0</v>
      </c>
      <c r="CM6">
        <f t="shared" si="5"/>
        <v>0</v>
      </c>
      <c r="CN6">
        <f t="shared" si="5"/>
        <v>0</v>
      </c>
      <c r="CO6">
        <f t="shared" si="5"/>
        <v>0</v>
      </c>
      <c r="CP6">
        <f t="shared" si="5"/>
        <v>0</v>
      </c>
      <c r="CQ6">
        <f t="shared" si="5"/>
        <v>0</v>
      </c>
      <c r="CR6">
        <f t="shared" si="5"/>
        <v>0</v>
      </c>
      <c r="CS6">
        <f t="shared" si="5"/>
        <v>0</v>
      </c>
      <c r="CT6">
        <f t="shared" si="5"/>
        <v>0</v>
      </c>
      <c r="CU6">
        <f t="shared" si="5"/>
        <v>0</v>
      </c>
      <c r="CV6">
        <f t="shared" si="5"/>
        <v>0</v>
      </c>
      <c r="CW6">
        <f t="shared" si="5"/>
        <v>0</v>
      </c>
      <c r="CX6">
        <f t="shared" si="5"/>
        <v>0</v>
      </c>
      <c r="CY6">
        <f t="shared" si="5"/>
        <v>0</v>
      </c>
      <c r="CZ6">
        <f t="shared" si="5"/>
        <v>0</v>
      </c>
    </row>
    <row r="7" spans="1:104" x14ac:dyDescent="0.25">
      <c r="A7" s="467" t="s">
        <v>1088</v>
      </c>
      <c r="B7" s="467" t="s">
        <v>268</v>
      </c>
      <c r="C7">
        <v>2007</v>
      </c>
      <c r="D7">
        <f t="shared" si="1"/>
        <v>1.3138219380226268</v>
      </c>
      <c r="E7">
        <f t="shared" ref="E7:AJ7" si="19">0.0135*($D$7)</f>
        <v>1.7736596163305463E-2</v>
      </c>
      <c r="F7">
        <f t="shared" si="19"/>
        <v>1.7736596163305463E-2</v>
      </c>
      <c r="G7">
        <f t="shared" si="19"/>
        <v>1.7736596163305463E-2</v>
      </c>
      <c r="H7">
        <f t="shared" si="19"/>
        <v>1.7736596163305463E-2</v>
      </c>
      <c r="I7">
        <f t="shared" si="19"/>
        <v>1.7736596163305463E-2</v>
      </c>
      <c r="J7">
        <f t="shared" si="19"/>
        <v>1.7736596163305463E-2</v>
      </c>
      <c r="K7">
        <f t="shared" si="19"/>
        <v>1.7736596163305463E-2</v>
      </c>
      <c r="L7">
        <f t="shared" si="19"/>
        <v>1.7736596163305463E-2</v>
      </c>
      <c r="M7">
        <f t="shared" si="19"/>
        <v>1.7736596163305463E-2</v>
      </c>
      <c r="N7">
        <f t="shared" si="19"/>
        <v>1.7736596163305463E-2</v>
      </c>
      <c r="O7">
        <f t="shared" si="19"/>
        <v>1.7736596163305463E-2</v>
      </c>
      <c r="P7">
        <f t="shared" si="19"/>
        <v>1.7736596163305463E-2</v>
      </c>
      <c r="Q7">
        <f t="shared" si="19"/>
        <v>1.7736596163305463E-2</v>
      </c>
      <c r="R7">
        <f t="shared" si="19"/>
        <v>1.7736596163305463E-2</v>
      </c>
      <c r="S7">
        <f t="shared" si="19"/>
        <v>1.7736596163305463E-2</v>
      </c>
      <c r="T7">
        <f t="shared" si="19"/>
        <v>1.7736596163305463E-2</v>
      </c>
      <c r="U7">
        <f t="shared" si="19"/>
        <v>1.7736596163305463E-2</v>
      </c>
      <c r="V7">
        <f t="shared" si="19"/>
        <v>1.7736596163305463E-2</v>
      </c>
      <c r="W7">
        <f t="shared" si="19"/>
        <v>1.7736596163305463E-2</v>
      </c>
      <c r="X7">
        <f t="shared" si="19"/>
        <v>1.7736596163305463E-2</v>
      </c>
      <c r="Y7">
        <f t="shared" si="19"/>
        <v>1.7736596163305463E-2</v>
      </c>
      <c r="Z7">
        <f t="shared" si="19"/>
        <v>1.7736596163305463E-2</v>
      </c>
      <c r="AA7">
        <f t="shared" si="19"/>
        <v>1.7736596163305463E-2</v>
      </c>
      <c r="AB7">
        <f t="shared" si="19"/>
        <v>1.7736596163305463E-2</v>
      </c>
      <c r="AC7">
        <f t="shared" si="19"/>
        <v>1.7736596163305463E-2</v>
      </c>
      <c r="AD7">
        <f t="shared" si="19"/>
        <v>1.7736596163305463E-2</v>
      </c>
      <c r="AE7">
        <f t="shared" si="19"/>
        <v>1.7736596163305463E-2</v>
      </c>
      <c r="AF7">
        <f t="shared" si="19"/>
        <v>1.7736596163305463E-2</v>
      </c>
      <c r="AG7">
        <f t="shared" si="19"/>
        <v>1.7736596163305463E-2</v>
      </c>
      <c r="AH7">
        <f t="shared" si="19"/>
        <v>1.7736596163305463E-2</v>
      </c>
      <c r="AI7">
        <f t="shared" si="19"/>
        <v>1.7736596163305463E-2</v>
      </c>
      <c r="AJ7">
        <f t="shared" si="19"/>
        <v>1.7736596163305463E-2</v>
      </c>
      <c r="AK7">
        <f t="shared" ref="AK7:BP7" si="20">0.0135*($D$7)</f>
        <v>1.7736596163305463E-2</v>
      </c>
      <c r="AL7">
        <f t="shared" si="20"/>
        <v>1.7736596163305463E-2</v>
      </c>
      <c r="AM7">
        <f t="shared" si="20"/>
        <v>1.7736596163305463E-2</v>
      </c>
      <c r="AN7">
        <f t="shared" si="20"/>
        <v>1.7736596163305463E-2</v>
      </c>
      <c r="AO7">
        <f t="shared" si="20"/>
        <v>1.7736596163305463E-2</v>
      </c>
      <c r="AP7">
        <f t="shared" si="20"/>
        <v>1.7736596163305463E-2</v>
      </c>
      <c r="AQ7">
        <f t="shared" si="20"/>
        <v>1.7736596163305463E-2</v>
      </c>
      <c r="AR7">
        <f t="shared" si="20"/>
        <v>1.7736596163305463E-2</v>
      </c>
      <c r="AS7">
        <f t="shared" si="20"/>
        <v>1.7736596163305463E-2</v>
      </c>
      <c r="AT7">
        <f t="shared" si="20"/>
        <v>1.7736596163305463E-2</v>
      </c>
      <c r="AU7">
        <f t="shared" si="20"/>
        <v>1.7736596163305463E-2</v>
      </c>
      <c r="AV7">
        <f t="shared" si="20"/>
        <v>1.7736596163305463E-2</v>
      </c>
      <c r="AW7">
        <f t="shared" si="20"/>
        <v>1.7736596163305463E-2</v>
      </c>
      <c r="AX7">
        <f t="shared" si="20"/>
        <v>1.7736596163305463E-2</v>
      </c>
      <c r="AY7">
        <f t="shared" si="20"/>
        <v>1.7736596163305463E-2</v>
      </c>
      <c r="AZ7">
        <f t="shared" si="20"/>
        <v>1.7736596163305463E-2</v>
      </c>
      <c r="BA7">
        <f t="shared" si="20"/>
        <v>1.7736596163305463E-2</v>
      </c>
      <c r="BB7">
        <f t="shared" si="20"/>
        <v>1.7736596163305463E-2</v>
      </c>
      <c r="BC7">
        <f t="shared" si="20"/>
        <v>1.7736596163305463E-2</v>
      </c>
      <c r="BD7">
        <f t="shared" si="20"/>
        <v>1.7736596163305463E-2</v>
      </c>
      <c r="BE7">
        <f t="shared" si="20"/>
        <v>1.7736596163305463E-2</v>
      </c>
      <c r="BF7">
        <f t="shared" si="20"/>
        <v>1.7736596163305463E-2</v>
      </c>
      <c r="BG7">
        <f t="shared" si="20"/>
        <v>1.7736596163305463E-2</v>
      </c>
      <c r="BH7">
        <f t="shared" si="20"/>
        <v>1.7736596163305463E-2</v>
      </c>
      <c r="BI7">
        <f t="shared" si="20"/>
        <v>1.7736596163305463E-2</v>
      </c>
      <c r="BJ7">
        <f t="shared" si="20"/>
        <v>1.7736596163305463E-2</v>
      </c>
      <c r="BK7">
        <f t="shared" si="20"/>
        <v>1.7736596163305463E-2</v>
      </c>
      <c r="BL7">
        <f t="shared" si="20"/>
        <v>1.7736596163305463E-2</v>
      </c>
      <c r="BM7">
        <f t="shared" si="20"/>
        <v>1.7736596163305463E-2</v>
      </c>
      <c r="BN7">
        <f t="shared" si="20"/>
        <v>1.7736596163305463E-2</v>
      </c>
      <c r="BO7">
        <f t="shared" si="20"/>
        <v>1.7736596163305463E-2</v>
      </c>
      <c r="BP7">
        <f t="shared" si="20"/>
        <v>1.7736596163305463E-2</v>
      </c>
      <c r="BQ7">
        <f t="shared" ref="BQ7:BV7" si="21">0.0135*($D$7)</f>
        <v>1.7736596163305463E-2</v>
      </c>
      <c r="BR7">
        <f t="shared" si="21"/>
        <v>1.7736596163305463E-2</v>
      </c>
      <c r="BS7">
        <f t="shared" si="21"/>
        <v>1.7736596163305463E-2</v>
      </c>
      <c r="BT7">
        <f t="shared" si="21"/>
        <v>1.7736596163305463E-2</v>
      </c>
      <c r="BU7">
        <f t="shared" si="21"/>
        <v>1.7736596163305463E-2</v>
      </c>
      <c r="BV7">
        <f t="shared" si="21"/>
        <v>1.7736596163305463E-2</v>
      </c>
      <c r="BW7">
        <f t="shared" si="9"/>
        <v>1.7736596163305463E-2</v>
      </c>
      <c r="BX7">
        <f t="shared" si="5"/>
        <v>1.7736596163305463E-2</v>
      </c>
      <c r="BY7">
        <f t="shared" si="5"/>
        <v>1.7736596163305463E-2</v>
      </c>
      <c r="BZ7">
        <f t="shared" si="5"/>
        <v>1.7736596163305463E-2</v>
      </c>
      <c r="CA7">
        <f t="shared" si="5"/>
        <v>1.7736596163305463E-2</v>
      </c>
      <c r="CB7">
        <f t="shared" si="5"/>
        <v>1.7736596163305463E-2</v>
      </c>
      <c r="CC7">
        <f t="shared" si="5"/>
        <v>1.7736596163305463E-2</v>
      </c>
      <c r="CD7">
        <f t="shared" si="5"/>
        <v>1.7736596163305463E-2</v>
      </c>
      <c r="CE7">
        <f t="shared" si="5"/>
        <v>1.7736596163305463E-2</v>
      </c>
      <c r="CF7">
        <f t="shared" si="5"/>
        <v>1.7736596163305463E-2</v>
      </c>
      <c r="CG7">
        <f t="shared" si="5"/>
        <v>1.7736596163305463E-2</v>
      </c>
      <c r="CH7">
        <f t="shared" si="5"/>
        <v>1.7736596163305463E-2</v>
      </c>
      <c r="CI7">
        <f t="shared" si="5"/>
        <v>1.7736596163305463E-2</v>
      </c>
      <c r="CJ7">
        <f t="shared" si="5"/>
        <v>1.7736596163305463E-2</v>
      </c>
      <c r="CK7">
        <f t="shared" si="5"/>
        <v>1.7736596163305463E-2</v>
      </c>
      <c r="CL7">
        <f t="shared" si="5"/>
        <v>1.7736596163305463E-2</v>
      </c>
      <c r="CM7">
        <f t="shared" si="5"/>
        <v>1.7736596163305463E-2</v>
      </c>
      <c r="CN7">
        <f t="shared" si="5"/>
        <v>1.7736596163305463E-2</v>
      </c>
      <c r="CO7">
        <f t="shared" si="5"/>
        <v>1.7736596163305463E-2</v>
      </c>
      <c r="CP7">
        <f t="shared" si="5"/>
        <v>1.7736596163305463E-2</v>
      </c>
      <c r="CQ7">
        <f t="shared" si="5"/>
        <v>1.7736596163305463E-2</v>
      </c>
      <c r="CR7">
        <f t="shared" si="5"/>
        <v>1.7736596163305463E-2</v>
      </c>
      <c r="CS7">
        <f t="shared" si="5"/>
        <v>1.7736596163305463E-2</v>
      </c>
      <c r="CT7">
        <f t="shared" si="5"/>
        <v>1.7736596163305463E-2</v>
      </c>
      <c r="CU7">
        <f t="shared" si="5"/>
        <v>1.7736596163305463E-2</v>
      </c>
      <c r="CV7">
        <f t="shared" si="5"/>
        <v>1.7736596163305463E-2</v>
      </c>
      <c r="CW7">
        <f t="shared" si="5"/>
        <v>1.7736596163305463E-2</v>
      </c>
      <c r="CX7">
        <f t="shared" si="5"/>
        <v>1.7736596163305463E-2</v>
      </c>
      <c r="CY7">
        <f t="shared" si="5"/>
        <v>1.7736596163305463E-2</v>
      </c>
      <c r="CZ7">
        <f t="shared" si="5"/>
        <v>1.7736596163305463E-2</v>
      </c>
    </row>
    <row r="8" spans="1:104" x14ac:dyDescent="0.25">
      <c r="A8" s="467" t="s">
        <v>822</v>
      </c>
      <c r="B8" s="467" t="s">
        <v>268</v>
      </c>
      <c r="C8">
        <v>2002</v>
      </c>
      <c r="D8">
        <f t="shared" si="1"/>
        <v>1.6980292434837889</v>
      </c>
      <c r="E8">
        <f t="shared" ref="E8:AJ8" si="22">0.0256*($D$8)</f>
        <v>4.3469548633185001E-2</v>
      </c>
      <c r="F8">
        <f t="shared" si="22"/>
        <v>4.3469548633185001E-2</v>
      </c>
      <c r="G8">
        <f t="shared" si="22"/>
        <v>4.3469548633185001E-2</v>
      </c>
      <c r="H8">
        <f t="shared" si="22"/>
        <v>4.3469548633185001E-2</v>
      </c>
      <c r="I8">
        <f t="shared" si="22"/>
        <v>4.3469548633185001E-2</v>
      </c>
      <c r="J8">
        <f t="shared" si="22"/>
        <v>4.3469548633185001E-2</v>
      </c>
      <c r="K8">
        <f t="shared" si="22"/>
        <v>4.3469548633185001E-2</v>
      </c>
      <c r="L8">
        <f t="shared" si="22"/>
        <v>4.3469548633185001E-2</v>
      </c>
      <c r="M8">
        <f t="shared" si="22"/>
        <v>4.3469548633185001E-2</v>
      </c>
      <c r="N8">
        <f t="shared" si="22"/>
        <v>4.3469548633185001E-2</v>
      </c>
      <c r="O8">
        <f t="shared" si="22"/>
        <v>4.3469548633185001E-2</v>
      </c>
      <c r="P8">
        <f t="shared" si="22"/>
        <v>4.3469548633185001E-2</v>
      </c>
      <c r="Q8">
        <f t="shared" si="22"/>
        <v>4.3469548633185001E-2</v>
      </c>
      <c r="R8">
        <f t="shared" si="22"/>
        <v>4.3469548633185001E-2</v>
      </c>
      <c r="S8">
        <f t="shared" si="22"/>
        <v>4.3469548633185001E-2</v>
      </c>
      <c r="T8">
        <f t="shared" si="22"/>
        <v>4.3469548633185001E-2</v>
      </c>
      <c r="U8">
        <f t="shared" si="22"/>
        <v>4.3469548633185001E-2</v>
      </c>
      <c r="V8">
        <f t="shared" si="22"/>
        <v>4.3469548633185001E-2</v>
      </c>
      <c r="W8">
        <f t="shared" si="22"/>
        <v>4.3469548633185001E-2</v>
      </c>
      <c r="X8">
        <f t="shared" si="22"/>
        <v>4.3469548633185001E-2</v>
      </c>
      <c r="Y8">
        <f t="shared" si="22"/>
        <v>4.3469548633185001E-2</v>
      </c>
      <c r="Z8">
        <f t="shared" si="22"/>
        <v>4.3469548633185001E-2</v>
      </c>
      <c r="AA8">
        <f t="shared" si="22"/>
        <v>4.3469548633185001E-2</v>
      </c>
      <c r="AB8">
        <f t="shared" si="22"/>
        <v>4.3469548633185001E-2</v>
      </c>
      <c r="AC8">
        <f t="shared" si="22"/>
        <v>4.3469548633185001E-2</v>
      </c>
      <c r="AD8">
        <f t="shared" si="22"/>
        <v>4.3469548633185001E-2</v>
      </c>
      <c r="AE8">
        <f t="shared" si="22"/>
        <v>4.3469548633185001E-2</v>
      </c>
      <c r="AF8">
        <f t="shared" si="22"/>
        <v>4.3469548633185001E-2</v>
      </c>
      <c r="AG8">
        <f t="shared" si="22"/>
        <v>4.3469548633185001E-2</v>
      </c>
      <c r="AH8">
        <f t="shared" si="22"/>
        <v>4.3469548633185001E-2</v>
      </c>
      <c r="AI8">
        <f t="shared" si="22"/>
        <v>4.3469548633185001E-2</v>
      </c>
      <c r="AJ8">
        <f t="shared" si="22"/>
        <v>4.3469548633185001E-2</v>
      </c>
      <c r="AK8">
        <f t="shared" ref="AK8:BP8" si="23">0.0256*($D$8)</f>
        <v>4.3469548633185001E-2</v>
      </c>
      <c r="AL8">
        <f t="shared" si="23"/>
        <v>4.3469548633185001E-2</v>
      </c>
      <c r="AM8">
        <f t="shared" si="23"/>
        <v>4.3469548633185001E-2</v>
      </c>
      <c r="AN8">
        <f t="shared" si="23"/>
        <v>4.3469548633185001E-2</v>
      </c>
      <c r="AO8">
        <f t="shared" si="23"/>
        <v>4.3469548633185001E-2</v>
      </c>
      <c r="AP8">
        <f t="shared" si="23"/>
        <v>4.3469548633185001E-2</v>
      </c>
      <c r="AQ8">
        <f t="shared" si="23"/>
        <v>4.3469548633185001E-2</v>
      </c>
      <c r="AR8">
        <f t="shared" si="23"/>
        <v>4.3469548633185001E-2</v>
      </c>
      <c r="AS8">
        <f t="shared" si="23"/>
        <v>4.3469548633185001E-2</v>
      </c>
      <c r="AT8">
        <f t="shared" si="23"/>
        <v>4.3469548633185001E-2</v>
      </c>
      <c r="AU8">
        <f t="shared" si="23"/>
        <v>4.3469548633185001E-2</v>
      </c>
      <c r="AV8">
        <f t="shared" si="23"/>
        <v>4.3469548633185001E-2</v>
      </c>
      <c r="AW8">
        <f t="shared" si="23"/>
        <v>4.3469548633185001E-2</v>
      </c>
      <c r="AX8">
        <f t="shared" si="23"/>
        <v>4.3469548633185001E-2</v>
      </c>
      <c r="AY8">
        <f t="shared" si="23"/>
        <v>4.3469548633185001E-2</v>
      </c>
      <c r="AZ8">
        <f t="shared" si="23"/>
        <v>4.3469548633185001E-2</v>
      </c>
      <c r="BA8">
        <f t="shared" si="23"/>
        <v>4.3469548633185001E-2</v>
      </c>
      <c r="BB8">
        <f t="shared" si="23"/>
        <v>4.3469548633185001E-2</v>
      </c>
      <c r="BC8">
        <f t="shared" si="23"/>
        <v>4.3469548633185001E-2</v>
      </c>
      <c r="BD8">
        <f t="shared" si="23"/>
        <v>4.3469548633185001E-2</v>
      </c>
      <c r="BE8">
        <f t="shared" si="23"/>
        <v>4.3469548633185001E-2</v>
      </c>
      <c r="BF8">
        <f t="shared" si="23"/>
        <v>4.3469548633185001E-2</v>
      </c>
      <c r="BG8">
        <f t="shared" si="23"/>
        <v>4.3469548633185001E-2</v>
      </c>
      <c r="BH8">
        <f t="shared" si="23"/>
        <v>4.3469548633185001E-2</v>
      </c>
      <c r="BI8">
        <f t="shared" si="23"/>
        <v>4.3469548633185001E-2</v>
      </c>
      <c r="BJ8">
        <f t="shared" si="23"/>
        <v>4.3469548633185001E-2</v>
      </c>
      <c r="BK8">
        <f t="shared" si="23"/>
        <v>4.3469548633185001E-2</v>
      </c>
      <c r="BL8">
        <f t="shared" si="23"/>
        <v>4.3469548633185001E-2</v>
      </c>
      <c r="BM8">
        <f t="shared" si="23"/>
        <v>4.3469548633185001E-2</v>
      </c>
      <c r="BN8">
        <f t="shared" si="23"/>
        <v>4.3469548633185001E-2</v>
      </c>
      <c r="BO8">
        <f t="shared" si="23"/>
        <v>4.3469548633185001E-2</v>
      </c>
      <c r="BP8">
        <f t="shared" si="23"/>
        <v>4.3469548633185001E-2</v>
      </c>
      <c r="BQ8">
        <f t="shared" ref="BQ8:BV8" si="24">0.0256*($D$8)</f>
        <v>4.3469548633185001E-2</v>
      </c>
      <c r="BR8">
        <f t="shared" si="24"/>
        <v>4.3469548633185001E-2</v>
      </c>
      <c r="BS8">
        <f t="shared" si="24"/>
        <v>4.3469548633185001E-2</v>
      </c>
      <c r="BT8">
        <f t="shared" si="24"/>
        <v>4.3469548633185001E-2</v>
      </c>
      <c r="BU8">
        <f t="shared" si="24"/>
        <v>4.3469548633185001E-2</v>
      </c>
      <c r="BV8">
        <f t="shared" si="24"/>
        <v>4.3469548633185001E-2</v>
      </c>
      <c r="BW8">
        <f t="shared" si="9"/>
        <v>4.3469548633185001E-2</v>
      </c>
      <c r="BX8">
        <f t="shared" si="5"/>
        <v>4.3469548633185001E-2</v>
      </c>
      <c r="BY8">
        <f t="shared" si="5"/>
        <v>4.3469548633185001E-2</v>
      </c>
      <c r="BZ8">
        <f t="shared" si="5"/>
        <v>4.3469548633185001E-2</v>
      </c>
      <c r="CA8">
        <f t="shared" si="5"/>
        <v>4.3469548633185001E-2</v>
      </c>
      <c r="CB8">
        <f t="shared" si="5"/>
        <v>4.3469548633185001E-2</v>
      </c>
      <c r="CC8">
        <f t="shared" si="5"/>
        <v>4.3469548633185001E-2</v>
      </c>
      <c r="CD8">
        <f t="shared" si="5"/>
        <v>4.3469548633185001E-2</v>
      </c>
      <c r="CE8">
        <f t="shared" si="5"/>
        <v>4.3469548633185001E-2</v>
      </c>
      <c r="CF8">
        <f t="shared" si="5"/>
        <v>4.3469548633185001E-2</v>
      </c>
      <c r="CG8">
        <f t="shared" si="5"/>
        <v>4.3469548633185001E-2</v>
      </c>
      <c r="CH8">
        <f t="shared" si="5"/>
        <v>4.3469548633185001E-2</v>
      </c>
      <c r="CI8">
        <f t="shared" si="5"/>
        <v>4.3469548633185001E-2</v>
      </c>
      <c r="CJ8">
        <f t="shared" si="5"/>
        <v>4.3469548633185001E-2</v>
      </c>
      <c r="CK8">
        <f t="shared" si="5"/>
        <v>4.3469548633185001E-2</v>
      </c>
      <c r="CL8">
        <f t="shared" si="5"/>
        <v>4.3469548633185001E-2</v>
      </c>
      <c r="CM8">
        <f t="shared" si="5"/>
        <v>4.3469548633185001E-2</v>
      </c>
      <c r="CN8">
        <f t="shared" si="5"/>
        <v>4.3469548633185001E-2</v>
      </c>
      <c r="CO8">
        <f t="shared" si="5"/>
        <v>4.3469548633185001E-2</v>
      </c>
      <c r="CP8">
        <f t="shared" si="5"/>
        <v>4.3469548633185001E-2</v>
      </c>
      <c r="CQ8">
        <f t="shared" si="5"/>
        <v>4.3469548633185001E-2</v>
      </c>
      <c r="CR8">
        <f t="shared" si="5"/>
        <v>4.3469548633185001E-2</v>
      </c>
      <c r="CS8">
        <f t="shared" si="5"/>
        <v>4.3469548633185001E-2</v>
      </c>
      <c r="CT8">
        <f t="shared" si="5"/>
        <v>4.3469548633185001E-2</v>
      </c>
      <c r="CU8">
        <f t="shared" si="5"/>
        <v>4.3469548633185001E-2</v>
      </c>
      <c r="CV8">
        <f t="shared" si="5"/>
        <v>4.3469548633185001E-2</v>
      </c>
      <c r="CW8">
        <f t="shared" si="5"/>
        <v>4.3469548633185001E-2</v>
      </c>
      <c r="CX8">
        <f t="shared" si="5"/>
        <v>4.3469548633185001E-2</v>
      </c>
      <c r="CY8">
        <f t="shared" si="5"/>
        <v>4.3469548633185001E-2</v>
      </c>
      <c r="CZ8">
        <f t="shared" si="5"/>
        <v>4.3469548633185001E-2</v>
      </c>
    </row>
  </sheetData>
  <phoneticPr fontId="2"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tabColor indexed="51"/>
    <pageSetUpPr fitToPage="1"/>
  </sheetPr>
  <dimension ref="A1:BT929"/>
  <sheetViews>
    <sheetView workbookViewId="0">
      <selection sqref="A1:BT1"/>
    </sheetView>
  </sheetViews>
  <sheetFormatPr defaultRowHeight="12.5" x14ac:dyDescent="0.25"/>
  <cols>
    <col min="1" max="1" width="27.81640625" customWidth="1"/>
    <col min="2" max="2" width="19.81640625" customWidth="1"/>
    <col min="3" max="3" width="16.54296875" customWidth="1"/>
    <col min="4" max="4" width="11.453125" customWidth="1"/>
    <col min="5" max="5" width="9.7265625" customWidth="1"/>
    <col min="6" max="6" width="10.26953125" customWidth="1"/>
    <col min="7" max="7" width="10.453125" customWidth="1"/>
    <col min="8" max="8" width="9.54296875" customWidth="1"/>
    <col min="9" max="10" width="10" customWidth="1"/>
    <col min="11" max="11" width="10.7265625" customWidth="1"/>
    <col min="12" max="12" width="9.54296875" customWidth="1"/>
    <col min="13" max="13" width="10.7265625" customWidth="1"/>
    <col min="14" max="14" width="10.26953125" customWidth="1"/>
    <col min="15" max="15" width="9.54296875" customWidth="1"/>
    <col min="16" max="16" width="9.7265625" customWidth="1"/>
    <col min="17" max="17" width="10" customWidth="1"/>
    <col min="18" max="19" width="9.7265625" customWidth="1"/>
    <col min="20" max="20" width="10" customWidth="1"/>
    <col min="21" max="22" width="9.7265625" customWidth="1"/>
    <col min="23" max="23" width="10" customWidth="1"/>
    <col min="24" max="24" width="9.7265625" customWidth="1"/>
    <col min="25" max="25" width="10.7265625" customWidth="1"/>
    <col min="26" max="26" width="10.26953125" customWidth="1"/>
    <col min="27" max="27" width="10" customWidth="1"/>
    <col min="28" max="28" width="9.7265625" customWidth="1"/>
    <col min="29" max="29" width="10.26953125" customWidth="1"/>
    <col min="30" max="30" width="10.453125" customWidth="1"/>
    <col min="31" max="31" width="9.54296875" customWidth="1"/>
    <col min="32" max="32" width="10" customWidth="1"/>
    <col min="33" max="33" width="9.26953125" customWidth="1"/>
    <col min="34" max="34" width="10" customWidth="1"/>
    <col min="35" max="35" width="10.26953125" customWidth="1"/>
    <col min="36" max="36" width="9.7265625" customWidth="1"/>
    <col min="37" max="37" width="9.54296875" customWidth="1"/>
    <col min="38" max="38" width="9.7265625" customWidth="1"/>
    <col min="39" max="39" width="10.26953125" customWidth="1"/>
    <col min="40" max="42" width="9.7265625" customWidth="1"/>
    <col min="43" max="43" width="9.26953125" customWidth="1"/>
    <col min="44" max="44" width="9.54296875" customWidth="1"/>
    <col min="45" max="45" width="9.7265625" customWidth="1"/>
    <col min="46" max="46" width="10.26953125" customWidth="1"/>
    <col min="47" max="47" width="10.453125" customWidth="1"/>
    <col min="48" max="48" width="9.54296875" customWidth="1"/>
    <col min="49" max="50" width="9.7265625" customWidth="1"/>
    <col min="51" max="52" width="9.54296875" customWidth="1"/>
    <col min="53" max="53" width="9.7265625" customWidth="1"/>
    <col min="54" max="54" width="9.54296875" customWidth="1"/>
    <col min="55" max="57" width="9.7265625" customWidth="1"/>
    <col min="58" max="58" width="9.54296875" customWidth="1"/>
    <col min="59" max="59" width="9.7265625" customWidth="1"/>
    <col min="60" max="60" width="9.54296875" customWidth="1"/>
    <col min="61" max="61" width="9.7265625" customWidth="1"/>
    <col min="62" max="62" width="10.26953125" customWidth="1"/>
    <col min="63" max="63" width="9.7265625" customWidth="1"/>
    <col min="64" max="64" width="10.26953125" customWidth="1"/>
    <col min="65" max="65" width="9.54296875" customWidth="1"/>
    <col min="66" max="66" width="9.7265625" customWidth="1"/>
    <col min="67" max="67" width="9.54296875" customWidth="1"/>
    <col min="68" max="68" width="9.7265625" customWidth="1"/>
    <col min="69" max="69" width="10.26953125" customWidth="1"/>
    <col min="70" max="70" width="9.7265625" customWidth="1"/>
    <col min="71" max="72" width="9.54296875" customWidth="1"/>
    <col min="73" max="73" width="10" customWidth="1"/>
  </cols>
  <sheetData>
    <row r="1" spans="1:72" ht="15.5" x14ac:dyDescent="0.35">
      <c r="A1" s="1646" t="s">
        <v>743</v>
      </c>
      <c r="B1" s="1646"/>
      <c r="C1" s="1646"/>
      <c r="D1" s="1646"/>
      <c r="E1" s="1646"/>
      <c r="F1" s="1646"/>
      <c r="G1" s="1646"/>
      <c r="H1" s="1646"/>
      <c r="I1" s="1646"/>
      <c r="J1" s="1646"/>
      <c r="K1" s="1646"/>
      <c r="L1" s="1646"/>
      <c r="M1" s="1646"/>
      <c r="N1" s="1646"/>
      <c r="O1" s="1646"/>
      <c r="P1" s="1646"/>
      <c r="Q1" s="1646"/>
      <c r="R1" s="1646"/>
      <c r="S1" s="1646"/>
      <c r="T1" s="1646"/>
      <c r="U1" s="1646"/>
      <c r="V1" s="1646"/>
      <c r="W1" s="1646"/>
      <c r="X1" s="1646"/>
      <c r="Y1" s="1646"/>
      <c r="Z1" s="1646"/>
      <c r="AA1" s="1646"/>
      <c r="AB1" s="1646"/>
      <c r="AC1" s="1646"/>
      <c r="AD1" s="1646"/>
      <c r="AE1" s="1646"/>
      <c r="AF1" s="1646"/>
      <c r="AG1" s="1646"/>
      <c r="AH1" s="1646"/>
      <c r="AI1" s="1646"/>
      <c r="AJ1" s="1646"/>
      <c r="AK1" s="1646"/>
      <c r="AL1" s="1646"/>
      <c r="AM1" s="1646"/>
      <c r="AN1" s="1646"/>
      <c r="AO1" s="1646"/>
      <c r="AP1" s="1646"/>
      <c r="AQ1" s="1646"/>
      <c r="AR1" s="1646"/>
      <c r="AS1" s="1646"/>
      <c r="AT1" s="1646"/>
      <c r="AU1" s="1646"/>
      <c r="AV1" s="1646"/>
      <c r="AW1" s="1646"/>
      <c r="AX1" s="1646"/>
      <c r="AY1" s="1646"/>
      <c r="AZ1" s="1646"/>
      <c r="BA1" s="1646"/>
      <c r="BB1" s="1646"/>
      <c r="BC1" s="1646"/>
      <c r="BD1" s="1646"/>
      <c r="BE1" s="1646"/>
      <c r="BF1" s="1646"/>
      <c r="BG1" s="1646"/>
      <c r="BH1" s="1646"/>
      <c r="BI1" s="1646"/>
      <c r="BJ1" s="1646"/>
      <c r="BK1" s="1646"/>
      <c r="BL1" s="1646"/>
      <c r="BM1" s="1646"/>
      <c r="BN1" s="1646"/>
      <c r="BO1" s="1646"/>
      <c r="BP1" s="1646"/>
      <c r="BQ1" s="1646"/>
      <c r="BR1" s="1646"/>
      <c r="BS1" s="1646"/>
      <c r="BT1" s="1646"/>
    </row>
    <row r="2" spans="1:72" x14ac:dyDescent="0.25">
      <c r="A2" s="1647" t="s">
        <v>744</v>
      </c>
      <c r="B2" s="1647"/>
      <c r="C2" s="1647"/>
      <c r="D2" s="1647"/>
      <c r="E2" s="1647"/>
      <c r="F2" s="1647"/>
      <c r="G2" s="1647"/>
      <c r="H2" s="1647"/>
      <c r="I2" s="1647"/>
      <c r="J2" s="1647"/>
      <c r="K2" s="1647"/>
      <c r="L2" s="1647"/>
      <c r="M2" s="1647"/>
      <c r="N2" s="1647"/>
      <c r="O2" s="1647"/>
      <c r="P2" s="1647"/>
      <c r="Q2" s="1647"/>
      <c r="R2" s="1647"/>
      <c r="S2" s="1647"/>
      <c r="T2" s="1647"/>
      <c r="U2" s="1647"/>
      <c r="V2" s="1647"/>
      <c r="W2" s="1647"/>
      <c r="X2" s="1647"/>
      <c r="Y2" s="1647"/>
      <c r="Z2" s="1647"/>
      <c r="AA2" s="1647"/>
      <c r="AB2" s="1647"/>
      <c r="AC2" s="1647"/>
      <c r="AD2" s="1647"/>
      <c r="AE2" s="1647"/>
      <c r="AF2" s="1647"/>
      <c r="AG2" s="1647"/>
      <c r="AH2" s="1647"/>
      <c r="AI2" s="1647"/>
      <c r="AJ2" s="1647"/>
      <c r="AK2" s="1647"/>
      <c r="AL2" s="1647"/>
      <c r="AM2" s="1647"/>
      <c r="AN2" s="1647"/>
      <c r="AO2" s="1647"/>
      <c r="AP2" s="1647"/>
      <c r="AQ2" s="1647"/>
      <c r="AR2" s="1647"/>
      <c r="AS2" s="1647"/>
      <c r="AT2" s="1647"/>
      <c r="AU2" s="1647"/>
      <c r="AV2" s="1647"/>
      <c r="AW2" s="1647"/>
      <c r="AX2" s="1647"/>
      <c r="AY2" s="1647"/>
      <c r="AZ2" s="1647"/>
      <c r="BA2" s="1647"/>
      <c r="BB2" s="1647"/>
      <c r="BC2" s="1647"/>
      <c r="BD2" s="1647"/>
      <c r="BE2" s="1647"/>
      <c r="BF2" s="1647"/>
      <c r="BG2" s="1647"/>
      <c r="BH2" s="1647"/>
      <c r="BI2" s="1647"/>
      <c r="BJ2" s="1647"/>
      <c r="BK2" s="1647"/>
      <c r="BL2" s="1647"/>
      <c r="BM2" s="1647"/>
      <c r="BN2" s="1647"/>
      <c r="BO2" s="1647"/>
      <c r="BP2" s="1647"/>
      <c r="BQ2" s="1647"/>
      <c r="BR2" s="1647"/>
      <c r="BS2" s="1647"/>
      <c r="BT2" s="1647"/>
    </row>
    <row r="3" spans="1:72" ht="13" thickBot="1" x14ac:dyDescent="0.3">
      <c r="A3" s="1648"/>
      <c r="B3" s="1648"/>
      <c r="C3" s="1648"/>
      <c r="D3" s="1648"/>
      <c r="E3" s="1648"/>
      <c r="F3" s="1648"/>
      <c r="G3" s="1648"/>
      <c r="H3" s="1648"/>
      <c r="I3" s="1648"/>
      <c r="J3" s="1648"/>
      <c r="K3" s="1648"/>
      <c r="L3" s="1648"/>
      <c r="M3" s="1648"/>
      <c r="N3" s="1648"/>
      <c r="O3" s="1648"/>
      <c r="P3" s="1648"/>
      <c r="Q3" s="1648"/>
      <c r="R3" s="1648"/>
      <c r="S3" s="1648"/>
      <c r="T3" s="1648"/>
      <c r="U3" s="1648"/>
      <c r="V3" s="1648"/>
      <c r="W3" s="1648"/>
      <c r="X3" s="1648"/>
      <c r="Y3" s="1648"/>
      <c r="Z3" s="1648"/>
      <c r="AA3" s="1648"/>
      <c r="AB3" s="1648"/>
      <c r="AC3" s="1648"/>
      <c r="AD3" s="1648"/>
      <c r="AE3" s="1648"/>
      <c r="AF3" s="1648"/>
      <c r="AG3" s="1648"/>
      <c r="AH3" s="1648"/>
      <c r="AI3" s="1648"/>
      <c r="AJ3" s="1648"/>
      <c r="AK3" s="1648"/>
      <c r="AL3" s="1648"/>
      <c r="AM3" s="1648"/>
      <c r="AN3" s="1648"/>
      <c r="AO3" s="1648"/>
      <c r="AP3" s="1648"/>
      <c r="AQ3" s="1648"/>
      <c r="AR3" s="1648"/>
      <c r="AS3" s="1648"/>
      <c r="AT3" s="1648"/>
      <c r="AU3" s="1648"/>
      <c r="AV3" s="1648"/>
      <c r="AW3" s="1648"/>
      <c r="AX3" s="1648"/>
      <c r="AY3" s="1648"/>
      <c r="AZ3" s="1648"/>
      <c r="BA3" s="1648"/>
      <c r="BB3" s="1648"/>
      <c r="BC3" s="1648"/>
      <c r="BD3" s="1648"/>
      <c r="BE3" s="1648"/>
      <c r="BF3" s="1648"/>
      <c r="BG3" s="1648"/>
      <c r="BH3" s="1648"/>
      <c r="BI3" s="1648"/>
      <c r="BJ3" s="1648"/>
      <c r="BK3" s="1648"/>
      <c r="BL3" s="1648"/>
      <c r="BM3" s="1648"/>
      <c r="BN3" s="1648"/>
      <c r="BO3" s="1648"/>
      <c r="BP3" s="1648"/>
      <c r="BQ3" s="1648"/>
      <c r="BR3" s="1648"/>
      <c r="BS3" s="1648"/>
      <c r="BT3" s="1648"/>
    </row>
    <row r="4" spans="1:72" x14ac:dyDescent="0.25">
      <c r="A4" s="918"/>
      <c r="B4" s="919" t="s">
        <v>1049</v>
      </c>
      <c r="C4" s="920">
        <v>2001</v>
      </c>
      <c r="D4" s="920">
        <v>2002</v>
      </c>
      <c r="E4" s="920">
        <v>2003</v>
      </c>
      <c r="F4" s="920">
        <v>2004</v>
      </c>
      <c r="G4" s="920">
        <v>2005</v>
      </c>
      <c r="H4" s="920">
        <v>2006</v>
      </c>
      <c r="I4" s="920">
        <v>2007</v>
      </c>
      <c r="J4" s="920">
        <v>2008</v>
      </c>
      <c r="K4" s="920">
        <v>2009</v>
      </c>
      <c r="L4" s="920">
        <v>2010</v>
      </c>
      <c r="M4" s="920">
        <v>2011</v>
      </c>
      <c r="N4" s="920">
        <v>2012</v>
      </c>
      <c r="O4" s="920">
        <v>2013</v>
      </c>
      <c r="P4" s="920">
        <v>2014</v>
      </c>
      <c r="Q4" s="920">
        <v>2015</v>
      </c>
      <c r="R4" s="920">
        <v>2016</v>
      </c>
      <c r="S4" s="920">
        <v>2017</v>
      </c>
      <c r="T4" s="920">
        <v>2018</v>
      </c>
      <c r="U4" s="920">
        <v>2019</v>
      </c>
      <c r="V4" s="920">
        <v>2020</v>
      </c>
      <c r="W4" s="920">
        <v>2021</v>
      </c>
      <c r="X4" s="920">
        <v>2022</v>
      </c>
      <c r="Y4" s="920">
        <v>2023</v>
      </c>
      <c r="Z4" s="920">
        <v>2024</v>
      </c>
      <c r="AA4" s="920">
        <v>2025</v>
      </c>
      <c r="AB4" s="920">
        <v>2026</v>
      </c>
      <c r="AC4" s="920">
        <v>2027</v>
      </c>
      <c r="AD4" s="920">
        <v>2028</v>
      </c>
      <c r="AE4" s="920">
        <v>2029</v>
      </c>
      <c r="AF4" s="920">
        <v>2030</v>
      </c>
      <c r="AG4" s="920">
        <v>2031</v>
      </c>
      <c r="AH4" s="920">
        <v>2032</v>
      </c>
      <c r="AI4" s="920">
        <v>2033</v>
      </c>
      <c r="AJ4" s="920">
        <v>2034</v>
      </c>
      <c r="AK4" s="920">
        <v>2035</v>
      </c>
      <c r="AL4" s="920">
        <v>2036</v>
      </c>
      <c r="AM4" s="920">
        <v>2037</v>
      </c>
      <c r="AN4" s="920">
        <v>2038</v>
      </c>
      <c r="AO4" s="920">
        <v>2039</v>
      </c>
      <c r="AP4" s="920">
        <v>2040</v>
      </c>
      <c r="AQ4" s="920">
        <v>2041</v>
      </c>
      <c r="AR4" s="920">
        <v>2042</v>
      </c>
      <c r="AS4" s="920">
        <v>2043</v>
      </c>
      <c r="AT4" s="920">
        <v>2044</v>
      </c>
      <c r="AU4" s="920">
        <v>2045</v>
      </c>
      <c r="AV4" s="920">
        <v>2046</v>
      </c>
      <c r="AW4" s="920">
        <v>2047</v>
      </c>
      <c r="AX4" s="920">
        <v>2048</v>
      </c>
      <c r="AY4" s="920">
        <v>2049</v>
      </c>
      <c r="AZ4" s="920">
        <v>2050</v>
      </c>
      <c r="BA4" s="920">
        <v>2051</v>
      </c>
      <c r="BB4" s="920">
        <v>2052</v>
      </c>
      <c r="BC4" s="920">
        <v>2053</v>
      </c>
      <c r="BD4" s="920">
        <v>2054</v>
      </c>
      <c r="BE4" s="920">
        <v>2056</v>
      </c>
      <c r="BF4" s="920">
        <v>2056</v>
      </c>
      <c r="BG4" s="920">
        <v>2057</v>
      </c>
      <c r="BH4" s="920">
        <v>2058</v>
      </c>
      <c r="BI4" s="920">
        <v>2059</v>
      </c>
      <c r="BJ4" s="920">
        <v>2060</v>
      </c>
      <c r="BK4" s="920">
        <v>2061</v>
      </c>
      <c r="BL4" s="920">
        <v>2062</v>
      </c>
      <c r="BM4" s="920">
        <v>2063</v>
      </c>
      <c r="BN4" s="920">
        <v>2064</v>
      </c>
      <c r="BO4" s="920">
        <v>2065</v>
      </c>
      <c r="BP4" s="920">
        <v>2066</v>
      </c>
      <c r="BQ4" s="920">
        <v>2067</v>
      </c>
      <c r="BR4" s="920">
        <v>2068</v>
      </c>
      <c r="BS4" s="920">
        <v>2069</v>
      </c>
      <c r="BT4" s="921">
        <v>2070</v>
      </c>
    </row>
    <row r="5" spans="1:72" x14ac:dyDescent="0.25">
      <c r="A5" s="1649" t="s">
        <v>745</v>
      </c>
      <c r="B5" s="1650"/>
      <c r="C5" s="1650"/>
      <c r="D5" s="1650"/>
      <c r="E5" s="1650"/>
      <c r="F5" s="1650"/>
      <c r="G5" s="1650"/>
      <c r="H5" s="1650"/>
      <c r="I5" s="1650"/>
      <c r="J5" s="1650"/>
      <c r="K5" s="1650"/>
      <c r="L5" s="1650"/>
      <c r="M5" s="1650"/>
      <c r="N5" s="1650"/>
      <c r="O5" s="1650"/>
      <c r="P5" s="1650"/>
      <c r="Q5" s="1650"/>
      <c r="R5" s="1650"/>
      <c r="S5" s="1650"/>
      <c r="T5" s="1650"/>
      <c r="U5" s="1650"/>
      <c r="V5" s="1650"/>
      <c r="W5" s="1650"/>
      <c r="X5" s="1650"/>
      <c r="Y5" s="1650"/>
      <c r="Z5" s="1650"/>
      <c r="AA5" s="1650"/>
      <c r="AB5" s="1650"/>
      <c r="AC5" s="1650"/>
      <c r="AD5" s="1650"/>
      <c r="AE5" s="1650"/>
      <c r="AF5" s="1650"/>
      <c r="AG5" s="1650"/>
      <c r="AH5" s="1650"/>
      <c r="AI5" s="1650"/>
      <c r="AJ5" s="1650"/>
      <c r="AK5" s="1650"/>
      <c r="AL5" s="1650"/>
      <c r="AM5" s="1650"/>
      <c r="AN5" s="1650"/>
      <c r="AO5" s="1650"/>
      <c r="AP5" s="1650"/>
      <c r="AQ5" s="1650"/>
      <c r="AR5" s="1650"/>
      <c r="AS5" s="1650"/>
      <c r="AT5" s="1650"/>
      <c r="AU5" s="1650"/>
      <c r="AV5" s="1650"/>
      <c r="AW5" s="1650"/>
      <c r="AX5" s="1650"/>
      <c r="AY5" s="1650"/>
      <c r="AZ5" s="1650"/>
      <c r="BA5" s="1650"/>
      <c r="BB5" s="1650"/>
      <c r="BC5" s="1650"/>
      <c r="BD5" s="1650"/>
      <c r="BE5" s="1650"/>
      <c r="BF5" s="1650"/>
      <c r="BG5" s="1650"/>
      <c r="BH5" s="1650"/>
      <c r="BI5" s="1650"/>
      <c r="BJ5" s="1650"/>
      <c r="BK5" s="1650"/>
      <c r="BL5" s="1650"/>
      <c r="BM5" s="1650"/>
      <c r="BN5" s="1650"/>
      <c r="BO5" s="1650"/>
      <c r="BP5" s="1650"/>
      <c r="BQ5" s="1650"/>
      <c r="BR5" s="1650"/>
      <c r="BS5" s="1650"/>
      <c r="BT5" s="1651"/>
    </row>
    <row r="6" spans="1:72" x14ac:dyDescent="0.25">
      <c r="A6" s="922" t="s">
        <v>746</v>
      </c>
      <c r="B6" s="923" t="s">
        <v>747</v>
      </c>
      <c r="C6" s="924">
        <v>8.9541000728991982</v>
      </c>
      <c r="D6" s="924">
        <v>6.8979457774252282</v>
      </c>
      <c r="E6" s="924">
        <v>8.4197996967243682</v>
      </c>
      <c r="F6" s="924">
        <v>8.8059982398770913</v>
      </c>
      <c r="G6" s="924">
        <v>8.8656468751295598</v>
      </c>
      <c r="H6" s="924">
        <v>8.2234977371287847</v>
      </c>
      <c r="I6" s="924">
        <v>7.8073426530046319</v>
      </c>
      <c r="J6" s="924">
        <v>7.4325694992857168</v>
      </c>
      <c r="K6" s="924">
        <v>7.297531685739191</v>
      </c>
      <c r="L6" s="924">
        <v>7.1966502441550162</v>
      </c>
      <c r="M6" s="924">
        <v>7.2405429268783017</v>
      </c>
      <c r="N6" s="924">
        <v>7.2944294079294778</v>
      </c>
      <c r="O6" s="924">
        <v>7.4037989917791105</v>
      </c>
      <c r="P6" s="924">
        <v>7.5440859727139706</v>
      </c>
      <c r="Q6" s="924">
        <v>7.6385998163583153</v>
      </c>
      <c r="R6" s="924">
        <v>7.6698249061152577</v>
      </c>
      <c r="S6" s="924">
        <v>7.596507558282819</v>
      </c>
      <c r="T6" s="924">
        <v>7.644327174942454</v>
      </c>
      <c r="U6" s="924">
        <v>7.7875295315148705</v>
      </c>
      <c r="V6" s="924">
        <v>8.0180296178133954</v>
      </c>
      <c r="W6" s="924">
        <v>8.1425457338117244</v>
      </c>
      <c r="X6" s="924">
        <v>8.1602542175436898</v>
      </c>
      <c r="Y6" s="924">
        <v>8.1927349319997838</v>
      </c>
      <c r="Z6" s="924">
        <v>8.2544961582939571</v>
      </c>
      <c r="AA6" s="924">
        <v>8.3511330316651513</v>
      </c>
      <c r="AB6" s="925">
        <v>8.4290329061652454</v>
      </c>
      <c r="AC6" s="925">
        <v>8.5069327806653394</v>
      </c>
      <c r="AD6" s="925">
        <v>8.5848326551654335</v>
      </c>
      <c r="AE6" s="925">
        <v>8.6627325296655275</v>
      </c>
      <c r="AF6" s="925">
        <v>8.7406324041656216</v>
      </c>
      <c r="AG6" s="925">
        <v>8.8185322786657157</v>
      </c>
      <c r="AH6" s="925">
        <v>8.8964321531658097</v>
      </c>
      <c r="AI6" s="925">
        <v>8.9743320276659038</v>
      </c>
      <c r="AJ6" s="925">
        <v>9.0522319021659978</v>
      </c>
      <c r="AK6" s="925">
        <v>9.1301317766660848</v>
      </c>
      <c r="AL6" s="925">
        <v>9.2578200706648097</v>
      </c>
      <c r="AM6" s="925">
        <v>9.3855083646635347</v>
      </c>
      <c r="AN6" s="925">
        <v>9.5131966586622596</v>
      </c>
      <c r="AO6" s="925">
        <v>9.6408849526609846</v>
      </c>
      <c r="AP6" s="925">
        <v>9.7685732466597095</v>
      </c>
      <c r="AQ6" s="925">
        <v>9.8962615406584344</v>
      </c>
      <c r="AR6" s="925">
        <v>10.023949834657159</v>
      </c>
      <c r="AS6" s="925">
        <v>10.151638128655884</v>
      </c>
      <c r="AT6" s="925">
        <v>10.279326422654609</v>
      </c>
      <c r="AU6" s="925">
        <v>10.407014716653334</v>
      </c>
      <c r="AV6" s="925">
        <v>10.534703010652059</v>
      </c>
      <c r="AW6" s="925">
        <v>10.662391304650784</v>
      </c>
      <c r="AX6" s="925">
        <v>10.790079598649509</v>
      </c>
      <c r="AY6" s="925">
        <v>10.917767892648234</v>
      </c>
      <c r="AZ6" s="926">
        <v>11.045456186646948</v>
      </c>
      <c r="BA6" s="925">
        <v>11.066404719719236</v>
      </c>
      <c r="BB6" s="925">
        <v>11.087353252791523</v>
      </c>
      <c r="BC6" s="925">
        <v>11.10830178586381</v>
      </c>
      <c r="BD6" s="925">
        <v>11.129250318936098</v>
      </c>
      <c r="BE6" s="925">
        <v>11.150198852008385</v>
      </c>
      <c r="BF6" s="925">
        <v>11.171147385080673</v>
      </c>
      <c r="BG6" s="925">
        <v>11.19209591815296</v>
      </c>
      <c r="BH6" s="925">
        <v>11.213044451225247</v>
      </c>
      <c r="BI6" s="925">
        <v>11.233992984297535</v>
      </c>
      <c r="BJ6" s="925">
        <v>11.254941517369822</v>
      </c>
      <c r="BK6" s="925">
        <v>11.27589005044211</v>
      </c>
      <c r="BL6" s="925">
        <v>11.296838583514397</v>
      </c>
      <c r="BM6" s="925">
        <v>11.317787116586684</v>
      </c>
      <c r="BN6" s="925">
        <v>11.338735649658972</v>
      </c>
      <c r="BO6" s="926">
        <v>11.359684182731248</v>
      </c>
      <c r="BP6" s="925">
        <v>11.381228672680008</v>
      </c>
      <c r="BQ6" s="925">
        <v>11.402773162628767</v>
      </c>
      <c r="BR6" s="925">
        <v>11.424317652577527</v>
      </c>
      <c r="BS6" s="925">
        <v>11.445862142526286</v>
      </c>
      <c r="BT6" s="927">
        <v>11.467406632475045</v>
      </c>
    </row>
    <row r="7" spans="1:72" x14ac:dyDescent="0.25">
      <c r="A7" s="928" t="s">
        <v>748</v>
      </c>
      <c r="B7" s="923" t="s">
        <v>747</v>
      </c>
      <c r="C7" s="924">
        <v>5.2088497969877503</v>
      </c>
      <c r="D7" s="924">
        <v>4.0515519538015683</v>
      </c>
      <c r="E7" s="924">
        <v>5.7953765594734321</v>
      </c>
      <c r="F7" s="924">
        <v>6.3059286733843276</v>
      </c>
      <c r="G7" s="924">
        <v>6.3351569917966728</v>
      </c>
      <c r="H7" s="924">
        <v>5.6603640970194089</v>
      </c>
      <c r="I7" s="924">
        <v>5.2154936812958672</v>
      </c>
      <c r="J7" s="924">
        <v>4.824472465605103</v>
      </c>
      <c r="K7" s="924">
        <v>4.7214620293311338</v>
      </c>
      <c r="L7" s="924">
        <v>4.5987567766657387</v>
      </c>
      <c r="M7" s="924">
        <v>4.6224680014376371</v>
      </c>
      <c r="N7" s="924">
        <v>4.6768878495918127</v>
      </c>
      <c r="O7" s="924">
        <v>4.7861952984108127</v>
      </c>
      <c r="P7" s="924">
        <v>4.922351045428587</v>
      </c>
      <c r="Q7" s="924">
        <v>5.0173813554475863</v>
      </c>
      <c r="R7" s="924">
        <v>5.0686005039035118</v>
      </c>
      <c r="S7" s="924">
        <v>5.0229759936062797</v>
      </c>
      <c r="T7" s="924">
        <v>5.0914502886106439</v>
      </c>
      <c r="U7" s="924">
        <v>5.2365480121576597</v>
      </c>
      <c r="V7" s="924">
        <v>5.4816269649649545</v>
      </c>
      <c r="W7" s="924">
        <v>5.5841408180740668</v>
      </c>
      <c r="X7" s="924">
        <v>5.5850370537559959</v>
      </c>
      <c r="Y7" s="924">
        <v>5.6052826350589937</v>
      </c>
      <c r="Z7" s="924">
        <v>5.6612136071582997</v>
      </c>
      <c r="AA7" s="924">
        <v>5.7676752715740598</v>
      </c>
      <c r="AB7" s="925">
        <v>5.8539244792759346</v>
      </c>
      <c r="AC7" s="925">
        <v>5.9401736869778095</v>
      </c>
      <c r="AD7" s="925">
        <v>6.0264228946796843</v>
      </c>
      <c r="AE7" s="925">
        <v>6.1126721023815591</v>
      </c>
      <c r="AF7" s="925">
        <v>6.1989213100834339</v>
      </c>
      <c r="AG7" s="925">
        <v>6.2851705177853088</v>
      </c>
      <c r="AH7" s="925">
        <v>6.3714197254871836</v>
      </c>
      <c r="AI7" s="925">
        <v>6.4576689331890584</v>
      </c>
      <c r="AJ7" s="925">
        <v>6.5439181408909333</v>
      </c>
      <c r="AK7" s="925">
        <v>6.6301673485928063</v>
      </c>
      <c r="AL7" s="925">
        <v>6.7228927087931387</v>
      </c>
      <c r="AM7" s="925">
        <v>6.8156180689934711</v>
      </c>
      <c r="AN7" s="925">
        <v>6.9083434291938035</v>
      </c>
      <c r="AO7" s="925">
        <v>7.0010687893941359</v>
      </c>
      <c r="AP7" s="925">
        <v>7.0937941495944683</v>
      </c>
      <c r="AQ7" s="925">
        <v>7.1865195097948007</v>
      </c>
      <c r="AR7" s="925">
        <v>7.2792448699951331</v>
      </c>
      <c r="AS7" s="925">
        <v>7.3719702301954655</v>
      </c>
      <c r="AT7" s="925">
        <v>7.4646955903957979</v>
      </c>
      <c r="AU7" s="925">
        <v>7.5574209505961303</v>
      </c>
      <c r="AV7" s="925">
        <v>7.6501463107964627</v>
      </c>
      <c r="AW7" s="925">
        <v>7.7428716709967951</v>
      </c>
      <c r="AX7" s="925">
        <v>7.8355970311971275</v>
      </c>
      <c r="AY7" s="925">
        <v>7.9283223913974599</v>
      </c>
      <c r="AZ7" s="926">
        <v>8.021047751597786</v>
      </c>
      <c r="BA7" s="925">
        <v>8.0362602680624171</v>
      </c>
      <c r="BB7" s="925">
        <v>8.0514727845270482</v>
      </c>
      <c r="BC7" s="925">
        <v>8.0666853009916792</v>
      </c>
      <c r="BD7" s="925">
        <v>8.0818978174563103</v>
      </c>
      <c r="BE7" s="925">
        <v>8.0971103339209414</v>
      </c>
      <c r="BF7" s="925">
        <v>8.1123228503855724</v>
      </c>
      <c r="BG7" s="925">
        <v>8.1275353668502035</v>
      </c>
      <c r="BH7" s="925">
        <v>8.1427478833148346</v>
      </c>
      <c r="BI7" s="925">
        <v>8.1579603997794656</v>
      </c>
      <c r="BJ7" s="925">
        <v>8.1731729162440967</v>
      </c>
      <c r="BK7" s="925">
        <v>8.1883854327087278</v>
      </c>
      <c r="BL7" s="925">
        <v>8.2035979491733588</v>
      </c>
      <c r="BM7" s="925">
        <v>8.2188104656379899</v>
      </c>
      <c r="BN7" s="925">
        <v>8.234022982102621</v>
      </c>
      <c r="BO7" s="926">
        <v>8.2492354985672645</v>
      </c>
      <c r="BP7" s="925">
        <v>8.2648807901462327</v>
      </c>
      <c r="BQ7" s="925">
        <v>8.2805260817252009</v>
      </c>
      <c r="BR7" s="925">
        <v>8.2961713733041691</v>
      </c>
      <c r="BS7" s="925">
        <v>8.3118166648831373</v>
      </c>
      <c r="BT7" s="927">
        <v>8.3274619564621091</v>
      </c>
    </row>
    <row r="8" spans="1:72" x14ac:dyDescent="0.25">
      <c r="A8" s="928" t="s">
        <v>749</v>
      </c>
      <c r="B8" s="923" t="s">
        <v>747</v>
      </c>
      <c r="C8" s="924">
        <v>5.6269638934579786</v>
      </c>
      <c r="D8" s="924">
        <v>3.8422456293735823</v>
      </c>
      <c r="E8" s="924">
        <v>5.691139826234779</v>
      </c>
      <c r="F8" s="924">
        <v>6.2376343214286925</v>
      </c>
      <c r="G8" s="924">
        <v>6.1731978092553481</v>
      </c>
      <c r="H8" s="924">
        <v>5.4998161252939477</v>
      </c>
      <c r="I8" s="924">
        <v>5.0667498741509744</v>
      </c>
      <c r="J8" s="924">
        <v>4.6999946247856554</v>
      </c>
      <c r="K8" s="924">
        <v>4.5877827360944901</v>
      </c>
      <c r="L8" s="924">
        <v>4.4974766767249967</v>
      </c>
      <c r="M8" s="924">
        <v>4.5471429464952013</v>
      </c>
      <c r="N8" s="924">
        <v>4.6470168064225401</v>
      </c>
      <c r="O8" s="924">
        <v>4.7885290901615907</v>
      </c>
      <c r="P8" s="924">
        <v>4.9298490038457894</v>
      </c>
      <c r="Q8" s="924">
        <v>5.0143193411377212</v>
      </c>
      <c r="R8" s="924">
        <v>5.0431599369588911</v>
      </c>
      <c r="S8" s="924">
        <v>4.9958503246307417</v>
      </c>
      <c r="T8" s="924">
        <v>5.071809156885692</v>
      </c>
      <c r="U8" s="924">
        <v>5.2209958625289659</v>
      </c>
      <c r="V8" s="924">
        <v>5.4542850660827948</v>
      </c>
      <c r="W8" s="924">
        <v>5.5514960671370845</v>
      </c>
      <c r="X8" s="924">
        <v>5.5489887943807661</v>
      </c>
      <c r="Y8" s="924">
        <v>5.5622220646660265</v>
      </c>
      <c r="Z8" s="924">
        <v>5.6263508841676488</v>
      </c>
      <c r="AA8" s="924">
        <v>5.730461856104295</v>
      </c>
      <c r="AB8" s="925">
        <v>5.8123040182474703</v>
      </c>
      <c r="AC8" s="925">
        <v>5.8941461803906456</v>
      </c>
      <c r="AD8" s="925">
        <v>5.9759883425338209</v>
      </c>
      <c r="AE8" s="925">
        <v>6.0578305046769962</v>
      </c>
      <c r="AF8" s="925">
        <v>6.1396726668201715</v>
      </c>
      <c r="AG8" s="925">
        <v>6.2215148289633468</v>
      </c>
      <c r="AH8" s="925">
        <v>6.3033569911065221</v>
      </c>
      <c r="AI8" s="925">
        <v>6.3851991532496974</v>
      </c>
      <c r="AJ8" s="925">
        <v>6.4670413153928727</v>
      </c>
      <c r="AK8" s="925">
        <v>6.5488834775360516</v>
      </c>
      <c r="AL8" s="925">
        <v>6.6404720525202734</v>
      </c>
      <c r="AM8" s="925">
        <v>6.7320606275044952</v>
      </c>
      <c r="AN8" s="925">
        <v>6.823649202488717</v>
      </c>
      <c r="AO8" s="925">
        <v>6.9152377774729388</v>
      </c>
      <c r="AP8" s="925">
        <v>7.0068263524571606</v>
      </c>
      <c r="AQ8" s="925">
        <v>7.0984149274413824</v>
      </c>
      <c r="AR8" s="925">
        <v>7.1900035024256042</v>
      </c>
      <c r="AS8" s="925">
        <v>7.2815920774098259</v>
      </c>
      <c r="AT8" s="925">
        <v>7.3731806523940477</v>
      </c>
      <c r="AU8" s="925">
        <v>7.4647692273782695</v>
      </c>
      <c r="AV8" s="925">
        <v>7.5563578023624913</v>
      </c>
      <c r="AW8" s="925">
        <v>7.6479463773467131</v>
      </c>
      <c r="AX8" s="925">
        <v>7.7395349523309349</v>
      </c>
      <c r="AY8" s="925">
        <v>7.8311235273151567</v>
      </c>
      <c r="AZ8" s="926">
        <v>7.9227121022993829</v>
      </c>
      <c r="BA8" s="925">
        <v>7.9377381178566102</v>
      </c>
      <c r="BB8" s="925">
        <v>7.9527641334138375</v>
      </c>
      <c r="BC8" s="925">
        <v>7.9677901489710647</v>
      </c>
      <c r="BD8" s="925">
        <v>7.982816164528292</v>
      </c>
      <c r="BE8" s="925">
        <v>7.9978421800855193</v>
      </c>
      <c r="BF8" s="925">
        <v>8.0128681956427457</v>
      </c>
      <c r="BG8" s="925">
        <v>8.0278942111999729</v>
      </c>
      <c r="BH8" s="925">
        <v>8.0429202267572002</v>
      </c>
      <c r="BI8" s="925">
        <v>8.0579462423144275</v>
      </c>
      <c r="BJ8" s="925">
        <v>8.0729722578716547</v>
      </c>
      <c r="BK8" s="925">
        <v>8.087998273428882</v>
      </c>
      <c r="BL8" s="925">
        <v>8.1030242889861093</v>
      </c>
      <c r="BM8" s="925">
        <v>8.1180503045433365</v>
      </c>
      <c r="BN8" s="925">
        <v>8.1330763201005638</v>
      </c>
      <c r="BO8" s="926">
        <v>8.1481023356577857</v>
      </c>
      <c r="BP8" s="925">
        <v>8.1635558206357306</v>
      </c>
      <c r="BQ8" s="925">
        <v>8.1790093056136755</v>
      </c>
      <c r="BR8" s="925">
        <v>8.1944627905916203</v>
      </c>
      <c r="BS8" s="925">
        <v>8.2099162755695652</v>
      </c>
      <c r="BT8" s="927">
        <v>8.2253697605475136</v>
      </c>
    </row>
    <row r="9" spans="1:72" x14ac:dyDescent="0.25">
      <c r="A9" s="1649" t="s">
        <v>750</v>
      </c>
      <c r="B9" s="1650"/>
      <c r="C9" s="1650"/>
      <c r="D9" s="1650"/>
      <c r="E9" s="1650"/>
      <c r="F9" s="1650"/>
      <c r="G9" s="1650"/>
      <c r="H9" s="1650"/>
      <c r="I9" s="1650"/>
      <c r="J9" s="1650"/>
      <c r="K9" s="1650"/>
      <c r="L9" s="1650"/>
      <c r="M9" s="1650"/>
      <c r="N9" s="1650"/>
      <c r="O9" s="1650"/>
      <c r="P9" s="1650"/>
      <c r="Q9" s="1650"/>
      <c r="R9" s="1650"/>
      <c r="S9" s="1650"/>
      <c r="T9" s="1650"/>
      <c r="U9" s="1650"/>
      <c r="V9" s="1650"/>
      <c r="W9" s="1650"/>
      <c r="X9" s="1650"/>
      <c r="Y9" s="1650"/>
      <c r="Z9" s="1650"/>
      <c r="AA9" s="1650"/>
      <c r="AB9" s="1650"/>
      <c r="AC9" s="1650"/>
      <c r="AD9" s="1650"/>
      <c r="AE9" s="1650"/>
      <c r="AF9" s="1650"/>
      <c r="AG9" s="1650"/>
      <c r="AH9" s="1650"/>
      <c r="AI9" s="1650"/>
      <c r="AJ9" s="1650"/>
      <c r="AK9" s="1650"/>
      <c r="AL9" s="1650"/>
      <c r="AM9" s="1650"/>
      <c r="AN9" s="1650"/>
      <c r="AO9" s="1650"/>
      <c r="AP9" s="1650"/>
      <c r="AQ9" s="1650"/>
      <c r="AR9" s="1650"/>
      <c r="AS9" s="1650"/>
      <c r="AT9" s="1650"/>
      <c r="AU9" s="1650"/>
      <c r="AV9" s="1650"/>
      <c r="AW9" s="1650"/>
      <c r="AX9" s="1650"/>
      <c r="AY9" s="1650"/>
      <c r="AZ9" s="1650"/>
      <c r="BA9" s="1650"/>
      <c r="BB9" s="1650"/>
      <c r="BC9" s="1650"/>
      <c r="BD9" s="1650"/>
      <c r="BE9" s="1650"/>
      <c r="BF9" s="1650"/>
      <c r="BG9" s="1650"/>
      <c r="BH9" s="1650"/>
      <c r="BI9" s="1650"/>
      <c r="BJ9" s="1650"/>
      <c r="BK9" s="1650"/>
      <c r="BL9" s="1650"/>
      <c r="BM9" s="1650"/>
      <c r="BN9" s="1650"/>
      <c r="BO9" s="1650"/>
      <c r="BP9" s="1650"/>
      <c r="BQ9" s="1650"/>
      <c r="BR9" s="1650"/>
      <c r="BS9" s="1650"/>
      <c r="BT9" s="1651"/>
    </row>
    <row r="10" spans="1:72" x14ac:dyDescent="0.25">
      <c r="A10" s="928" t="s">
        <v>683</v>
      </c>
      <c r="B10" s="923" t="s">
        <v>747</v>
      </c>
      <c r="C10" s="924">
        <v>24.866788774356646</v>
      </c>
      <c r="D10" s="924">
        <v>24.345010037692106</v>
      </c>
      <c r="E10" s="924">
        <v>24.223933219909672</v>
      </c>
      <c r="F10" s="924">
        <v>24.020635352944481</v>
      </c>
      <c r="G10" s="924">
        <v>23.91295186528621</v>
      </c>
      <c r="H10" s="924">
        <v>22.837542614846832</v>
      </c>
      <c r="I10" s="924">
        <v>21.69091966017233</v>
      </c>
      <c r="J10" s="924">
        <v>21.090846376599046</v>
      </c>
      <c r="K10" s="924">
        <v>21.058556043876806</v>
      </c>
      <c r="L10" s="924">
        <v>20.987678365887316</v>
      </c>
      <c r="M10" s="924">
        <v>20.983490961902529</v>
      </c>
      <c r="N10" s="924">
        <v>21.313707333690761</v>
      </c>
      <c r="O10" s="924">
        <v>21.638938984780914</v>
      </c>
      <c r="P10" s="924">
        <v>22.13258341123478</v>
      </c>
      <c r="Q10" s="924">
        <v>22.313049388381657</v>
      </c>
      <c r="R10" s="924">
        <v>22.486876361774936</v>
      </c>
      <c r="S10" s="924">
        <v>22.494946956634521</v>
      </c>
      <c r="T10" s="924">
        <v>22.662665807975912</v>
      </c>
      <c r="U10" s="924">
        <v>22.922821701697636</v>
      </c>
      <c r="V10" s="924">
        <v>23.270139622238439</v>
      </c>
      <c r="W10" s="924">
        <v>23.509686568997985</v>
      </c>
      <c r="X10" s="924">
        <v>23.493712398241108</v>
      </c>
      <c r="Y10" s="924">
        <v>23.423848763951703</v>
      </c>
      <c r="Z10" s="924">
        <v>23.513217827059155</v>
      </c>
      <c r="AA10" s="924">
        <v>23.645542576627872</v>
      </c>
      <c r="AB10" s="925">
        <v>23.786749293232678</v>
      </c>
      <c r="AC10" s="925">
        <v>23.927956009837484</v>
      </c>
      <c r="AD10" s="925">
        <v>24.06916272644229</v>
      </c>
      <c r="AE10" s="925">
        <v>24.210369443047096</v>
      </c>
      <c r="AF10" s="925">
        <v>24.351576159651902</v>
      </c>
      <c r="AG10" s="925">
        <v>24.492782876256708</v>
      </c>
      <c r="AH10" s="925">
        <v>24.633989592861514</v>
      </c>
      <c r="AI10" s="925">
        <v>24.77519630946632</v>
      </c>
      <c r="AJ10" s="925">
        <v>24.916403026071126</v>
      </c>
      <c r="AK10" s="925">
        <v>25.057609742675933</v>
      </c>
      <c r="AL10" s="925">
        <v>25.047759076850095</v>
      </c>
      <c r="AM10" s="925">
        <v>25.037908411024258</v>
      </c>
      <c r="AN10" s="925">
        <v>25.028057745198421</v>
      </c>
      <c r="AO10" s="925">
        <v>25.018207079372583</v>
      </c>
      <c r="AP10" s="925">
        <v>25.008356413546746</v>
      </c>
      <c r="AQ10" s="925">
        <v>24.998505747720909</v>
      </c>
      <c r="AR10" s="925">
        <v>24.988655081895072</v>
      </c>
      <c r="AS10" s="925">
        <v>24.978804416069234</v>
      </c>
      <c r="AT10" s="925">
        <v>24.968953750243397</v>
      </c>
      <c r="AU10" s="925">
        <v>24.95910308441756</v>
      </c>
      <c r="AV10" s="925">
        <v>24.949252418591723</v>
      </c>
      <c r="AW10" s="925">
        <v>24.939401752765885</v>
      </c>
      <c r="AX10" s="925">
        <v>24.929551086940048</v>
      </c>
      <c r="AY10" s="925">
        <v>24.919700421114211</v>
      </c>
      <c r="AZ10" s="926">
        <v>24.90984975528837</v>
      </c>
      <c r="BA10" s="925">
        <v>24.925673674379027</v>
      </c>
      <c r="BB10" s="925">
        <v>24.941497593469684</v>
      </c>
      <c r="BC10" s="925">
        <v>24.957321512560341</v>
      </c>
      <c r="BD10" s="925">
        <v>24.973145431650998</v>
      </c>
      <c r="BE10" s="925">
        <v>24.988969350741655</v>
      </c>
      <c r="BF10" s="925">
        <v>25.004793269832312</v>
      </c>
      <c r="BG10" s="925">
        <v>25.020617188922969</v>
      </c>
      <c r="BH10" s="925">
        <v>25.036441108013626</v>
      </c>
      <c r="BI10" s="925">
        <v>25.052265027104283</v>
      </c>
      <c r="BJ10" s="925">
        <v>25.068088946194941</v>
      </c>
      <c r="BK10" s="925">
        <v>25.083912865285598</v>
      </c>
      <c r="BL10" s="925">
        <v>25.099736784376255</v>
      </c>
      <c r="BM10" s="925">
        <v>25.115560703466912</v>
      </c>
      <c r="BN10" s="925">
        <v>25.131384622557569</v>
      </c>
      <c r="BO10" s="926">
        <v>25.147208541648205</v>
      </c>
      <c r="BP10" s="925">
        <v>25.163183242307905</v>
      </c>
      <c r="BQ10" s="925">
        <v>25.179157942967606</v>
      </c>
      <c r="BR10" s="925">
        <v>25.195132643627307</v>
      </c>
      <c r="BS10" s="925">
        <v>25.211107344287008</v>
      </c>
      <c r="BT10" s="927">
        <v>25.227082044946716</v>
      </c>
    </row>
    <row r="11" spans="1:72" x14ac:dyDescent="0.25">
      <c r="A11" s="928" t="s">
        <v>698</v>
      </c>
      <c r="B11" s="923" t="s">
        <v>747</v>
      </c>
      <c r="C11" s="924">
        <v>16.038863482553147</v>
      </c>
      <c r="D11" s="924">
        <v>15.36037109932807</v>
      </c>
      <c r="E11" s="924">
        <v>15.664056310113844</v>
      </c>
      <c r="F11" s="924">
        <v>16.390134465019642</v>
      </c>
      <c r="G11" s="924">
        <v>16.26049394877451</v>
      </c>
      <c r="H11" s="924">
        <v>15.718549229064077</v>
      </c>
      <c r="I11" s="924">
        <v>15.083546116666987</v>
      </c>
      <c r="J11" s="924">
        <v>14.764544869368896</v>
      </c>
      <c r="K11" s="924">
        <v>14.679648534306921</v>
      </c>
      <c r="L11" s="924">
        <v>14.510741661179726</v>
      </c>
      <c r="M11" s="924">
        <v>14.370329416023063</v>
      </c>
      <c r="N11" s="924">
        <v>14.522587083420669</v>
      </c>
      <c r="O11" s="924">
        <v>14.791267903345901</v>
      </c>
      <c r="P11" s="924">
        <v>15.142176731577413</v>
      </c>
      <c r="Q11" s="924">
        <v>15.304996360023072</v>
      </c>
      <c r="R11" s="924">
        <v>15.443286072533045</v>
      </c>
      <c r="S11" s="924">
        <v>15.485992224711291</v>
      </c>
      <c r="T11" s="924">
        <v>15.663456831338236</v>
      </c>
      <c r="U11" s="924">
        <v>15.910829809476709</v>
      </c>
      <c r="V11" s="924">
        <v>16.241389166634008</v>
      </c>
      <c r="W11" s="924">
        <v>16.419768400912066</v>
      </c>
      <c r="X11" s="924">
        <v>16.405212897174714</v>
      </c>
      <c r="Y11" s="924">
        <v>16.372526888577397</v>
      </c>
      <c r="Z11" s="924">
        <v>16.449089176249931</v>
      </c>
      <c r="AA11" s="924">
        <v>16.568027554817903</v>
      </c>
      <c r="AB11" s="925">
        <v>16.704753726753587</v>
      </c>
      <c r="AC11" s="925">
        <v>16.841479898689272</v>
      </c>
      <c r="AD11" s="925">
        <v>16.978206070624957</v>
      </c>
      <c r="AE11" s="925">
        <v>17.114932242560641</v>
      </c>
      <c r="AF11" s="925">
        <v>17.251658414496326</v>
      </c>
      <c r="AG11" s="925">
        <v>17.388384586432011</v>
      </c>
      <c r="AH11" s="925">
        <v>17.525110758367695</v>
      </c>
      <c r="AI11" s="925">
        <v>17.66183693030338</v>
      </c>
      <c r="AJ11" s="925">
        <v>17.798563102239065</v>
      </c>
      <c r="AK11" s="925">
        <v>17.935289274174743</v>
      </c>
      <c r="AL11" s="925">
        <v>17.928238540168429</v>
      </c>
      <c r="AM11" s="925">
        <v>17.921187806162116</v>
      </c>
      <c r="AN11" s="925">
        <v>17.914137072155803</v>
      </c>
      <c r="AO11" s="925">
        <v>17.90708633814949</v>
      </c>
      <c r="AP11" s="925">
        <v>17.900035604143177</v>
      </c>
      <c r="AQ11" s="925">
        <v>17.892984870136864</v>
      </c>
      <c r="AR11" s="925">
        <v>17.885934136130551</v>
      </c>
      <c r="AS11" s="925">
        <v>17.878883402124238</v>
      </c>
      <c r="AT11" s="925">
        <v>17.871832668117925</v>
      </c>
      <c r="AU11" s="925">
        <v>17.864781934111612</v>
      </c>
      <c r="AV11" s="925">
        <v>17.857731200105299</v>
      </c>
      <c r="AW11" s="925">
        <v>17.850680466098986</v>
      </c>
      <c r="AX11" s="925">
        <v>17.843629732092673</v>
      </c>
      <c r="AY11" s="925">
        <v>17.83657899808636</v>
      </c>
      <c r="AZ11" s="926">
        <v>17.829528264080036</v>
      </c>
      <c r="BA11" s="925">
        <v>17.840854426840831</v>
      </c>
      <c r="BB11" s="925">
        <v>17.852180589601627</v>
      </c>
      <c r="BC11" s="925">
        <v>17.863506752362422</v>
      </c>
      <c r="BD11" s="925">
        <v>17.874832915123218</v>
      </c>
      <c r="BE11" s="925">
        <v>17.886159077884013</v>
      </c>
      <c r="BF11" s="925">
        <v>17.897485240644809</v>
      </c>
      <c r="BG11" s="925">
        <v>17.908811403405604</v>
      </c>
      <c r="BH11" s="925">
        <v>17.9201375661664</v>
      </c>
      <c r="BI11" s="925">
        <v>17.931463728927195</v>
      </c>
      <c r="BJ11" s="925">
        <v>17.94278989168799</v>
      </c>
      <c r="BK11" s="925">
        <v>17.954116054448786</v>
      </c>
      <c r="BL11" s="925">
        <v>17.965442217209581</v>
      </c>
      <c r="BM11" s="925">
        <v>17.976768379970377</v>
      </c>
      <c r="BN11" s="925">
        <v>17.988094542731172</v>
      </c>
      <c r="BO11" s="926">
        <v>17.999420705491971</v>
      </c>
      <c r="BP11" s="925">
        <v>18.010854791996724</v>
      </c>
      <c r="BQ11" s="925">
        <v>18.022288878501477</v>
      </c>
      <c r="BR11" s="925">
        <v>18.033722965006231</v>
      </c>
      <c r="BS11" s="925">
        <v>18.045157051510984</v>
      </c>
      <c r="BT11" s="927">
        <v>18.056591138015737</v>
      </c>
    </row>
    <row r="12" spans="1:72" x14ac:dyDescent="0.25">
      <c r="A12" s="929" t="s">
        <v>751</v>
      </c>
      <c r="B12" s="923"/>
      <c r="C12" s="923"/>
      <c r="D12" s="923"/>
      <c r="E12" s="923"/>
      <c r="F12" s="923"/>
      <c r="G12" s="923"/>
      <c r="H12" s="923"/>
      <c r="I12" s="923"/>
      <c r="J12" s="923"/>
      <c r="K12" s="923"/>
      <c r="L12" s="923"/>
      <c r="M12" s="923"/>
      <c r="N12" s="923"/>
      <c r="O12" s="923"/>
      <c r="P12" s="923"/>
      <c r="Q12" s="923"/>
      <c r="R12" s="923"/>
      <c r="S12" s="923"/>
      <c r="T12" s="923"/>
      <c r="U12" s="923"/>
      <c r="V12" s="923"/>
      <c r="W12" s="923"/>
      <c r="X12" s="923"/>
      <c r="Y12" s="923"/>
      <c r="Z12" s="923"/>
      <c r="AA12" s="923"/>
      <c r="AB12" s="923"/>
      <c r="AC12" s="923"/>
      <c r="AD12" s="923"/>
      <c r="AE12" s="923"/>
      <c r="AF12" s="923"/>
      <c r="AG12" s="923"/>
      <c r="AH12" s="923"/>
      <c r="AI12" s="923"/>
      <c r="AJ12" s="923"/>
      <c r="AK12" s="923"/>
      <c r="AL12" s="923"/>
      <c r="AM12" s="923"/>
      <c r="AN12" s="923"/>
      <c r="AO12" s="923"/>
      <c r="AP12" s="923"/>
      <c r="AQ12" s="923"/>
      <c r="AR12" s="923"/>
      <c r="AS12" s="923"/>
      <c r="AT12" s="923"/>
      <c r="AU12" s="923"/>
      <c r="AV12" s="923"/>
      <c r="AW12" s="923"/>
      <c r="AX12" s="923"/>
      <c r="AY12" s="923"/>
      <c r="AZ12" s="923"/>
      <c r="BA12" s="923"/>
      <c r="BB12" s="923"/>
      <c r="BC12" s="923"/>
      <c r="BD12" s="923"/>
      <c r="BE12" s="923"/>
      <c r="BF12" s="923"/>
      <c r="BG12" s="923"/>
      <c r="BH12" s="923"/>
      <c r="BI12" s="923"/>
      <c r="BJ12" s="923"/>
      <c r="BK12" s="923"/>
      <c r="BL12" s="923"/>
      <c r="BM12" s="923"/>
      <c r="BN12" s="923"/>
      <c r="BO12" s="923"/>
      <c r="BP12" s="923"/>
      <c r="BQ12" s="923"/>
      <c r="BR12" s="923"/>
      <c r="BS12" s="923"/>
      <c r="BT12" s="930"/>
    </row>
    <row r="13" spans="1:72" x14ac:dyDescent="0.25">
      <c r="A13" s="928" t="s">
        <v>1087</v>
      </c>
      <c r="B13" s="923" t="s">
        <v>747</v>
      </c>
      <c r="C13" s="924">
        <v>1.3268491834774256</v>
      </c>
      <c r="D13" s="924">
        <v>1.32388562245189</v>
      </c>
      <c r="E13" s="924">
        <v>1.3334961719108085</v>
      </c>
      <c r="F13" s="924">
        <v>1.3380821099821107</v>
      </c>
      <c r="G13" s="924">
        <v>1.3443425871291239</v>
      </c>
      <c r="H13" s="924">
        <v>1.3528785733681756</v>
      </c>
      <c r="I13" s="924">
        <v>1.3415886383011697</v>
      </c>
      <c r="J13" s="924">
        <v>1.3403624656065469</v>
      </c>
      <c r="K13" s="924">
        <v>1.330997225248586</v>
      </c>
      <c r="L13" s="924">
        <v>1.3164209684110997</v>
      </c>
      <c r="M13" s="924">
        <v>1.3072140481112184</v>
      </c>
      <c r="N13" s="924">
        <v>1.3019573002491378</v>
      </c>
      <c r="O13" s="924">
        <v>1.2978333982656636</v>
      </c>
      <c r="P13" s="924">
        <v>1.295833644439585</v>
      </c>
      <c r="Q13" s="924">
        <v>1.2953486183904279</v>
      </c>
      <c r="R13" s="924">
        <v>1.2970626753456174</v>
      </c>
      <c r="S13" s="924">
        <v>1.2955796364343368</v>
      </c>
      <c r="T13" s="924">
        <v>1.3002382724914889</v>
      </c>
      <c r="U13" s="924">
        <v>1.3044509032987155</v>
      </c>
      <c r="V13" s="924">
        <v>1.3304805103337984</v>
      </c>
      <c r="W13" s="924">
        <v>1.3397570218680066</v>
      </c>
      <c r="X13" s="924">
        <v>1.3519914094007222</v>
      </c>
      <c r="Y13" s="924">
        <v>1.3569265463442153</v>
      </c>
      <c r="Z13" s="924">
        <v>1.3726611244228613</v>
      </c>
      <c r="AA13" s="924">
        <v>1.3854931266802686</v>
      </c>
      <c r="AB13" s="925">
        <v>1.3951349014789893</v>
      </c>
      <c r="AC13" s="925">
        <v>1.4047766762777101</v>
      </c>
      <c r="AD13" s="925">
        <v>1.4144184510764308</v>
      </c>
      <c r="AE13" s="925">
        <v>1.4240602258751516</v>
      </c>
      <c r="AF13" s="925">
        <v>1.4337020006738723</v>
      </c>
      <c r="AG13" s="925">
        <v>1.4433437754725931</v>
      </c>
      <c r="AH13" s="925">
        <v>1.4529855502713138</v>
      </c>
      <c r="AI13" s="925">
        <v>1.4626273250700346</v>
      </c>
      <c r="AJ13" s="925">
        <v>1.4722690998687553</v>
      </c>
      <c r="AK13" s="925">
        <v>1.481910874667477</v>
      </c>
      <c r="AL13" s="925">
        <v>1.4862555877963981</v>
      </c>
      <c r="AM13" s="925">
        <v>1.4906003009253193</v>
      </c>
      <c r="AN13" s="925">
        <v>1.4949450140542404</v>
      </c>
      <c r="AO13" s="925">
        <v>1.4992897271831616</v>
      </c>
      <c r="AP13" s="925">
        <v>1.5036344403120827</v>
      </c>
      <c r="AQ13" s="925">
        <v>1.5079791534410039</v>
      </c>
      <c r="AR13" s="925">
        <v>1.512323866569925</v>
      </c>
      <c r="AS13" s="925">
        <v>1.5166685796988462</v>
      </c>
      <c r="AT13" s="925">
        <v>1.5210132928277673</v>
      </c>
      <c r="AU13" s="925">
        <v>1.5253580059566885</v>
      </c>
      <c r="AV13" s="925">
        <v>1.5297027190856096</v>
      </c>
      <c r="AW13" s="925">
        <v>1.5340474322145308</v>
      </c>
      <c r="AX13" s="925">
        <v>1.5383921453434519</v>
      </c>
      <c r="AY13" s="925">
        <v>1.5427368584723731</v>
      </c>
      <c r="AZ13" s="926">
        <v>1.5470815716012942</v>
      </c>
      <c r="BA13" s="925">
        <v>1.5500157274134729</v>
      </c>
      <c r="BB13" s="925">
        <v>1.5529498832256516</v>
      </c>
      <c r="BC13" s="925">
        <v>1.5558840390378303</v>
      </c>
      <c r="BD13" s="925">
        <v>1.5588181948500091</v>
      </c>
      <c r="BE13" s="925">
        <v>1.5617523506621878</v>
      </c>
      <c r="BF13" s="925">
        <v>1.5646865064743665</v>
      </c>
      <c r="BG13" s="925">
        <v>1.5676206622865452</v>
      </c>
      <c r="BH13" s="925">
        <v>1.5705548180987239</v>
      </c>
      <c r="BI13" s="925">
        <v>1.5734889739109026</v>
      </c>
      <c r="BJ13" s="925">
        <v>1.5764231297230813</v>
      </c>
      <c r="BK13" s="925">
        <v>1.57935728553526</v>
      </c>
      <c r="BL13" s="925">
        <v>1.5822914413474387</v>
      </c>
      <c r="BM13" s="925">
        <v>1.5852255971596174</v>
      </c>
      <c r="BN13" s="925">
        <v>1.5881597529717961</v>
      </c>
      <c r="BO13" s="926">
        <v>1.5910939087839742</v>
      </c>
      <c r="BP13" s="925">
        <v>1.5941115372826113</v>
      </c>
      <c r="BQ13" s="925">
        <v>1.5971291657812485</v>
      </c>
      <c r="BR13" s="925">
        <v>1.6001467942798857</v>
      </c>
      <c r="BS13" s="925">
        <v>1.6031644227785229</v>
      </c>
      <c r="BT13" s="927">
        <v>1.6061820512771605</v>
      </c>
    </row>
    <row r="14" spans="1:72" x14ac:dyDescent="0.25">
      <c r="A14" s="1649" t="s">
        <v>752</v>
      </c>
      <c r="B14" s="1650"/>
      <c r="C14" s="1650"/>
      <c r="D14" s="1650"/>
      <c r="E14" s="1650"/>
      <c r="F14" s="1650"/>
      <c r="G14" s="1650"/>
      <c r="H14" s="1650"/>
      <c r="I14" s="1650"/>
      <c r="J14" s="1650"/>
      <c r="K14" s="1650"/>
      <c r="L14" s="1650"/>
      <c r="M14" s="1650"/>
      <c r="N14" s="1650"/>
      <c r="O14" s="1650"/>
      <c r="P14" s="1650"/>
      <c r="Q14" s="1650"/>
      <c r="R14" s="1650"/>
      <c r="S14" s="1650"/>
      <c r="T14" s="1650"/>
      <c r="U14" s="1650"/>
      <c r="V14" s="1650"/>
      <c r="W14" s="1650"/>
      <c r="X14" s="1650"/>
      <c r="Y14" s="1650"/>
      <c r="Z14" s="1650"/>
      <c r="AA14" s="1650"/>
      <c r="AB14" s="1650"/>
      <c r="AC14" s="1650"/>
      <c r="AD14" s="1650"/>
      <c r="AE14" s="1650"/>
      <c r="AF14" s="1650"/>
      <c r="AG14" s="1650"/>
      <c r="AH14" s="1650"/>
      <c r="AI14" s="1650"/>
      <c r="AJ14" s="1650"/>
      <c r="AK14" s="1650"/>
      <c r="AL14" s="1650"/>
      <c r="AM14" s="1650"/>
      <c r="AN14" s="1650"/>
      <c r="AO14" s="1650"/>
      <c r="AP14" s="1650"/>
      <c r="AQ14" s="1650"/>
      <c r="AR14" s="1650"/>
      <c r="AS14" s="1650"/>
      <c r="AT14" s="1650"/>
      <c r="AU14" s="1650"/>
      <c r="AV14" s="1650"/>
      <c r="AW14" s="1650"/>
      <c r="AX14" s="1650"/>
      <c r="AY14" s="1650"/>
      <c r="AZ14" s="1650"/>
      <c r="BA14" s="1650"/>
      <c r="BB14" s="1650"/>
      <c r="BC14" s="1650"/>
      <c r="BD14" s="1650"/>
      <c r="BE14" s="1650"/>
      <c r="BF14" s="1650"/>
      <c r="BG14" s="1650"/>
      <c r="BH14" s="1650"/>
      <c r="BI14" s="1650"/>
      <c r="BJ14" s="1650"/>
      <c r="BK14" s="1650"/>
      <c r="BL14" s="1650"/>
      <c r="BM14" s="1650"/>
      <c r="BN14" s="1650"/>
      <c r="BO14" s="1650"/>
      <c r="BP14" s="1650"/>
      <c r="BQ14" s="1650"/>
      <c r="BR14" s="1650"/>
      <c r="BS14" s="1650"/>
      <c r="BT14" s="1651"/>
    </row>
    <row r="15" spans="1:72" ht="23" x14ac:dyDescent="0.25">
      <c r="A15" s="922" t="s">
        <v>753</v>
      </c>
      <c r="B15" s="923" t="s">
        <v>747</v>
      </c>
      <c r="C15" s="924">
        <v>10.789461735918687</v>
      </c>
      <c r="D15" s="924">
        <v>9.9590971559848445</v>
      </c>
      <c r="E15" s="924">
        <v>11.383831536994775</v>
      </c>
      <c r="F15" s="924">
        <v>12.531178240506115</v>
      </c>
      <c r="G15" s="924">
        <v>12.036300060884058</v>
      </c>
      <c r="H15" s="924">
        <v>12.613383383121093</v>
      </c>
      <c r="I15" s="924">
        <v>13.01890940036416</v>
      </c>
      <c r="J15" s="924">
        <v>12.908589399085846</v>
      </c>
      <c r="K15" s="924">
        <v>12.946875513724528</v>
      </c>
      <c r="L15" s="924">
        <v>13.039098811599491</v>
      </c>
      <c r="M15" s="924">
        <v>13.088955960183741</v>
      </c>
      <c r="N15" s="924">
        <v>13.133508268392355</v>
      </c>
      <c r="O15" s="924">
        <v>13.038477461293056</v>
      </c>
      <c r="P15" s="924">
        <v>12.989168095138872</v>
      </c>
      <c r="Q15" s="924">
        <v>12.752903866318045</v>
      </c>
      <c r="R15" s="924">
        <v>12.539506322932722</v>
      </c>
      <c r="S15" s="924">
        <v>12.335074118848111</v>
      </c>
      <c r="T15" s="924">
        <v>12.292193988584152</v>
      </c>
      <c r="U15" s="924">
        <v>12.304560350921868</v>
      </c>
      <c r="V15" s="924">
        <v>12.340337204483362</v>
      </c>
      <c r="W15" s="924">
        <v>12.418707870087554</v>
      </c>
      <c r="X15" s="924">
        <v>12.438495640484758</v>
      </c>
      <c r="Y15" s="924">
        <v>12.492141534697302</v>
      </c>
      <c r="Z15" s="924">
        <v>12.624332072599859</v>
      </c>
      <c r="AA15" s="924">
        <v>13.025979869770596</v>
      </c>
      <c r="AB15" s="924">
        <v>13.053872203635709</v>
      </c>
      <c r="AC15" s="924">
        <v>13.081764537500822</v>
      </c>
      <c r="AD15" s="924">
        <v>13.109656871365935</v>
      </c>
      <c r="AE15" s="924">
        <v>13.137549205231048</v>
      </c>
      <c r="AF15" s="924">
        <v>13.165441539096161</v>
      </c>
      <c r="AG15" s="924">
        <v>13.193333872961274</v>
      </c>
      <c r="AH15" s="924">
        <v>13.221226206826387</v>
      </c>
      <c r="AI15" s="924">
        <v>13.2491185406915</v>
      </c>
      <c r="AJ15" s="924">
        <v>13.277010874556613</v>
      </c>
      <c r="AK15" s="924">
        <v>13.304903208421727</v>
      </c>
      <c r="AL15" s="924">
        <v>13.445726499778688</v>
      </c>
      <c r="AM15" s="924">
        <v>13.586549791135649</v>
      </c>
      <c r="AN15" s="924">
        <v>13.72737308249261</v>
      </c>
      <c r="AO15" s="924">
        <v>13.868196373849571</v>
      </c>
      <c r="AP15" s="924">
        <v>14.009019665206532</v>
      </c>
      <c r="AQ15" s="924">
        <v>14.149842956563493</v>
      </c>
      <c r="AR15" s="924">
        <v>14.290666247920454</v>
      </c>
      <c r="AS15" s="924">
        <v>14.431489539277415</v>
      </c>
      <c r="AT15" s="924">
        <v>14.572312830634376</v>
      </c>
      <c r="AU15" s="924">
        <v>14.713136121991337</v>
      </c>
      <c r="AV15" s="924">
        <v>14.853959413348298</v>
      </c>
      <c r="AW15" s="924">
        <v>14.994782704705258</v>
      </c>
      <c r="AX15" s="924">
        <v>15.135605996062219</v>
      </c>
      <c r="AY15" s="924">
        <v>15.27642928741918</v>
      </c>
      <c r="AZ15" s="924">
        <v>15.417252578776129</v>
      </c>
      <c r="BA15" s="924">
        <v>15.505038084680947</v>
      </c>
      <c r="BB15" s="924">
        <v>15.592823590585766</v>
      </c>
      <c r="BC15" s="924">
        <v>15.680609096490585</v>
      </c>
      <c r="BD15" s="924">
        <v>15.768394602395404</v>
      </c>
      <c r="BE15" s="924">
        <v>15.856180108300222</v>
      </c>
      <c r="BF15" s="924">
        <v>15.943965614205041</v>
      </c>
      <c r="BG15" s="924">
        <v>16.03175112010986</v>
      </c>
      <c r="BH15" s="924">
        <v>16.119536626014678</v>
      </c>
      <c r="BI15" s="924">
        <v>16.207322131919497</v>
      </c>
      <c r="BJ15" s="924">
        <v>16.295107637824316</v>
      </c>
      <c r="BK15" s="924">
        <v>16.382893143729135</v>
      </c>
      <c r="BL15" s="924">
        <v>16.470678649633953</v>
      </c>
      <c r="BM15" s="924">
        <v>16.558464155538772</v>
      </c>
      <c r="BN15" s="924">
        <v>16.646249661443591</v>
      </c>
      <c r="BO15" s="924">
        <v>16.734035167348416</v>
      </c>
      <c r="BP15" s="924">
        <v>16.829318405103567</v>
      </c>
      <c r="BQ15" s="924">
        <v>16.924601642858718</v>
      </c>
      <c r="BR15" s="924">
        <v>17.019884880613869</v>
      </c>
      <c r="BS15" s="924">
        <v>17.11516811836902</v>
      </c>
      <c r="BT15" s="931">
        <v>17.210451356124164</v>
      </c>
    </row>
    <row r="16" spans="1:72" x14ac:dyDescent="0.25">
      <c r="A16" s="928" t="s">
        <v>754</v>
      </c>
      <c r="B16" s="923" t="s">
        <v>747</v>
      </c>
      <c r="C16" s="924">
        <v>12.730520250245322</v>
      </c>
      <c r="D16" s="924">
        <v>11.801320287416596</v>
      </c>
      <c r="E16" s="924">
        <v>13.477350603859424</v>
      </c>
      <c r="F16" s="924">
        <v>15.275134761378448</v>
      </c>
      <c r="G16" s="924">
        <v>14.956036086352325</v>
      </c>
      <c r="H16" s="924">
        <v>15.333911517881027</v>
      </c>
      <c r="I16" s="924">
        <v>14.969645149302909</v>
      </c>
      <c r="J16" s="924">
        <v>14.856007634468792</v>
      </c>
      <c r="K16" s="924">
        <v>14.855665643260203</v>
      </c>
      <c r="L16" s="924">
        <v>14.676357863084307</v>
      </c>
      <c r="M16" s="924">
        <v>14.660823111264261</v>
      </c>
      <c r="N16" s="924">
        <v>14.621396694543213</v>
      </c>
      <c r="O16" s="924">
        <v>14.496914877081778</v>
      </c>
      <c r="P16" s="924">
        <v>14.525867813038341</v>
      </c>
      <c r="Q16" s="924">
        <v>14.406443289990676</v>
      </c>
      <c r="R16" s="924">
        <v>14.511791494657368</v>
      </c>
      <c r="S16" s="924">
        <v>14.408484301477108</v>
      </c>
      <c r="T16" s="924">
        <v>14.421367627269808</v>
      </c>
      <c r="U16" s="924">
        <v>14.483474821414545</v>
      </c>
      <c r="V16" s="924">
        <v>14.423047758498246</v>
      </c>
      <c r="W16" s="924">
        <v>14.678410804496627</v>
      </c>
      <c r="X16" s="924">
        <v>14.842794247393387</v>
      </c>
      <c r="Y16" s="924">
        <v>14.985196801851416</v>
      </c>
      <c r="Z16" s="924">
        <v>15.125157698145465</v>
      </c>
      <c r="AA16" s="924">
        <v>15.225733932459173</v>
      </c>
      <c r="AB16" s="925">
        <v>15.312322281050708</v>
      </c>
      <c r="AC16" s="925">
        <v>15.398910629642243</v>
      </c>
      <c r="AD16" s="925">
        <v>15.485498978233778</v>
      </c>
      <c r="AE16" s="925">
        <v>15.572087326825313</v>
      </c>
      <c r="AF16" s="925">
        <v>15.658675675416848</v>
      </c>
      <c r="AG16" s="925">
        <v>15.745264024008383</v>
      </c>
      <c r="AH16" s="925">
        <v>15.831852372599919</v>
      </c>
      <c r="AI16" s="925">
        <v>15.918440721191454</v>
      </c>
      <c r="AJ16" s="925">
        <v>16.005029069782989</v>
      </c>
      <c r="AK16" s="925">
        <v>16.091617418374518</v>
      </c>
      <c r="AL16" s="925">
        <v>16.26193617174043</v>
      </c>
      <c r="AM16" s="925">
        <v>16.432254925106342</v>
      </c>
      <c r="AN16" s="925">
        <v>16.602573678472254</v>
      </c>
      <c r="AO16" s="925">
        <v>16.772892431838166</v>
      </c>
      <c r="AP16" s="925">
        <v>16.943211185204078</v>
      </c>
      <c r="AQ16" s="925">
        <v>17.113529938569989</v>
      </c>
      <c r="AR16" s="925">
        <v>17.283848691935901</v>
      </c>
      <c r="AS16" s="925">
        <v>17.454167445301813</v>
      </c>
      <c r="AT16" s="925">
        <v>17.624486198667725</v>
      </c>
      <c r="AU16" s="925">
        <v>17.794804952033637</v>
      </c>
      <c r="AV16" s="925">
        <v>17.965123705399549</v>
      </c>
      <c r="AW16" s="925">
        <v>18.135442458765461</v>
      </c>
      <c r="AX16" s="925">
        <v>18.305761212131372</v>
      </c>
      <c r="AY16" s="925">
        <v>18.476079965497284</v>
      </c>
      <c r="AZ16" s="924">
        <v>18.646398718863171</v>
      </c>
      <c r="BA16" s="925">
        <v>18.752570913712709</v>
      </c>
      <c r="BB16" s="925">
        <v>18.858743108562248</v>
      </c>
      <c r="BC16" s="925">
        <v>18.964915303411786</v>
      </c>
      <c r="BD16" s="925">
        <v>19.071087498261324</v>
      </c>
      <c r="BE16" s="925">
        <v>19.177259693110862</v>
      </c>
      <c r="BF16" s="925">
        <v>19.283431887960401</v>
      </c>
      <c r="BG16" s="925">
        <v>19.389604082809939</v>
      </c>
      <c r="BH16" s="925">
        <v>19.495776277659477</v>
      </c>
      <c r="BI16" s="925">
        <v>19.601948472509015</v>
      </c>
      <c r="BJ16" s="925">
        <v>19.708120667358553</v>
      </c>
      <c r="BK16" s="925">
        <v>19.814292862208092</v>
      </c>
      <c r="BL16" s="925">
        <v>19.92046505705763</v>
      </c>
      <c r="BM16" s="925">
        <v>20.026637251907168</v>
      </c>
      <c r="BN16" s="925">
        <v>20.132809446756706</v>
      </c>
      <c r="BO16" s="924">
        <v>20.238981641606255</v>
      </c>
      <c r="BP16" s="925">
        <v>20.354221969500514</v>
      </c>
      <c r="BQ16" s="925">
        <v>20.469462297394774</v>
      </c>
      <c r="BR16" s="925">
        <v>20.584702625289033</v>
      </c>
      <c r="BS16" s="925">
        <v>20.699942953183292</v>
      </c>
      <c r="BT16" s="931">
        <v>20.815183281077545</v>
      </c>
    </row>
    <row r="17" spans="1:72" x14ac:dyDescent="0.25">
      <c r="A17" s="928" t="s">
        <v>312</v>
      </c>
      <c r="B17" s="923" t="s">
        <v>747</v>
      </c>
      <c r="C17" s="924">
        <v>15.730049999999999</v>
      </c>
      <c r="D17" s="924">
        <v>15.730049999999999</v>
      </c>
      <c r="E17" s="924">
        <v>15.730049999999999</v>
      </c>
      <c r="F17" s="924">
        <v>15.730049999999999</v>
      </c>
      <c r="G17" s="924">
        <v>15.730049999999999</v>
      </c>
      <c r="H17" s="924">
        <v>15.730049999999999</v>
      </c>
      <c r="I17" s="924">
        <v>15.730049999999999</v>
      </c>
      <c r="J17" s="924">
        <v>15.730049999999999</v>
      </c>
      <c r="K17" s="924">
        <v>15.730049999999999</v>
      </c>
      <c r="L17" s="924">
        <v>15.730049999999999</v>
      </c>
      <c r="M17" s="924">
        <v>15.730049999999999</v>
      </c>
      <c r="N17" s="924">
        <v>15.730049999999999</v>
      </c>
      <c r="O17" s="924">
        <v>15.730049999999999</v>
      </c>
      <c r="P17" s="924">
        <v>15.730049999999999</v>
      </c>
      <c r="Q17" s="924">
        <v>15.730049999999999</v>
      </c>
      <c r="R17" s="924">
        <v>15.730049999999999</v>
      </c>
      <c r="S17" s="924">
        <v>15.730049999999999</v>
      </c>
      <c r="T17" s="924">
        <v>15.730049999999999</v>
      </c>
      <c r="U17" s="924">
        <v>15.730049999999999</v>
      </c>
      <c r="V17" s="924">
        <v>15.730049999999999</v>
      </c>
      <c r="W17" s="924">
        <v>15.730049999999999</v>
      </c>
      <c r="X17" s="924">
        <v>15.730049999999999</v>
      </c>
      <c r="Y17" s="924">
        <v>15.730049999999999</v>
      </c>
      <c r="Z17" s="924">
        <v>15.730049999999999</v>
      </c>
      <c r="AA17" s="924">
        <v>15.730049999999999</v>
      </c>
      <c r="AB17" s="924">
        <v>15.730049999999999</v>
      </c>
      <c r="AC17" s="924">
        <v>15.730049999999999</v>
      </c>
      <c r="AD17" s="924">
        <v>15.730049999999999</v>
      </c>
      <c r="AE17" s="924">
        <v>15.730049999999999</v>
      </c>
      <c r="AF17" s="924">
        <v>15.730049999999999</v>
      </c>
      <c r="AG17" s="924">
        <v>15.730049999999999</v>
      </c>
      <c r="AH17" s="924">
        <v>15.730049999999999</v>
      </c>
      <c r="AI17" s="924">
        <v>15.730049999999999</v>
      </c>
      <c r="AJ17" s="924">
        <v>15.730049999999999</v>
      </c>
      <c r="AK17" s="924">
        <v>15.730049999999999</v>
      </c>
      <c r="AL17" s="924">
        <v>15.730049999999999</v>
      </c>
      <c r="AM17" s="924">
        <v>15.730049999999999</v>
      </c>
      <c r="AN17" s="924">
        <v>15.730049999999999</v>
      </c>
      <c r="AO17" s="924">
        <v>15.730049999999999</v>
      </c>
      <c r="AP17" s="924">
        <v>15.730049999999999</v>
      </c>
      <c r="AQ17" s="924">
        <v>15.730049999999999</v>
      </c>
      <c r="AR17" s="924">
        <v>15.730049999999999</v>
      </c>
      <c r="AS17" s="924">
        <v>15.730049999999999</v>
      </c>
      <c r="AT17" s="924">
        <v>15.730049999999999</v>
      </c>
      <c r="AU17" s="924">
        <v>15.730049999999999</v>
      </c>
      <c r="AV17" s="924">
        <v>15.730049999999999</v>
      </c>
      <c r="AW17" s="924">
        <v>15.730049999999999</v>
      </c>
      <c r="AX17" s="924">
        <v>15.730049999999999</v>
      </c>
      <c r="AY17" s="924">
        <v>15.730049999999999</v>
      </c>
      <c r="AZ17" s="924">
        <v>15.730049999999999</v>
      </c>
      <c r="BA17" s="924">
        <v>15.730049999999999</v>
      </c>
      <c r="BB17" s="924">
        <v>15.730049999999999</v>
      </c>
      <c r="BC17" s="924">
        <v>15.730049999999999</v>
      </c>
      <c r="BD17" s="924">
        <v>15.730049999999999</v>
      </c>
      <c r="BE17" s="924">
        <v>15.730049999999999</v>
      </c>
      <c r="BF17" s="924">
        <v>15.730049999999999</v>
      </c>
      <c r="BG17" s="924">
        <v>15.730049999999999</v>
      </c>
      <c r="BH17" s="924">
        <v>15.730049999999999</v>
      </c>
      <c r="BI17" s="924">
        <v>15.730049999999999</v>
      </c>
      <c r="BJ17" s="924">
        <v>15.730049999999999</v>
      </c>
      <c r="BK17" s="924">
        <v>15.730049999999999</v>
      </c>
      <c r="BL17" s="924">
        <v>15.730049999999999</v>
      </c>
      <c r="BM17" s="924">
        <v>15.730049999999999</v>
      </c>
      <c r="BN17" s="924">
        <v>15.730049999999999</v>
      </c>
      <c r="BO17" s="924">
        <v>15.730049999999999</v>
      </c>
      <c r="BP17" s="924">
        <v>15.730049999999999</v>
      </c>
      <c r="BQ17" s="924">
        <v>15.730049999999999</v>
      </c>
      <c r="BR17" s="924">
        <v>15.730049999999999</v>
      </c>
      <c r="BS17" s="924">
        <v>15.730049999999999</v>
      </c>
      <c r="BT17" s="931">
        <v>15.730049999999999</v>
      </c>
    </row>
    <row r="18" spans="1:72" x14ac:dyDescent="0.25">
      <c r="A18" s="922" t="s">
        <v>311</v>
      </c>
      <c r="B18" s="923" t="s">
        <v>747</v>
      </c>
      <c r="C18" s="924">
        <v>8.7353999999999985</v>
      </c>
      <c r="D18" s="924">
        <v>8.7353999999999985</v>
      </c>
      <c r="E18" s="924">
        <v>8.7353999999999985</v>
      </c>
      <c r="F18" s="924">
        <v>8.7353999999999985</v>
      </c>
      <c r="G18" s="924">
        <v>8.7353999999999985</v>
      </c>
      <c r="H18" s="924">
        <v>8.7353999999999985</v>
      </c>
      <c r="I18" s="924">
        <v>8.7353999999999985</v>
      </c>
      <c r="J18" s="924">
        <v>8.7353999999999985</v>
      </c>
      <c r="K18" s="924">
        <v>8.7353999999999985</v>
      </c>
      <c r="L18" s="924">
        <v>8.7353999999999985</v>
      </c>
      <c r="M18" s="924">
        <v>8.7353999999999985</v>
      </c>
      <c r="N18" s="924">
        <v>8.7353999999999985</v>
      </c>
      <c r="O18" s="924">
        <v>8.7353999999999985</v>
      </c>
      <c r="P18" s="924">
        <v>8.7353999999999985</v>
      </c>
      <c r="Q18" s="924">
        <v>8.7353999999999985</v>
      </c>
      <c r="R18" s="924">
        <v>8.7353999999999985</v>
      </c>
      <c r="S18" s="924">
        <v>8.7353999999999985</v>
      </c>
      <c r="T18" s="924">
        <v>8.7353999999999985</v>
      </c>
      <c r="U18" s="924">
        <v>8.7353999999999985</v>
      </c>
      <c r="V18" s="924">
        <v>8.7353999999999985</v>
      </c>
      <c r="W18" s="924">
        <v>8.7353999999999985</v>
      </c>
      <c r="X18" s="924">
        <v>8.7353999999999985</v>
      </c>
      <c r="Y18" s="924">
        <v>8.7353999999999985</v>
      </c>
      <c r="Z18" s="924">
        <v>8.7353999999999985</v>
      </c>
      <c r="AA18" s="924">
        <v>8.7353999999999985</v>
      </c>
      <c r="AB18" s="924">
        <v>8.7353999999999985</v>
      </c>
      <c r="AC18" s="924">
        <v>8.7353999999999985</v>
      </c>
      <c r="AD18" s="924">
        <v>8.7353999999999985</v>
      </c>
      <c r="AE18" s="924">
        <v>8.7353999999999985</v>
      </c>
      <c r="AF18" s="924">
        <v>8.7353999999999985</v>
      </c>
      <c r="AG18" s="924">
        <v>8.7353999999999985</v>
      </c>
      <c r="AH18" s="924">
        <v>8.7353999999999985</v>
      </c>
      <c r="AI18" s="924">
        <v>8.7353999999999985</v>
      </c>
      <c r="AJ18" s="924">
        <v>8.7353999999999985</v>
      </c>
      <c r="AK18" s="924">
        <v>8.7353999999999985</v>
      </c>
      <c r="AL18" s="924">
        <v>8.7353999999999985</v>
      </c>
      <c r="AM18" s="924">
        <v>8.7353999999999985</v>
      </c>
      <c r="AN18" s="924">
        <v>8.7353999999999985</v>
      </c>
      <c r="AO18" s="924">
        <v>8.7353999999999985</v>
      </c>
      <c r="AP18" s="924">
        <v>8.7353999999999985</v>
      </c>
      <c r="AQ18" s="924">
        <v>8.7353999999999985</v>
      </c>
      <c r="AR18" s="924">
        <v>8.7353999999999985</v>
      </c>
      <c r="AS18" s="924">
        <v>8.7353999999999985</v>
      </c>
      <c r="AT18" s="924">
        <v>8.7353999999999985</v>
      </c>
      <c r="AU18" s="924">
        <v>8.7353999999999985</v>
      </c>
      <c r="AV18" s="924">
        <v>8.7353999999999985</v>
      </c>
      <c r="AW18" s="924">
        <v>8.7353999999999985</v>
      </c>
      <c r="AX18" s="924">
        <v>8.7353999999999985</v>
      </c>
      <c r="AY18" s="924">
        <v>8.7353999999999985</v>
      </c>
      <c r="AZ18" s="924">
        <v>8.7353999999999985</v>
      </c>
      <c r="BA18" s="924">
        <v>8.7353999999999985</v>
      </c>
      <c r="BB18" s="924">
        <v>8.7353999999999985</v>
      </c>
      <c r="BC18" s="924">
        <v>8.7353999999999985</v>
      </c>
      <c r="BD18" s="924">
        <v>8.7353999999999985</v>
      </c>
      <c r="BE18" s="924">
        <v>8.7353999999999985</v>
      </c>
      <c r="BF18" s="924">
        <v>8.7353999999999985</v>
      </c>
      <c r="BG18" s="924">
        <v>8.7353999999999985</v>
      </c>
      <c r="BH18" s="924">
        <v>8.7353999999999985</v>
      </c>
      <c r="BI18" s="924">
        <v>8.7353999999999985</v>
      </c>
      <c r="BJ18" s="924">
        <v>8.7353999999999985</v>
      </c>
      <c r="BK18" s="924">
        <v>8.7353999999999985</v>
      </c>
      <c r="BL18" s="924">
        <v>8.7353999999999985</v>
      </c>
      <c r="BM18" s="924">
        <v>8.7353999999999985</v>
      </c>
      <c r="BN18" s="924">
        <v>8.7353999999999985</v>
      </c>
      <c r="BO18" s="924">
        <v>8.7353999999999985</v>
      </c>
      <c r="BP18" s="924">
        <v>8.7353999999999985</v>
      </c>
      <c r="BQ18" s="924">
        <v>8.7353999999999985</v>
      </c>
      <c r="BR18" s="924">
        <v>8.7353999999999985</v>
      </c>
      <c r="BS18" s="924">
        <v>8.7353999999999985</v>
      </c>
      <c r="BT18" s="931">
        <v>8.7353999999999985</v>
      </c>
    </row>
    <row r="19" spans="1:72" x14ac:dyDescent="0.25">
      <c r="A19" s="1649" t="s">
        <v>755</v>
      </c>
      <c r="B19" s="1650"/>
      <c r="C19" s="1650"/>
      <c r="D19" s="1650"/>
      <c r="E19" s="1650"/>
      <c r="F19" s="1650"/>
      <c r="G19" s="1650"/>
      <c r="H19" s="1650"/>
      <c r="I19" s="1650"/>
      <c r="J19" s="1650"/>
      <c r="K19" s="1650"/>
      <c r="L19" s="1650"/>
      <c r="M19" s="1650"/>
      <c r="N19" s="1650"/>
      <c r="O19" s="1650"/>
      <c r="P19" s="1650"/>
      <c r="Q19" s="1650"/>
      <c r="R19" s="1650"/>
      <c r="S19" s="1650"/>
      <c r="T19" s="1650"/>
      <c r="U19" s="1650"/>
      <c r="V19" s="1650"/>
      <c r="W19" s="1650"/>
      <c r="X19" s="1650"/>
      <c r="Y19" s="1650"/>
      <c r="Z19" s="1650"/>
      <c r="AA19" s="1650"/>
      <c r="AB19" s="1650"/>
      <c r="AC19" s="1650"/>
      <c r="AD19" s="1650"/>
      <c r="AE19" s="1650"/>
      <c r="AF19" s="1650"/>
      <c r="AG19" s="1650"/>
      <c r="AH19" s="1650"/>
      <c r="AI19" s="1650"/>
      <c r="AJ19" s="1650"/>
      <c r="AK19" s="1650"/>
      <c r="AL19" s="1650"/>
      <c r="AM19" s="1650"/>
      <c r="AN19" s="1650"/>
      <c r="AO19" s="1650"/>
      <c r="AP19" s="1650"/>
      <c r="AQ19" s="1650"/>
      <c r="AR19" s="1650"/>
      <c r="AS19" s="1650"/>
      <c r="AT19" s="1650"/>
      <c r="AU19" s="1650"/>
      <c r="AV19" s="1650"/>
      <c r="AW19" s="1650"/>
      <c r="AX19" s="1650"/>
      <c r="AY19" s="1650"/>
      <c r="AZ19" s="1650"/>
      <c r="BA19" s="1650"/>
      <c r="BB19" s="1650"/>
      <c r="BC19" s="1650"/>
      <c r="BD19" s="1650"/>
      <c r="BE19" s="1650"/>
      <c r="BF19" s="1650"/>
      <c r="BG19" s="1650"/>
      <c r="BH19" s="1650"/>
      <c r="BI19" s="1650"/>
      <c r="BJ19" s="1650"/>
      <c r="BK19" s="1650"/>
      <c r="BL19" s="1650"/>
      <c r="BM19" s="1650"/>
      <c r="BN19" s="1650"/>
      <c r="BO19" s="1650"/>
      <c r="BP19" s="1650"/>
      <c r="BQ19" s="1650"/>
      <c r="BR19" s="1650"/>
      <c r="BS19" s="1650"/>
      <c r="BT19" s="1651"/>
    </row>
    <row r="20" spans="1:72" ht="23.5" thickBot="1" x14ac:dyDescent="0.3">
      <c r="A20" s="932" t="s">
        <v>756</v>
      </c>
      <c r="B20" s="933" t="s">
        <v>747</v>
      </c>
      <c r="C20" s="934">
        <v>1.2696286520685174</v>
      </c>
      <c r="D20" s="934">
        <v>1.2696286520685174</v>
      </c>
      <c r="E20" s="934">
        <v>1.2696286520685174</v>
      </c>
      <c r="F20" s="934">
        <v>1.2696286520685174</v>
      </c>
      <c r="G20" s="934">
        <v>1.2696286520685174</v>
      </c>
      <c r="H20" s="934">
        <v>1.2696286520685174</v>
      </c>
      <c r="I20" s="934">
        <v>1.2696286520685174</v>
      </c>
      <c r="J20" s="934">
        <v>1.2696286520685174</v>
      </c>
      <c r="K20" s="934">
        <v>1.2696286520685174</v>
      </c>
      <c r="L20" s="934">
        <v>1.2696286520685174</v>
      </c>
      <c r="M20" s="934">
        <v>1.2716814065585227</v>
      </c>
      <c r="N20" s="934">
        <v>1.2809188017635484</v>
      </c>
      <c r="O20" s="934">
        <v>1.3178683825836508</v>
      </c>
      <c r="P20" s="934">
        <v>1.3209475143186591</v>
      </c>
      <c r="Q20" s="934">
        <v>1.3435278137087219</v>
      </c>
      <c r="R20" s="934">
        <v>1.3466069454437304</v>
      </c>
      <c r="S20" s="934">
        <v>1.3630289813637759</v>
      </c>
      <c r="T20" s="934">
        <v>1.3578970951387617</v>
      </c>
      <c r="U20" s="934">
        <v>1.383556526263833</v>
      </c>
      <c r="V20" s="934">
        <v>1.4030576939188868</v>
      </c>
      <c r="W20" s="934">
        <v>1.460534819639046</v>
      </c>
      <c r="X20" s="934">
        <v>1.4800359872941</v>
      </c>
      <c r="Y20" s="934">
        <v>1.4861942507641173</v>
      </c>
      <c r="Z20" s="934">
        <v>1.5118536818891883</v>
      </c>
      <c r="AA20" s="934">
        <v>1.5262229633192279</v>
      </c>
      <c r="AB20" s="934">
        <v>1.6236006669873051</v>
      </c>
      <c r="AC20" s="934">
        <v>1.7209783706553823</v>
      </c>
      <c r="AD20" s="934">
        <v>1.8183560743234595</v>
      </c>
      <c r="AE20" s="934">
        <v>1.9157337779915367</v>
      </c>
      <c r="AF20" s="934">
        <v>2.0131114816596138</v>
      </c>
      <c r="AG20" s="934">
        <v>2.1104891853276913</v>
      </c>
      <c r="AH20" s="934">
        <v>2.2078668889957687</v>
      </c>
      <c r="AI20" s="934">
        <v>2.3052445926638461</v>
      </c>
      <c r="AJ20" s="934">
        <v>2.4026222963319235</v>
      </c>
      <c r="AK20" s="934">
        <v>2.5</v>
      </c>
      <c r="AL20" s="934">
        <v>2.5714285714285716</v>
      </c>
      <c r="AM20" s="934">
        <v>2.6428571428571432</v>
      </c>
      <c r="AN20" s="934">
        <v>2.7142857142857149</v>
      </c>
      <c r="AO20" s="934">
        <v>2.7857142857142865</v>
      </c>
      <c r="AP20" s="934">
        <v>2.8571428571428581</v>
      </c>
      <c r="AQ20" s="934">
        <v>2.9285714285714297</v>
      </c>
      <c r="AR20" s="934">
        <v>3</v>
      </c>
      <c r="AS20" s="934">
        <v>3.071428571428573</v>
      </c>
      <c r="AT20" s="934">
        <v>3.1428571428571446</v>
      </c>
      <c r="AU20" s="934">
        <v>3.2142857142857162</v>
      </c>
      <c r="AV20" s="934">
        <v>3.2857142857142878</v>
      </c>
      <c r="AW20" s="934">
        <v>3.3571428571428594</v>
      </c>
      <c r="AX20" s="934">
        <v>3.428571428571431</v>
      </c>
      <c r="AY20" s="934">
        <v>3.5</v>
      </c>
      <c r="AZ20" s="934">
        <v>3.5714285714285743</v>
      </c>
      <c r="BA20" s="934">
        <v>3.6428571428571459</v>
      </c>
      <c r="BB20" s="934">
        <v>3.7142857142857175</v>
      </c>
      <c r="BC20" s="934">
        <v>3.7857142857142891</v>
      </c>
      <c r="BD20" s="934">
        <v>3.8571428571428608</v>
      </c>
      <c r="BE20" s="934">
        <v>3.9285714285714324</v>
      </c>
      <c r="BF20" s="934">
        <v>4</v>
      </c>
      <c r="BG20" s="934">
        <v>4.0714285714285747</v>
      </c>
      <c r="BH20" s="934">
        <v>4.1428571428571459</v>
      </c>
      <c r="BI20" s="934">
        <v>4.2142857142857171</v>
      </c>
      <c r="BJ20" s="934">
        <v>4.2857142857142883</v>
      </c>
      <c r="BK20" s="934">
        <v>4.3571428571428594</v>
      </c>
      <c r="BL20" s="934">
        <v>4.4285714285714306</v>
      </c>
      <c r="BM20" s="934">
        <v>4.5</v>
      </c>
      <c r="BN20" s="934">
        <v>4.571428571428573</v>
      </c>
      <c r="BO20" s="934">
        <v>4.6428571428571441</v>
      </c>
      <c r="BP20" s="934">
        <v>4.7142857142857153</v>
      </c>
      <c r="BQ20" s="934">
        <v>4.7857142857142865</v>
      </c>
      <c r="BR20" s="934">
        <v>4.8571428571428577</v>
      </c>
      <c r="BS20" s="934">
        <v>4.9285714285714288</v>
      </c>
      <c r="BT20" s="935">
        <v>5</v>
      </c>
    </row>
    <row r="21" spans="1:72" ht="47.25" customHeight="1" x14ac:dyDescent="0.25">
      <c r="A21" s="1657" t="s">
        <v>437</v>
      </c>
      <c r="B21" s="1658"/>
      <c r="C21" s="1658"/>
      <c r="D21" s="1658"/>
      <c r="E21" s="1658"/>
      <c r="F21" s="1658"/>
      <c r="G21" s="1658"/>
      <c r="H21" s="1658"/>
      <c r="I21" s="1658"/>
      <c r="J21" s="1658"/>
      <c r="K21" s="1658"/>
      <c r="L21" s="1658"/>
      <c r="M21" s="1658"/>
      <c r="N21" s="1658"/>
      <c r="O21" s="1658"/>
      <c r="P21" s="1658"/>
      <c r="Q21" s="1658"/>
      <c r="R21" s="1658"/>
      <c r="S21" s="1658"/>
      <c r="T21" s="1658"/>
      <c r="U21" s="936"/>
      <c r="V21" s="936"/>
      <c r="W21" s="936"/>
      <c r="X21" s="936"/>
      <c r="Y21" s="936"/>
      <c r="Z21" s="936"/>
      <c r="AA21" s="936"/>
      <c r="AB21" s="936"/>
      <c r="AC21" s="936"/>
      <c r="AD21" s="936"/>
      <c r="AE21" s="936"/>
      <c r="AF21" s="936"/>
      <c r="AG21" s="936"/>
      <c r="AH21" s="936"/>
      <c r="AI21" s="936"/>
      <c r="AJ21" s="936"/>
      <c r="AK21" s="936"/>
      <c r="AL21" s="936"/>
      <c r="AM21" s="936"/>
      <c r="AN21" s="936"/>
      <c r="AO21" s="936"/>
      <c r="AP21" s="936"/>
      <c r="AQ21" s="936"/>
      <c r="AR21" s="936"/>
      <c r="AS21" s="936"/>
      <c r="AT21" s="936"/>
      <c r="AU21" s="936"/>
      <c r="AV21" s="936"/>
      <c r="AW21" s="936"/>
      <c r="AX21" s="936"/>
      <c r="AY21" s="936"/>
      <c r="AZ21" s="936"/>
      <c r="BA21" s="936"/>
      <c r="BB21" s="936"/>
      <c r="BC21" s="936"/>
      <c r="BD21" s="936"/>
      <c r="BE21" s="936"/>
      <c r="BF21" s="936"/>
      <c r="BG21" s="936"/>
      <c r="BH21" s="936"/>
      <c r="BI21" s="936"/>
      <c r="BJ21" s="936"/>
      <c r="BK21" s="936"/>
      <c r="BL21" s="936"/>
      <c r="BM21" s="936"/>
      <c r="BN21" s="936"/>
      <c r="BO21" s="936"/>
      <c r="BP21" s="936"/>
      <c r="BQ21" s="936"/>
      <c r="BR21" s="936"/>
      <c r="BS21" s="936"/>
      <c r="BT21" s="936"/>
    </row>
    <row r="22" spans="1:72" x14ac:dyDescent="0.25">
      <c r="A22" s="937"/>
      <c r="B22" s="937"/>
      <c r="C22" s="937"/>
      <c r="D22" s="937"/>
      <c r="E22" s="937"/>
      <c r="F22" s="937"/>
      <c r="G22" s="937"/>
      <c r="H22" s="937"/>
      <c r="I22" s="937"/>
      <c r="J22" s="937"/>
      <c r="K22" s="937"/>
      <c r="L22" s="937"/>
      <c r="M22" s="937"/>
      <c r="N22" s="937"/>
      <c r="O22" s="937"/>
      <c r="P22" s="937"/>
      <c r="Q22" s="937"/>
      <c r="R22" s="937"/>
      <c r="S22" s="937"/>
      <c r="T22" s="937"/>
      <c r="U22" s="938"/>
      <c r="V22" s="938"/>
      <c r="W22" s="938"/>
      <c r="X22" s="938"/>
      <c r="Y22" s="938"/>
      <c r="Z22" s="938"/>
      <c r="AA22" s="938"/>
      <c r="AB22" s="938"/>
      <c r="AC22" s="938"/>
      <c r="AD22" s="938"/>
      <c r="AE22" s="938"/>
      <c r="AF22" s="938"/>
      <c r="AG22" s="938"/>
      <c r="AH22" s="938"/>
      <c r="AI22" s="938"/>
      <c r="AJ22" s="938"/>
      <c r="AK22" s="938"/>
      <c r="AL22" s="938"/>
      <c r="AM22" s="938"/>
      <c r="AN22" s="938"/>
      <c r="AO22" s="938"/>
      <c r="AP22" s="938"/>
      <c r="AQ22" s="938"/>
      <c r="AR22" s="938"/>
      <c r="AS22" s="938"/>
      <c r="AT22" s="938"/>
      <c r="AU22" s="938"/>
      <c r="AV22" s="938"/>
      <c r="AW22" s="938"/>
      <c r="AX22" s="938"/>
      <c r="AY22" s="938"/>
      <c r="AZ22" s="938"/>
      <c r="BA22" s="938"/>
      <c r="BB22" s="938"/>
      <c r="BC22" s="938"/>
      <c r="BD22" s="938"/>
      <c r="BE22" s="938"/>
      <c r="BF22" s="938"/>
      <c r="BG22" s="938"/>
      <c r="BH22" s="938"/>
      <c r="BI22" s="938"/>
      <c r="BJ22" s="938"/>
      <c r="BK22" s="938"/>
      <c r="BL22" s="938"/>
      <c r="BM22" s="938"/>
      <c r="BN22" s="938"/>
      <c r="BO22" s="938"/>
      <c r="BP22" s="938"/>
      <c r="BQ22" s="938"/>
      <c r="BR22" s="938"/>
      <c r="BS22" s="938"/>
      <c r="BT22" s="938"/>
    </row>
    <row r="23" spans="1:72" ht="42.75" customHeight="1" x14ac:dyDescent="0.25">
      <c r="A23" s="1659" t="s">
        <v>757</v>
      </c>
      <c r="B23" s="1659"/>
      <c r="C23" s="1659"/>
      <c r="D23" s="1659"/>
      <c r="E23" s="1659"/>
      <c r="F23" s="1659"/>
      <c r="G23" s="1659"/>
      <c r="H23" s="1659"/>
      <c r="I23" s="1659"/>
      <c r="J23" s="1659"/>
      <c r="K23" s="1659"/>
      <c r="L23" s="1659"/>
      <c r="M23" s="1659"/>
      <c r="N23" s="1659"/>
      <c r="O23" s="1659"/>
      <c r="P23" s="1659"/>
      <c r="Q23" s="1659"/>
      <c r="R23" s="1659"/>
      <c r="S23" s="1659"/>
      <c r="T23" s="1659"/>
      <c r="U23" s="938"/>
      <c r="V23" s="938"/>
      <c r="W23" s="938"/>
      <c r="X23" s="938"/>
      <c r="Y23" s="938"/>
      <c r="Z23" s="938"/>
      <c r="AA23" s="938"/>
      <c r="AB23" s="938"/>
      <c r="AC23" s="938"/>
      <c r="AD23" s="938"/>
      <c r="AE23" s="938"/>
      <c r="AF23" s="938"/>
      <c r="AG23" s="938"/>
      <c r="AH23" s="938"/>
      <c r="AI23" s="938"/>
      <c r="AJ23" s="938"/>
      <c r="AK23" s="938"/>
      <c r="AL23" s="938"/>
      <c r="AM23" s="938"/>
      <c r="AN23" s="938"/>
      <c r="AO23" s="938"/>
      <c r="AP23" s="938"/>
      <c r="AQ23" s="938"/>
      <c r="AR23" s="938"/>
      <c r="AS23" s="938"/>
      <c r="AT23" s="938"/>
      <c r="AU23" s="938"/>
      <c r="AV23" s="938"/>
      <c r="AW23" s="938"/>
      <c r="AX23" s="938"/>
      <c r="AY23" s="938"/>
      <c r="AZ23" s="938"/>
      <c r="BA23" s="938"/>
      <c r="BB23" s="938"/>
      <c r="BC23" s="938"/>
      <c r="BD23" s="938"/>
      <c r="BE23" s="938"/>
      <c r="BF23" s="938"/>
      <c r="BG23" s="938"/>
      <c r="BH23" s="938"/>
      <c r="BI23" s="938"/>
      <c r="BJ23" s="938"/>
      <c r="BK23" s="938"/>
      <c r="BL23" s="938"/>
      <c r="BM23" s="938"/>
      <c r="BN23" s="938"/>
      <c r="BO23" s="938"/>
      <c r="BP23" s="938"/>
      <c r="BQ23" s="938"/>
      <c r="BR23" s="938"/>
      <c r="BS23" s="938"/>
      <c r="BT23" s="938"/>
    </row>
    <row r="24" spans="1:72" x14ac:dyDescent="0.25">
      <c r="A24" s="938"/>
      <c r="B24" s="938"/>
      <c r="C24" s="938"/>
      <c r="D24" s="938"/>
      <c r="E24" s="938"/>
      <c r="F24" s="938"/>
      <c r="G24" s="938"/>
      <c r="H24" s="938"/>
      <c r="I24" s="938"/>
      <c r="J24" s="938"/>
      <c r="K24" s="938"/>
      <c r="L24" s="938"/>
      <c r="M24" s="938"/>
      <c r="N24" s="938"/>
      <c r="O24" s="938"/>
      <c r="P24" s="938"/>
      <c r="Q24" s="938"/>
      <c r="R24" s="938"/>
      <c r="S24" s="938"/>
      <c r="T24" s="938"/>
      <c r="U24" s="938"/>
      <c r="V24" s="938"/>
      <c r="W24" s="938"/>
      <c r="X24" s="938"/>
      <c r="Y24" s="938"/>
      <c r="Z24" s="938"/>
      <c r="AA24" s="938"/>
      <c r="AB24" s="938"/>
      <c r="AC24" s="938"/>
      <c r="AD24" s="938"/>
      <c r="AE24" s="938"/>
      <c r="AF24" s="938"/>
      <c r="AG24" s="938"/>
      <c r="AH24" s="938"/>
      <c r="AI24" s="938"/>
      <c r="AJ24" s="938"/>
      <c r="AK24" s="938"/>
      <c r="AL24" s="938"/>
      <c r="AM24" s="938"/>
      <c r="AN24" s="938"/>
      <c r="AO24" s="938"/>
      <c r="AP24" s="938"/>
      <c r="AQ24" s="938"/>
      <c r="AR24" s="938"/>
      <c r="AS24" s="938"/>
      <c r="AT24" s="938"/>
      <c r="AU24" s="938"/>
      <c r="AV24" s="938"/>
      <c r="AW24" s="938"/>
      <c r="AX24" s="938"/>
      <c r="AY24" s="938"/>
      <c r="AZ24" s="938"/>
      <c r="BA24" s="938"/>
      <c r="BB24" s="938"/>
      <c r="BC24" s="938"/>
      <c r="BD24" s="938"/>
      <c r="BE24" s="938"/>
      <c r="BF24" s="938"/>
      <c r="BG24" s="938"/>
      <c r="BH24" s="938"/>
      <c r="BI24" s="938"/>
      <c r="BJ24" s="938"/>
      <c r="BK24" s="938"/>
      <c r="BL24" s="938"/>
      <c r="BM24" s="938"/>
      <c r="BN24" s="938"/>
      <c r="BO24" s="938"/>
      <c r="BP24" s="938"/>
      <c r="BQ24" s="938"/>
      <c r="BR24" s="938"/>
      <c r="BS24" s="938"/>
      <c r="BT24" s="938"/>
    </row>
    <row r="25" spans="1:72" ht="15.5" x14ac:dyDescent="0.35">
      <c r="A25" s="1660" t="s">
        <v>1114</v>
      </c>
      <c r="B25" s="1660"/>
      <c r="C25" s="1660"/>
      <c r="D25" s="1660"/>
      <c r="E25" s="1660"/>
      <c r="F25" s="1660"/>
      <c r="G25" s="1660"/>
      <c r="H25" s="1660"/>
      <c r="I25" s="1660"/>
      <c r="J25" s="1660"/>
      <c r="K25" s="1660"/>
      <c r="L25" s="938"/>
      <c r="M25" s="938"/>
      <c r="N25" s="938"/>
      <c r="O25" s="938"/>
      <c r="P25" s="938"/>
      <c r="Q25" s="938"/>
      <c r="R25" s="938"/>
      <c r="S25" s="938"/>
      <c r="T25" s="938"/>
      <c r="U25" s="938"/>
      <c r="V25" s="938"/>
      <c r="W25" s="938"/>
      <c r="X25" s="938"/>
      <c r="Y25" s="938"/>
      <c r="Z25" s="938"/>
      <c r="AA25" s="938"/>
      <c r="AB25" s="938"/>
      <c r="AC25" s="938"/>
      <c r="AD25" s="938"/>
      <c r="AE25" s="938"/>
      <c r="AF25" s="938"/>
      <c r="AG25" s="938"/>
      <c r="AH25" s="938"/>
      <c r="AI25" s="938"/>
      <c r="AJ25" s="938"/>
      <c r="AK25" s="938"/>
      <c r="AL25" s="938"/>
      <c r="AM25" s="938"/>
      <c r="AN25" s="938"/>
      <c r="AO25" s="938"/>
      <c r="AP25" s="938"/>
      <c r="AQ25" s="938"/>
      <c r="AR25" s="938"/>
      <c r="AS25" s="938"/>
      <c r="AT25" s="938"/>
      <c r="AU25" s="938"/>
      <c r="AV25" s="938"/>
      <c r="AW25" s="938"/>
      <c r="AX25" s="938"/>
      <c r="AY25" s="938"/>
      <c r="AZ25" s="938"/>
      <c r="BA25" s="938"/>
      <c r="BB25" s="938"/>
      <c r="BC25" s="938"/>
      <c r="BD25" s="938"/>
      <c r="BE25" s="938"/>
      <c r="BF25" s="938"/>
      <c r="BG25" s="938"/>
      <c r="BH25" s="938"/>
      <c r="BI25" s="938"/>
      <c r="BJ25" s="938"/>
      <c r="BK25" s="938"/>
      <c r="BL25" s="938"/>
      <c r="BM25" s="938"/>
      <c r="BN25" s="938"/>
      <c r="BO25" s="938"/>
      <c r="BP25" s="938"/>
      <c r="BQ25" s="938"/>
      <c r="BR25" s="938"/>
      <c r="BS25" s="938"/>
      <c r="BT25" s="938"/>
    </row>
    <row r="26" spans="1:72" ht="13" thickBot="1" x14ac:dyDescent="0.3">
      <c r="A26" s="1661"/>
      <c r="B26" s="1661"/>
      <c r="C26" s="1661"/>
      <c r="D26" s="1661"/>
      <c r="E26" s="1661"/>
      <c r="F26" s="1661"/>
      <c r="G26" s="1661"/>
      <c r="H26" s="1661"/>
      <c r="I26" s="1661"/>
      <c r="J26" s="1661"/>
      <c r="K26" s="1661"/>
      <c r="L26" s="938"/>
      <c r="M26" s="938"/>
      <c r="N26" s="938"/>
      <c r="O26" s="938"/>
      <c r="P26" s="938"/>
      <c r="Q26" s="938"/>
      <c r="R26" s="938"/>
      <c r="S26" s="938"/>
      <c r="T26" s="938"/>
      <c r="U26" s="938"/>
      <c r="V26" s="938"/>
      <c r="W26" s="938"/>
      <c r="X26" s="938"/>
      <c r="Y26" s="938"/>
      <c r="Z26" s="938"/>
      <c r="AA26" s="938"/>
      <c r="AB26" s="938"/>
      <c r="AC26" s="938"/>
      <c r="AD26" s="938"/>
      <c r="AE26" s="938"/>
      <c r="AF26" s="938"/>
      <c r="AG26" s="938"/>
      <c r="AH26" s="938"/>
      <c r="AI26" s="938"/>
      <c r="AJ26" s="938"/>
      <c r="AK26" s="938"/>
      <c r="AL26" s="938"/>
      <c r="AM26" s="938"/>
      <c r="AN26" s="938"/>
      <c r="AO26" s="938"/>
      <c r="AP26" s="938"/>
      <c r="AQ26" s="938"/>
      <c r="AR26" s="938"/>
      <c r="AS26" s="938"/>
      <c r="AT26" s="938"/>
      <c r="AU26" s="938"/>
      <c r="AV26" s="938"/>
      <c r="AW26" s="938"/>
      <c r="AX26" s="938"/>
      <c r="AY26" s="938"/>
      <c r="AZ26" s="938"/>
      <c r="BA26" s="938"/>
      <c r="BB26" s="938"/>
      <c r="BC26" s="938"/>
      <c r="BD26" s="938"/>
      <c r="BE26" s="938"/>
      <c r="BF26" s="938"/>
      <c r="BG26" s="938"/>
      <c r="BH26" s="938"/>
      <c r="BI26" s="938"/>
      <c r="BJ26" s="938"/>
      <c r="BK26" s="938"/>
      <c r="BL26" s="938"/>
      <c r="BM26" s="938"/>
      <c r="BN26" s="938"/>
      <c r="BO26" s="938"/>
      <c r="BP26" s="938"/>
      <c r="BQ26" s="938"/>
      <c r="BR26" s="938"/>
      <c r="BS26" s="938"/>
      <c r="BT26" s="938"/>
    </row>
    <row r="27" spans="1:72" ht="39" x14ac:dyDescent="0.25">
      <c r="A27" s="939"/>
      <c r="B27" s="940" t="s">
        <v>758</v>
      </c>
      <c r="C27" s="940" t="s">
        <v>759</v>
      </c>
      <c r="D27" s="940" t="s">
        <v>1116</v>
      </c>
      <c r="E27" s="1662"/>
      <c r="F27" s="1662"/>
      <c r="G27" s="1662"/>
      <c r="H27" s="1662"/>
      <c r="I27" s="1662"/>
      <c r="J27" s="1664" t="s">
        <v>760</v>
      </c>
      <c r="K27" s="1665"/>
      <c r="L27" s="938"/>
      <c r="M27" s="938"/>
      <c r="N27" s="938"/>
      <c r="O27" s="938"/>
      <c r="P27" s="938"/>
      <c r="Q27" s="938"/>
      <c r="R27" s="938"/>
      <c r="S27" s="938"/>
      <c r="T27" s="938"/>
      <c r="U27" s="938"/>
      <c r="V27" s="938"/>
      <c r="W27" s="938"/>
      <c r="X27" s="938"/>
      <c r="Y27" s="938"/>
      <c r="Z27" s="938"/>
      <c r="AA27" s="938"/>
      <c r="AB27" s="938"/>
      <c r="AC27" s="938"/>
      <c r="AD27" s="938"/>
      <c r="AE27" s="938"/>
      <c r="AF27" s="938"/>
      <c r="AG27" s="938"/>
      <c r="AH27" s="938"/>
      <c r="AI27" s="938"/>
      <c r="AJ27" s="938"/>
      <c r="AK27" s="938"/>
      <c r="AL27" s="938"/>
      <c r="AM27" s="938"/>
      <c r="AN27" s="938"/>
      <c r="AO27" s="938"/>
      <c r="AP27" s="938"/>
      <c r="AQ27" s="938"/>
      <c r="AR27" s="938"/>
      <c r="AS27" s="938"/>
      <c r="AT27" s="938"/>
      <c r="AU27" s="938"/>
      <c r="AV27" s="938"/>
      <c r="AW27" s="938"/>
      <c r="AX27" s="938"/>
      <c r="AY27" s="938"/>
      <c r="AZ27" s="938"/>
      <c r="BA27" s="938"/>
      <c r="BB27" s="938"/>
      <c r="BC27" s="938"/>
      <c r="BD27" s="938"/>
      <c r="BE27" s="938"/>
      <c r="BF27" s="938"/>
      <c r="BG27" s="938"/>
      <c r="BH27" s="938"/>
      <c r="BI27" s="938"/>
      <c r="BJ27" s="938"/>
      <c r="BK27" s="938"/>
      <c r="BL27" s="938"/>
      <c r="BM27" s="938"/>
      <c r="BN27" s="938"/>
      <c r="BO27" s="938"/>
      <c r="BP27" s="938"/>
      <c r="BQ27" s="938"/>
      <c r="BR27" s="938"/>
      <c r="BS27" s="938"/>
      <c r="BT27" s="938"/>
    </row>
    <row r="28" spans="1:72" x14ac:dyDescent="0.25">
      <c r="A28" s="941" t="s">
        <v>569</v>
      </c>
      <c r="B28" s="942">
        <f>G40/F40</f>
        <v>1.0482288241385485</v>
      </c>
      <c r="C28" s="942">
        <f>H40/G40</f>
        <v>1.0526415477404851</v>
      </c>
      <c r="D28" s="942">
        <f>I40/H40</f>
        <v>1.0160295046377366</v>
      </c>
      <c r="E28" s="1663"/>
      <c r="F28" s="1663"/>
      <c r="G28" s="1663"/>
      <c r="H28" s="1663"/>
      <c r="I28" s="1663"/>
      <c r="J28" s="1663" t="s">
        <v>1084</v>
      </c>
      <c r="K28" s="1666" t="s">
        <v>1092</v>
      </c>
      <c r="L28" s="938"/>
      <c r="M28" s="938"/>
      <c r="N28" s="938"/>
      <c r="O28" s="938"/>
      <c r="P28" s="938"/>
      <c r="Q28" s="938"/>
      <c r="R28" s="938"/>
      <c r="S28" s="938"/>
      <c r="T28" s="938"/>
      <c r="U28" s="938"/>
      <c r="V28" s="938"/>
      <c r="W28" s="938"/>
      <c r="X28" s="938"/>
      <c r="Y28" s="938"/>
      <c r="Z28" s="938"/>
      <c r="AA28" s="938"/>
      <c r="AB28" s="938"/>
      <c r="AC28" s="938"/>
      <c r="AD28" s="938"/>
      <c r="AE28" s="938"/>
      <c r="AF28" s="938"/>
      <c r="AG28" s="938"/>
      <c r="AH28" s="938"/>
      <c r="AI28" s="938"/>
      <c r="AJ28" s="938"/>
      <c r="AK28" s="938"/>
      <c r="AL28" s="938"/>
      <c r="AM28" s="938"/>
      <c r="AN28" s="938"/>
      <c r="AO28" s="938"/>
      <c r="AP28" s="938"/>
      <c r="AQ28" s="938"/>
      <c r="AR28" s="938"/>
      <c r="AS28" s="938"/>
      <c r="AT28" s="938"/>
      <c r="AU28" s="938"/>
      <c r="AV28" s="938"/>
      <c r="AW28" s="938"/>
      <c r="AX28" s="938"/>
      <c r="AY28" s="938"/>
      <c r="AZ28" s="938"/>
      <c r="BA28" s="938"/>
      <c r="BB28" s="938"/>
      <c r="BC28" s="938"/>
      <c r="BD28" s="938"/>
      <c r="BE28" s="938"/>
      <c r="BF28" s="938"/>
      <c r="BG28" s="938"/>
      <c r="BH28" s="938"/>
      <c r="BI28" s="938"/>
      <c r="BJ28" s="938"/>
      <c r="BK28" s="938"/>
      <c r="BL28" s="938"/>
      <c r="BM28" s="938"/>
      <c r="BN28" s="938"/>
      <c r="BO28" s="938"/>
      <c r="BP28" s="938"/>
      <c r="BQ28" s="938"/>
      <c r="BR28" s="938"/>
      <c r="BS28" s="938"/>
      <c r="BT28" s="938"/>
    </row>
    <row r="29" spans="1:72" x14ac:dyDescent="0.25">
      <c r="A29" s="943" t="s">
        <v>570</v>
      </c>
      <c r="B29" s="944">
        <f t="shared" ref="B29:B35" si="0">G41/F41</f>
        <v>1.1441282284851997</v>
      </c>
      <c r="C29" s="944">
        <f t="shared" ref="C29:C35" si="1">H41/G41</f>
        <v>1.1360328119345371</v>
      </c>
      <c r="D29" s="944">
        <f t="shared" ref="D29:D35" si="2">I41/H41</f>
        <v>1.0363018547359477</v>
      </c>
      <c r="E29" s="1663"/>
      <c r="F29" s="1663"/>
      <c r="G29" s="1663"/>
      <c r="H29" s="1663"/>
      <c r="I29" s="1663"/>
      <c r="J29" s="1663"/>
      <c r="K29" s="1666"/>
      <c r="L29" s="938"/>
      <c r="M29" s="938"/>
      <c r="N29" s="938"/>
      <c r="O29" s="938"/>
      <c r="P29" s="938"/>
      <c r="Q29" s="938"/>
      <c r="R29" s="938"/>
      <c r="S29" s="938"/>
      <c r="T29" s="938"/>
      <c r="U29" s="938"/>
      <c r="V29" s="938"/>
      <c r="W29" s="938"/>
      <c r="X29" s="938"/>
      <c r="Y29" s="938"/>
      <c r="Z29" s="938"/>
      <c r="AA29" s="938"/>
      <c r="AB29" s="938"/>
      <c r="AC29" s="938"/>
      <c r="AD29" s="938"/>
      <c r="AE29" s="938"/>
      <c r="AF29" s="938"/>
      <c r="AG29" s="938"/>
      <c r="AH29" s="938"/>
      <c r="AI29" s="938"/>
      <c r="AJ29" s="938"/>
      <c r="AK29" s="938"/>
      <c r="AL29" s="938"/>
      <c r="AM29" s="938"/>
      <c r="AN29" s="938"/>
      <c r="AO29" s="938"/>
      <c r="AP29" s="938"/>
      <c r="AQ29" s="938"/>
      <c r="AR29" s="938"/>
      <c r="AS29" s="938"/>
      <c r="AT29" s="938"/>
      <c r="AU29" s="938"/>
      <c r="AV29" s="938"/>
      <c r="AW29" s="938"/>
      <c r="AX29" s="938"/>
      <c r="AY29" s="938"/>
      <c r="AZ29" s="938"/>
      <c r="BA29" s="938"/>
      <c r="BB29" s="938"/>
      <c r="BC29" s="938"/>
      <c r="BD29" s="938"/>
      <c r="BE29" s="938"/>
      <c r="BF29" s="938"/>
      <c r="BG29" s="938"/>
      <c r="BH29" s="938"/>
      <c r="BI29" s="938"/>
      <c r="BJ29" s="938"/>
      <c r="BK29" s="938"/>
      <c r="BL29" s="938"/>
      <c r="BM29" s="938"/>
      <c r="BN29" s="938"/>
      <c r="BO29" s="938"/>
      <c r="BP29" s="938"/>
      <c r="BQ29" s="938"/>
      <c r="BR29" s="938"/>
      <c r="BS29" s="938"/>
      <c r="BT29" s="938"/>
    </row>
    <row r="30" spans="1:72" x14ac:dyDescent="0.25">
      <c r="A30" s="941" t="s">
        <v>571</v>
      </c>
      <c r="B30" s="942">
        <f t="shared" si="0"/>
        <v>1.1252277801242987</v>
      </c>
      <c r="C30" s="942">
        <f t="shared" si="1"/>
        <v>1.1222249629995065</v>
      </c>
      <c r="D30" s="942">
        <f t="shared" si="2"/>
        <v>1.0285793469898747</v>
      </c>
      <c r="E30" s="1663"/>
      <c r="F30" s="1663"/>
      <c r="G30" s="1663"/>
      <c r="H30" s="1663"/>
      <c r="I30" s="1663"/>
      <c r="J30" s="945">
        <v>1991</v>
      </c>
      <c r="K30" s="946">
        <v>84.5</v>
      </c>
      <c r="L30" s="938"/>
      <c r="M30" s="938"/>
      <c r="N30" s="938"/>
      <c r="O30" s="938"/>
      <c r="P30" s="938"/>
      <c r="Q30" s="938"/>
      <c r="R30" s="938"/>
      <c r="S30" s="938"/>
      <c r="T30" s="938"/>
      <c r="U30" s="938"/>
      <c r="V30" s="938"/>
      <c r="W30" s="938"/>
      <c r="X30" s="938"/>
      <c r="Y30" s="938"/>
      <c r="Z30" s="938"/>
      <c r="AA30" s="938"/>
      <c r="AB30" s="938"/>
      <c r="AC30" s="938"/>
      <c r="AD30" s="938"/>
      <c r="AE30" s="938"/>
      <c r="AF30" s="938"/>
      <c r="AG30" s="938"/>
      <c r="AH30" s="938"/>
      <c r="AI30" s="938"/>
      <c r="AJ30" s="938"/>
      <c r="AK30" s="938"/>
      <c r="AL30" s="938"/>
      <c r="AM30" s="938"/>
      <c r="AN30" s="938"/>
      <c r="AO30" s="938"/>
      <c r="AP30" s="938"/>
      <c r="AQ30" s="938"/>
      <c r="AR30" s="938"/>
      <c r="AS30" s="938"/>
      <c r="AT30" s="938"/>
      <c r="AU30" s="938"/>
      <c r="AV30" s="938"/>
      <c r="AW30" s="938"/>
      <c r="AX30" s="938"/>
      <c r="AY30" s="938"/>
      <c r="AZ30" s="938"/>
      <c r="BA30" s="938"/>
      <c r="BB30" s="938"/>
      <c r="BC30" s="938"/>
      <c r="BD30" s="938"/>
      <c r="BE30" s="938"/>
      <c r="BF30" s="938"/>
      <c r="BG30" s="938"/>
      <c r="BH30" s="938"/>
      <c r="BI30" s="938"/>
      <c r="BJ30" s="938"/>
      <c r="BK30" s="938"/>
      <c r="BL30" s="938"/>
      <c r="BM30" s="938"/>
      <c r="BN30" s="938"/>
      <c r="BO30" s="938"/>
      <c r="BP30" s="938"/>
      <c r="BQ30" s="938"/>
      <c r="BR30" s="938"/>
      <c r="BS30" s="938"/>
      <c r="BT30" s="938"/>
    </row>
    <row r="31" spans="1:72" x14ac:dyDescent="0.25">
      <c r="A31" s="943" t="s">
        <v>572</v>
      </c>
      <c r="B31" s="944">
        <f t="shared" si="0"/>
        <v>1.0687839040840581</v>
      </c>
      <c r="C31" s="944">
        <f t="shared" si="1"/>
        <v>1.0213566498986533</v>
      </c>
      <c r="D31" s="944">
        <f t="shared" si="2"/>
        <v>1.0031375164207406</v>
      </c>
      <c r="E31" s="1663"/>
      <c r="F31" s="1663"/>
      <c r="G31" s="1663"/>
      <c r="H31" s="1663"/>
      <c r="I31" s="1663"/>
      <c r="J31" s="947">
        <v>1992</v>
      </c>
      <c r="K31" s="948">
        <v>86.4</v>
      </c>
      <c r="L31" s="938"/>
      <c r="M31" s="938"/>
      <c r="N31" s="938"/>
      <c r="O31" s="938"/>
      <c r="P31" s="938"/>
      <c r="Q31" s="938"/>
      <c r="R31" s="938"/>
      <c r="S31" s="938"/>
      <c r="T31" s="938"/>
      <c r="U31" s="938"/>
      <c r="V31" s="938"/>
      <c r="W31" s="938"/>
      <c r="X31" s="938"/>
      <c r="Y31" s="938"/>
      <c r="Z31" s="938"/>
      <c r="AA31" s="938"/>
      <c r="AB31" s="938"/>
      <c r="AC31" s="938"/>
      <c r="AD31" s="938"/>
      <c r="AE31" s="938"/>
      <c r="AF31" s="938"/>
      <c r="AG31" s="938"/>
      <c r="AH31" s="938"/>
      <c r="AI31" s="938"/>
      <c r="AJ31" s="938"/>
      <c r="AK31" s="938"/>
      <c r="AL31" s="938"/>
      <c r="AM31" s="938"/>
      <c r="AN31" s="938"/>
      <c r="AO31" s="938"/>
      <c r="AP31" s="938"/>
      <c r="AQ31" s="938"/>
      <c r="AR31" s="938"/>
      <c r="AS31" s="938"/>
      <c r="AT31" s="938"/>
      <c r="AU31" s="938"/>
      <c r="AV31" s="938"/>
      <c r="AW31" s="938"/>
      <c r="AX31" s="938"/>
      <c r="AY31" s="938"/>
      <c r="AZ31" s="938"/>
      <c r="BA31" s="938"/>
      <c r="BB31" s="938"/>
      <c r="BC31" s="938"/>
      <c r="BD31" s="938"/>
      <c r="BE31" s="938"/>
      <c r="BF31" s="938"/>
      <c r="BG31" s="938"/>
      <c r="BH31" s="938"/>
      <c r="BI31" s="938"/>
      <c r="BJ31" s="938"/>
      <c r="BK31" s="938"/>
      <c r="BL31" s="938"/>
      <c r="BM31" s="938"/>
      <c r="BN31" s="938"/>
      <c r="BO31" s="938"/>
      <c r="BP31" s="938"/>
      <c r="BQ31" s="938"/>
      <c r="BR31" s="938"/>
      <c r="BS31" s="938"/>
      <c r="BT31" s="938"/>
    </row>
    <row r="32" spans="1:72" x14ac:dyDescent="0.25">
      <c r="A32" s="941" t="s">
        <v>573</v>
      </c>
      <c r="B32" s="942">
        <f t="shared" si="0"/>
        <v>1.03736526166104</v>
      </c>
      <c r="C32" s="942">
        <f t="shared" si="1"/>
        <v>1.0084486821562659</v>
      </c>
      <c r="D32" s="942">
        <f t="shared" si="2"/>
        <v>1.0010687685088917</v>
      </c>
      <c r="E32" s="1663"/>
      <c r="F32" s="1663"/>
      <c r="G32" s="1663"/>
      <c r="H32" s="1663"/>
      <c r="I32" s="1663"/>
      <c r="J32" s="945">
        <v>1993</v>
      </c>
      <c r="K32" s="946">
        <v>88.4</v>
      </c>
      <c r="L32" s="938"/>
      <c r="M32" s="938"/>
      <c r="N32" s="938"/>
      <c r="O32" s="938"/>
      <c r="P32" s="938"/>
      <c r="Q32" s="938"/>
      <c r="R32" s="938"/>
      <c r="S32" s="938"/>
      <c r="T32" s="938"/>
      <c r="U32" s="938"/>
      <c r="V32" s="938"/>
      <c r="W32" s="938"/>
      <c r="X32" s="938"/>
      <c r="Y32" s="938"/>
      <c r="Z32" s="938"/>
      <c r="AA32" s="938"/>
      <c r="AB32" s="938"/>
      <c r="AC32" s="938"/>
      <c r="AD32" s="938"/>
      <c r="AE32" s="938"/>
      <c r="AF32" s="938"/>
      <c r="AG32" s="938"/>
      <c r="AH32" s="938"/>
      <c r="AI32" s="938"/>
      <c r="AJ32" s="938"/>
      <c r="AK32" s="938"/>
      <c r="AL32" s="938"/>
      <c r="AM32" s="938"/>
      <c r="AN32" s="938"/>
      <c r="AO32" s="938"/>
      <c r="AP32" s="938"/>
      <c r="AQ32" s="938"/>
      <c r="AR32" s="938"/>
      <c r="AS32" s="938"/>
      <c r="AT32" s="938"/>
      <c r="AU32" s="938"/>
      <c r="AV32" s="938"/>
      <c r="AW32" s="938"/>
      <c r="AX32" s="938"/>
      <c r="AY32" s="938"/>
      <c r="AZ32" s="938"/>
      <c r="BA32" s="938"/>
      <c r="BB32" s="938"/>
      <c r="BC32" s="938"/>
      <c r="BD32" s="938"/>
      <c r="BE32" s="938"/>
      <c r="BF32" s="938"/>
      <c r="BG32" s="938"/>
      <c r="BH32" s="938"/>
      <c r="BI32" s="938"/>
      <c r="BJ32" s="938"/>
      <c r="BK32" s="938"/>
      <c r="BL32" s="938"/>
      <c r="BM32" s="938"/>
      <c r="BN32" s="938"/>
      <c r="BO32" s="938"/>
      <c r="BP32" s="938"/>
      <c r="BQ32" s="938"/>
      <c r="BR32" s="938"/>
      <c r="BS32" s="938"/>
      <c r="BT32" s="938"/>
    </row>
    <row r="33" spans="1:72" x14ac:dyDescent="0.25">
      <c r="A33" s="943" t="s">
        <v>574</v>
      </c>
      <c r="B33" s="944">
        <f t="shared" si="0"/>
        <v>0.975071533164794</v>
      </c>
      <c r="C33" s="944">
        <f t="shared" si="1"/>
        <v>1.0087393571750138</v>
      </c>
      <c r="D33" s="944">
        <f t="shared" si="2"/>
        <v>0.99663324890666094</v>
      </c>
      <c r="E33" s="1663"/>
      <c r="F33" s="1663"/>
      <c r="G33" s="1663"/>
      <c r="H33" s="1663"/>
      <c r="I33" s="1663"/>
      <c r="J33" s="947">
        <v>1994</v>
      </c>
      <c r="K33" s="948">
        <v>90.3</v>
      </c>
      <c r="L33" s="938"/>
      <c r="M33" s="938"/>
      <c r="N33" s="938"/>
      <c r="O33" s="938"/>
      <c r="P33" s="938"/>
      <c r="Q33" s="938"/>
      <c r="R33" s="938"/>
      <c r="S33" s="938"/>
      <c r="T33" s="938"/>
      <c r="U33" s="938"/>
      <c r="V33" s="938"/>
      <c r="W33" s="938"/>
      <c r="X33" s="938"/>
      <c r="Y33" s="938"/>
      <c r="Z33" s="938"/>
      <c r="AA33" s="938"/>
      <c r="AB33" s="938"/>
      <c r="AC33" s="938"/>
      <c r="AD33" s="938"/>
      <c r="AE33" s="938"/>
      <c r="AF33" s="938"/>
      <c r="AG33" s="938"/>
      <c r="AH33" s="938"/>
      <c r="AI33" s="938"/>
      <c r="AJ33" s="938"/>
      <c r="AK33" s="938"/>
      <c r="AL33" s="938"/>
      <c r="AM33" s="938"/>
      <c r="AN33" s="938"/>
      <c r="AO33" s="938"/>
      <c r="AP33" s="938"/>
      <c r="AQ33" s="938"/>
      <c r="AR33" s="938"/>
      <c r="AS33" s="938"/>
      <c r="AT33" s="938"/>
      <c r="AU33" s="938"/>
      <c r="AV33" s="938"/>
      <c r="AW33" s="938"/>
      <c r="AX33" s="938"/>
      <c r="AY33" s="938"/>
      <c r="AZ33" s="938"/>
      <c r="BA33" s="938"/>
      <c r="BB33" s="938"/>
      <c r="BC33" s="938"/>
      <c r="BD33" s="938"/>
      <c r="BE33" s="938"/>
      <c r="BF33" s="938"/>
      <c r="BG33" s="938"/>
      <c r="BH33" s="938"/>
      <c r="BI33" s="938"/>
      <c r="BJ33" s="938"/>
      <c r="BK33" s="938"/>
      <c r="BL33" s="938"/>
      <c r="BM33" s="938"/>
      <c r="BN33" s="938"/>
      <c r="BO33" s="938"/>
      <c r="BP33" s="938"/>
      <c r="BQ33" s="938"/>
      <c r="BR33" s="938"/>
      <c r="BS33" s="938"/>
      <c r="BT33" s="938"/>
    </row>
    <row r="34" spans="1:72" x14ac:dyDescent="0.25">
      <c r="A34" s="941" t="s">
        <v>575</v>
      </c>
      <c r="B34" s="942">
        <f t="shared" si="0"/>
        <v>1.0938371922267365</v>
      </c>
      <c r="C34" s="942">
        <f t="shared" si="1"/>
        <v>1.0852680569229392</v>
      </c>
      <c r="D34" s="942">
        <f t="shared" si="2"/>
        <v>1.0142672175626977</v>
      </c>
      <c r="E34" s="1663"/>
      <c r="F34" s="1663"/>
      <c r="G34" s="1663"/>
      <c r="H34" s="1663"/>
      <c r="I34" s="1663"/>
      <c r="J34" s="945">
        <v>1995</v>
      </c>
      <c r="K34" s="946">
        <v>92.1</v>
      </c>
      <c r="L34" s="938"/>
      <c r="M34" s="938"/>
      <c r="N34" s="938"/>
      <c r="O34" s="938"/>
      <c r="P34" s="938"/>
      <c r="Q34" s="938"/>
      <c r="R34" s="938"/>
      <c r="S34" s="938"/>
      <c r="T34" s="938"/>
      <c r="U34" s="938"/>
      <c r="V34" s="938"/>
      <c r="W34" s="938"/>
      <c r="X34" s="938"/>
      <c r="Y34" s="938"/>
      <c r="Z34" s="938"/>
      <c r="AA34" s="938"/>
      <c r="AB34" s="938"/>
      <c r="AC34" s="938"/>
      <c r="AD34" s="938"/>
      <c r="AE34" s="938"/>
      <c r="AF34" s="938"/>
      <c r="AG34" s="938"/>
      <c r="AH34" s="938"/>
      <c r="AI34" s="938"/>
      <c r="AJ34" s="938"/>
      <c r="AK34" s="938"/>
      <c r="AL34" s="938"/>
      <c r="AM34" s="938"/>
      <c r="AN34" s="938"/>
      <c r="AO34" s="938"/>
      <c r="AP34" s="938"/>
      <c r="AQ34" s="938"/>
      <c r="AR34" s="938"/>
      <c r="AS34" s="938"/>
      <c r="AT34" s="938"/>
      <c r="AU34" s="938"/>
      <c r="AV34" s="938"/>
      <c r="AW34" s="938"/>
      <c r="AX34" s="938"/>
      <c r="AY34" s="938"/>
      <c r="AZ34" s="938"/>
      <c r="BA34" s="938"/>
      <c r="BB34" s="938"/>
      <c r="BC34" s="938"/>
      <c r="BD34" s="938"/>
      <c r="BE34" s="938"/>
      <c r="BF34" s="938"/>
      <c r="BG34" s="938"/>
      <c r="BH34" s="938"/>
      <c r="BI34" s="938"/>
      <c r="BJ34" s="938"/>
      <c r="BK34" s="938"/>
      <c r="BL34" s="938"/>
      <c r="BM34" s="938"/>
      <c r="BN34" s="938"/>
      <c r="BO34" s="938"/>
      <c r="BP34" s="938"/>
      <c r="BQ34" s="938"/>
      <c r="BR34" s="938"/>
      <c r="BS34" s="938"/>
      <c r="BT34" s="938"/>
    </row>
    <row r="35" spans="1:72" x14ac:dyDescent="0.25">
      <c r="A35" s="943" t="s">
        <v>312</v>
      </c>
      <c r="B35" s="944">
        <f t="shared" si="0"/>
        <v>1.0046194107582356</v>
      </c>
      <c r="C35" s="944">
        <f t="shared" si="1"/>
        <v>1.003094645903579</v>
      </c>
      <c r="D35" s="944">
        <f t="shared" si="2"/>
        <v>0.99710816742279029</v>
      </c>
      <c r="E35" s="1663"/>
      <c r="F35" s="1663"/>
      <c r="G35" s="1663"/>
      <c r="H35" s="1663"/>
      <c r="I35" s="1663"/>
      <c r="J35" s="947">
        <v>1996</v>
      </c>
      <c r="K35" s="948">
        <v>93.9</v>
      </c>
      <c r="L35" s="938"/>
      <c r="M35" s="938"/>
      <c r="N35" s="938"/>
      <c r="O35" s="938"/>
      <c r="P35" s="938"/>
      <c r="Q35" s="938"/>
      <c r="R35" s="938"/>
      <c r="S35" s="938"/>
      <c r="T35" s="938"/>
      <c r="U35" s="938"/>
      <c r="V35" s="938"/>
      <c r="W35" s="938"/>
      <c r="X35" s="938"/>
      <c r="Y35" s="938"/>
      <c r="Z35" s="938"/>
      <c r="AA35" s="938"/>
      <c r="AB35" s="938"/>
      <c r="AC35" s="938"/>
      <c r="AD35" s="938"/>
      <c r="AE35" s="938"/>
      <c r="AF35" s="938"/>
      <c r="AG35" s="938"/>
      <c r="AH35" s="938"/>
      <c r="AI35" s="938"/>
      <c r="AJ35" s="938"/>
      <c r="AK35" s="938"/>
      <c r="AL35" s="938"/>
      <c r="AM35" s="938"/>
      <c r="AN35" s="938"/>
      <c r="AO35" s="938"/>
      <c r="AP35" s="938"/>
      <c r="AQ35" s="938"/>
      <c r="AR35" s="938"/>
      <c r="AS35" s="938"/>
      <c r="AT35" s="938"/>
      <c r="AU35" s="938"/>
      <c r="AV35" s="938"/>
      <c r="AW35" s="938"/>
      <c r="AX35" s="938"/>
      <c r="AY35" s="938"/>
      <c r="AZ35" s="938"/>
      <c r="BA35" s="938"/>
      <c r="BB35" s="938"/>
      <c r="BC35" s="938"/>
      <c r="BD35" s="938"/>
      <c r="BE35" s="938"/>
      <c r="BF35" s="938"/>
      <c r="BG35" s="938"/>
      <c r="BH35" s="938"/>
      <c r="BI35" s="938"/>
      <c r="BJ35" s="938"/>
      <c r="BK35" s="938"/>
      <c r="BL35" s="938"/>
      <c r="BM35" s="938"/>
      <c r="BN35" s="938"/>
      <c r="BO35" s="938"/>
      <c r="BP35" s="938"/>
      <c r="BQ35" s="938"/>
      <c r="BR35" s="938"/>
      <c r="BS35" s="938"/>
      <c r="BT35" s="938"/>
    </row>
    <row r="36" spans="1:72" x14ac:dyDescent="0.25">
      <c r="A36" s="1667"/>
      <c r="B36" s="1668"/>
      <c r="C36" s="1668"/>
      <c r="D36" s="1668"/>
      <c r="E36" s="1663"/>
      <c r="F36" s="1663"/>
      <c r="G36" s="1663"/>
      <c r="H36" s="1663"/>
      <c r="I36" s="1663"/>
      <c r="J36" s="945">
        <v>1997</v>
      </c>
      <c r="K36" s="946">
        <v>95.4</v>
      </c>
      <c r="L36" s="938"/>
      <c r="M36" s="938"/>
      <c r="N36" s="938"/>
      <c r="O36" s="938"/>
      <c r="P36" s="938"/>
      <c r="Q36" s="938"/>
      <c r="R36" s="938"/>
      <c r="S36" s="938"/>
      <c r="T36" s="938"/>
      <c r="U36" s="938"/>
      <c r="V36" s="938"/>
      <c r="W36" s="938"/>
      <c r="X36" s="938"/>
      <c r="Y36" s="938"/>
      <c r="Z36" s="938"/>
      <c r="AA36" s="938"/>
      <c r="AB36" s="938"/>
      <c r="AC36" s="938"/>
      <c r="AD36" s="938"/>
      <c r="AE36" s="938"/>
      <c r="AF36" s="938"/>
      <c r="AG36" s="938"/>
      <c r="AH36" s="938"/>
      <c r="AI36" s="938"/>
      <c r="AJ36" s="938"/>
      <c r="AK36" s="938"/>
      <c r="AL36" s="938"/>
      <c r="AM36" s="938"/>
      <c r="AN36" s="938"/>
      <c r="AO36" s="938"/>
      <c r="AP36" s="938"/>
      <c r="AQ36" s="938"/>
      <c r="AR36" s="938"/>
      <c r="AS36" s="938"/>
      <c r="AT36" s="938"/>
      <c r="AU36" s="938"/>
      <c r="AV36" s="938"/>
      <c r="AW36" s="938"/>
      <c r="AX36" s="938"/>
      <c r="AY36" s="938"/>
      <c r="AZ36" s="938"/>
      <c r="BA36" s="938"/>
      <c r="BB36" s="938"/>
      <c r="BC36" s="938"/>
      <c r="BD36" s="938"/>
      <c r="BE36" s="938"/>
      <c r="BF36" s="938"/>
      <c r="BG36" s="938"/>
      <c r="BH36" s="938"/>
      <c r="BI36" s="938"/>
      <c r="BJ36" s="938"/>
      <c r="BK36" s="938"/>
      <c r="BL36" s="938"/>
      <c r="BM36" s="938"/>
      <c r="BN36" s="938"/>
      <c r="BO36" s="938"/>
      <c r="BP36" s="938"/>
      <c r="BQ36" s="938"/>
      <c r="BR36" s="938"/>
      <c r="BS36" s="938"/>
      <c r="BT36" s="938"/>
    </row>
    <row r="37" spans="1:72" x14ac:dyDescent="0.25">
      <c r="A37" s="1667"/>
      <c r="B37" s="1668"/>
      <c r="C37" s="1668"/>
      <c r="D37" s="1668"/>
      <c r="E37" s="1663"/>
      <c r="F37" s="1663"/>
      <c r="G37" s="1663"/>
      <c r="H37" s="1663"/>
      <c r="I37" s="1663"/>
      <c r="J37" s="947">
        <v>1998</v>
      </c>
      <c r="K37" s="948">
        <v>96.5</v>
      </c>
      <c r="L37" s="938"/>
      <c r="M37" s="938"/>
      <c r="N37" s="938"/>
      <c r="O37" s="938"/>
      <c r="P37" s="938"/>
      <c r="Q37" s="938"/>
      <c r="R37" s="938"/>
      <c r="S37" s="938"/>
      <c r="T37" s="938"/>
      <c r="U37" s="938"/>
      <c r="V37" s="938"/>
      <c r="W37" s="938"/>
      <c r="X37" s="938"/>
      <c r="Y37" s="938"/>
      <c r="Z37" s="938"/>
      <c r="AA37" s="938"/>
      <c r="AB37" s="938"/>
      <c r="AC37" s="938"/>
      <c r="AD37" s="938"/>
      <c r="AE37" s="938"/>
      <c r="AF37" s="938"/>
      <c r="AG37" s="938"/>
      <c r="AH37" s="938"/>
      <c r="AI37" s="938"/>
      <c r="AJ37" s="938"/>
      <c r="AK37" s="938"/>
      <c r="AL37" s="938"/>
      <c r="AM37" s="938"/>
      <c r="AN37" s="938"/>
      <c r="AO37" s="938"/>
      <c r="AP37" s="938"/>
      <c r="AQ37" s="938"/>
      <c r="AR37" s="938"/>
      <c r="AS37" s="938"/>
      <c r="AT37" s="938"/>
      <c r="AU37" s="938"/>
      <c r="AV37" s="938"/>
      <c r="AW37" s="938"/>
      <c r="AX37" s="938"/>
      <c r="AY37" s="938"/>
      <c r="AZ37" s="938"/>
      <c r="BA37" s="938"/>
      <c r="BB37" s="938"/>
      <c r="BC37" s="938"/>
      <c r="BD37" s="938"/>
      <c r="BE37" s="938"/>
      <c r="BF37" s="938"/>
      <c r="BG37" s="938"/>
      <c r="BH37" s="938"/>
      <c r="BI37" s="938"/>
      <c r="BJ37" s="938"/>
      <c r="BK37" s="938"/>
      <c r="BL37" s="938"/>
      <c r="BM37" s="938"/>
      <c r="BN37" s="938"/>
      <c r="BO37" s="938"/>
      <c r="BP37" s="938"/>
      <c r="BQ37" s="938"/>
      <c r="BR37" s="938"/>
      <c r="BS37" s="938"/>
      <c r="BT37" s="938"/>
    </row>
    <row r="38" spans="1:72" ht="13" x14ac:dyDescent="0.3">
      <c r="A38" s="1672" t="s">
        <v>577</v>
      </c>
      <c r="B38" s="1673"/>
      <c r="C38" s="949" t="s">
        <v>578</v>
      </c>
      <c r="D38" s="949" t="s">
        <v>578</v>
      </c>
      <c r="E38" s="1673" t="s">
        <v>1115</v>
      </c>
      <c r="F38" s="1673"/>
      <c r="G38" s="1673"/>
      <c r="H38" s="1673"/>
      <c r="I38" s="1673"/>
      <c r="J38" s="945">
        <v>1999</v>
      </c>
      <c r="K38" s="946">
        <v>97.9</v>
      </c>
      <c r="L38" s="938"/>
      <c r="M38" s="938"/>
      <c r="N38" s="938"/>
      <c r="O38" s="938"/>
      <c r="P38" s="938"/>
      <c r="Q38" s="938"/>
      <c r="R38" s="938"/>
      <c r="S38" s="938"/>
      <c r="T38" s="938"/>
      <c r="U38" s="938"/>
      <c r="V38" s="938"/>
      <c r="W38" s="938"/>
      <c r="X38" s="938"/>
      <c r="Y38" s="938"/>
      <c r="Z38" s="938"/>
      <c r="AA38" s="938"/>
      <c r="AB38" s="938"/>
      <c r="AC38" s="938"/>
      <c r="AD38" s="938"/>
      <c r="AE38" s="938"/>
      <c r="AF38" s="938"/>
      <c r="AG38" s="938"/>
      <c r="AH38" s="938"/>
      <c r="AI38" s="938"/>
      <c r="AJ38" s="938"/>
      <c r="AK38" s="938"/>
      <c r="AL38" s="938"/>
      <c r="AM38" s="938"/>
      <c r="AN38" s="938"/>
      <c r="AO38" s="938"/>
      <c r="AP38" s="938"/>
      <c r="AQ38" s="938"/>
      <c r="AR38" s="938"/>
      <c r="AS38" s="938"/>
      <c r="AT38" s="938"/>
      <c r="AU38" s="938"/>
      <c r="AV38" s="938"/>
      <c r="AW38" s="938"/>
      <c r="AX38" s="938"/>
      <c r="AY38" s="938"/>
      <c r="AZ38" s="938"/>
      <c r="BA38" s="938"/>
      <c r="BB38" s="938"/>
      <c r="BC38" s="938"/>
      <c r="BD38" s="938"/>
      <c r="BE38" s="938"/>
      <c r="BF38" s="938"/>
      <c r="BG38" s="938"/>
      <c r="BH38" s="938"/>
      <c r="BI38" s="938"/>
      <c r="BJ38" s="938"/>
      <c r="BK38" s="938"/>
      <c r="BL38" s="938"/>
      <c r="BM38" s="938"/>
      <c r="BN38" s="938"/>
      <c r="BO38" s="938"/>
      <c r="BP38" s="938"/>
      <c r="BQ38" s="938"/>
      <c r="BR38" s="938"/>
      <c r="BS38" s="938"/>
      <c r="BT38" s="938"/>
    </row>
    <row r="39" spans="1:72" ht="13" x14ac:dyDescent="0.3">
      <c r="A39" s="943"/>
      <c r="B39" s="892" t="s">
        <v>1049</v>
      </c>
      <c r="C39" s="947">
        <v>2000</v>
      </c>
      <c r="D39" s="947">
        <v>2005</v>
      </c>
      <c r="E39" s="947">
        <v>2020</v>
      </c>
      <c r="F39" s="947">
        <v>2035</v>
      </c>
      <c r="G39" s="947">
        <v>2050</v>
      </c>
      <c r="H39" s="947">
        <v>2065</v>
      </c>
      <c r="I39" s="947">
        <v>2070</v>
      </c>
      <c r="J39" s="947">
        <v>2000</v>
      </c>
      <c r="K39" s="948">
        <v>100</v>
      </c>
      <c r="L39" s="938"/>
      <c r="M39" s="938"/>
      <c r="N39" s="938"/>
      <c r="O39" s="938"/>
      <c r="P39" s="938"/>
      <c r="Q39" s="938"/>
      <c r="R39" s="938"/>
      <c r="S39" s="938"/>
      <c r="T39" s="938"/>
      <c r="U39" s="938"/>
      <c r="V39" s="938"/>
      <c r="W39" s="938"/>
      <c r="X39" s="938"/>
      <c r="Y39" s="938"/>
      <c r="Z39" s="938"/>
      <c r="AA39" s="938"/>
      <c r="AB39" s="938"/>
      <c r="AC39" s="938"/>
      <c r="AD39" s="938"/>
      <c r="AE39" s="938"/>
      <c r="AF39" s="938"/>
      <c r="AG39" s="938"/>
      <c r="AH39" s="938"/>
      <c r="AI39" s="938"/>
      <c r="AJ39" s="938"/>
      <c r="AK39" s="938"/>
      <c r="AL39" s="938"/>
      <c r="AM39" s="938"/>
      <c r="AN39" s="938"/>
      <c r="AO39" s="938"/>
      <c r="AP39" s="938"/>
      <c r="AQ39" s="938"/>
      <c r="AR39" s="938"/>
      <c r="AS39" s="938"/>
      <c r="AT39" s="938"/>
      <c r="AU39" s="938"/>
      <c r="AV39" s="938"/>
      <c r="AW39" s="938"/>
      <c r="AX39" s="938"/>
      <c r="AY39" s="938"/>
      <c r="AZ39" s="938"/>
      <c r="BA39" s="938"/>
      <c r="BB39" s="938"/>
      <c r="BC39" s="938"/>
      <c r="BD39" s="938"/>
      <c r="BE39" s="938"/>
      <c r="BF39" s="938"/>
      <c r="BG39" s="938"/>
      <c r="BH39" s="938"/>
      <c r="BI39" s="938"/>
      <c r="BJ39" s="938"/>
      <c r="BK39" s="938"/>
      <c r="BL39" s="938"/>
      <c r="BM39" s="938"/>
      <c r="BN39" s="938"/>
      <c r="BO39" s="938"/>
      <c r="BP39" s="938"/>
      <c r="BQ39" s="938"/>
      <c r="BR39" s="938"/>
      <c r="BS39" s="938"/>
      <c r="BT39" s="938"/>
    </row>
    <row r="40" spans="1:72" x14ac:dyDescent="0.25">
      <c r="A40" s="941" t="s">
        <v>569</v>
      </c>
      <c r="B40" s="950" t="s">
        <v>579</v>
      </c>
      <c r="C40" s="945">
        <v>25.276500000000002</v>
      </c>
      <c r="D40" s="945">
        <v>25.071000000000002</v>
      </c>
      <c r="E40" s="945">
        <v>49.911552427759986</v>
      </c>
      <c r="F40" s="945">
        <v>51.73380738099187</v>
      </c>
      <c r="G40" s="945">
        <v>54.228868079187265</v>
      </c>
      <c r="H40" s="945">
        <v>57.083559627090274</v>
      </c>
      <c r="I40" s="945">
        <v>57.998580810871225</v>
      </c>
      <c r="J40" s="945">
        <v>2001</v>
      </c>
      <c r="K40" s="946">
        <v>102.4</v>
      </c>
      <c r="L40" s="938"/>
      <c r="M40" s="938"/>
      <c r="N40" s="938"/>
      <c r="O40" s="938"/>
      <c r="P40" s="938"/>
      <c r="Q40" s="938"/>
      <c r="R40" s="938"/>
      <c r="S40" s="938"/>
      <c r="T40" s="938"/>
      <c r="U40" s="938"/>
      <c r="V40" s="938"/>
      <c r="W40" s="938"/>
      <c r="X40" s="938"/>
      <c r="Y40" s="938"/>
      <c r="Z40" s="938"/>
      <c r="AA40" s="938"/>
      <c r="AB40" s="938"/>
      <c r="AC40" s="938"/>
      <c r="AD40" s="938"/>
      <c r="AE40" s="938"/>
      <c r="AF40" s="938"/>
      <c r="AG40" s="938"/>
      <c r="AH40" s="938"/>
      <c r="AI40" s="938"/>
      <c r="AJ40" s="938"/>
      <c r="AK40" s="938"/>
      <c r="AL40" s="938"/>
      <c r="AM40" s="938"/>
      <c r="AN40" s="938"/>
      <c r="AO40" s="938"/>
      <c r="AP40" s="938"/>
      <c r="AQ40" s="938"/>
      <c r="AR40" s="938"/>
      <c r="AS40" s="938"/>
      <c r="AT40" s="938"/>
      <c r="AU40" s="938"/>
      <c r="AV40" s="938"/>
      <c r="AW40" s="938"/>
      <c r="AX40" s="938"/>
      <c r="AY40" s="938"/>
      <c r="AZ40" s="938"/>
      <c r="BA40" s="938"/>
      <c r="BB40" s="938"/>
      <c r="BC40" s="938"/>
      <c r="BD40" s="938"/>
      <c r="BE40" s="938"/>
      <c r="BF40" s="938"/>
      <c r="BG40" s="938"/>
      <c r="BH40" s="938"/>
      <c r="BI40" s="938"/>
      <c r="BJ40" s="938"/>
      <c r="BK40" s="938"/>
      <c r="BL40" s="938"/>
      <c r="BM40" s="938"/>
      <c r="BN40" s="938"/>
      <c r="BO40" s="938"/>
      <c r="BP40" s="938"/>
      <c r="BQ40" s="938"/>
      <c r="BR40" s="938"/>
      <c r="BS40" s="938"/>
      <c r="BT40" s="938"/>
    </row>
    <row r="41" spans="1:72" x14ac:dyDescent="0.25">
      <c r="A41" s="943" t="s">
        <v>570</v>
      </c>
      <c r="B41" s="951" t="s">
        <v>580</v>
      </c>
      <c r="C41" s="947">
        <v>3.83</v>
      </c>
      <c r="D41" s="947">
        <v>2.88</v>
      </c>
      <c r="E41" s="947">
        <v>3.4820792312666162</v>
      </c>
      <c r="F41" s="947">
        <v>3.718467288972283</v>
      </c>
      <c r="G41" s="947">
        <v>4.254403392012021</v>
      </c>
      <c r="H41" s="947">
        <v>4.8331418485312492</v>
      </c>
      <c r="I41" s="947">
        <v>5.0085938618348607</v>
      </c>
      <c r="J41" s="947">
        <v>2002</v>
      </c>
      <c r="K41" s="948">
        <v>104.1</v>
      </c>
      <c r="L41" s="938"/>
      <c r="M41" s="938"/>
      <c r="N41" s="938"/>
      <c r="O41" s="938"/>
      <c r="P41" s="938"/>
      <c r="Q41" s="938"/>
      <c r="R41" s="938"/>
      <c r="S41" s="938"/>
      <c r="T41" s="938"/>
      <c r="U41" s="938"/>
      <c r="V41" s="938"/>
      <c r="W41" s="938"/>
      <c r="X41" s="938"/>
      <c r="Y41" s="938"/>
      <c r="Z41" s="938"/>
      <c r="AA41" s="938"/>
      <c r="AB41" s="938"/>
      <c r="AC41" s="938"/>
      <c r="AD41" s="938"/>
      <c r="AE41" s="938"/>
      <c r="AF41" s="938"/>
      <c r="AG41" s="938"/>
      <c r="AH41" s="938"/>
      <c r="AI41" s="938"/>
      <c r="AJ41" s="938"/>
      <c r="AK41" s="938"/>
      <c r="AL41" s="938"/>
      <c r="AM41" s="938"/>
      <c r="AN41" s="938"/>
      <c r="AO41" s="938"/>
      <c r="AP41" s="938"/>
      <c r="AQ41" s="938"/>
      <c r="AR41" s="938"/>
      <c r="AS41" s="938"/>
      <c r="AT41" s="938"/>
      <c r="AU41" s="938"/>
      <c r="AV41" s="938"/>
      <c r="AW41" s="938"/>
      <c r="AX41" s="938"/>
      <c r="AY41" s="938"/>
      <c r="AZ41" s="938"/>
      <c r="BA41" s="938"/>
      <c r="BB41" s="938"/>
      <c r="BC41" s="938"/>
      <c r="BD41" s="938"/>
      <c r="BE41" s="938"/>
      <c r="BF41" s="938"/>
      <c r="BG41" s="938"/>
      <c r="BH41" s="938"/>
      <c r="BI41" s="938"/>
      <c r="BJ41" s="938"/>
      <c r="BK41" s="938"/>
      <c r="BL41" s="938"/>
      <c r="BM41" s="938"/>
      <c r="BN41" s="938"/>
      <c r="BO41" s="938"/>
      <c r="BP41" s="938"/>
      <c r="BQ41" s="938"/>
      <c r="BR41" s="938"/>
      <c r="BS41" s="938"/>
      <c r="BT41" s="938"/>
    </row>
    <row r="42" spans="1:72" x14ac:dyDescent="0.25">
      <c r="A42" s="941" t="s">
        <v>571</v>
      </c>
      <c r="B42" s="950" t="s">
        <v>580</v>
      </c>
      <c r="C42" s="945">
        <v>4.333333333333333</v>
      </c>
      <c r="D42" s="945">
        <v>3.2058823529411766</v>
      </c>
      <c r="E42" s="945">
        <v>5.3135477999345282</v>
      </c>
      <c r="F42" s="945">
        <v>5.6703709369749671</v>
      </c>
      <c r="G42" s="945">
        <v>6.3804589018936815</v>
      </c>
      <c r="H42" s="945">
        <v>7.1603102550975084</v>
      </c>
      <c r="I42" s="945">
        <v>7.3649472464330987</v>
      </c>
      <c r="J42" s="945">
        <v>2003</v>
      </c>
      <c r="K42" s="946">
        <v>106</v>
      </c>
      <c r="L42" s="938"/>
      <c r="M42" s="938"/>
      <c r="N42" s="938"/>
      <c r="O42" s="938"/>
      <c r="P42" s="938"/>
      <c r="Q42" s="938"/>
      <c r="R42" s="938"/>
      <c r="S42" s="938"/>
      <c r="T42" s="938"/>
      <c r="U42" s="938"/>
      <c r="V42" s="938"/>
      <c r="W42" s="938"/>
      <c r="X42" s="938"/>
      <c r="Y42" s="938"/>
      <c r="Z42" s="938"/>
      <c r="AA42" s="938"/>
      <c r="AB42" s="938"/>
      <c r="AC42" s="938"/>
      <c r="AD42" s="938"/>
      <c r="AE42" s="938"/>
      <c r="AF42" s="938"/>
      <c r="AG42" s="938"/>
      <c r="AH42" s="938"/>
      <c r="AI42" s="938"/>
      <c r="AJ42" s="938"/>
      <c r="AK42" s="938"/>
      <c r="AL42" s="938"/>
      <c r="AM42" s="938"/>
      <c r="AN42" s="938"/>
      <c r="AO42" s="938"/>
      <c r="AP42" s="938"/>
      <c r="AQ42" s="938"/>
      <c r="AR42" s="938"/>
      <c r="AS42" s="938"/>
      <c r="AT42" s="938"/>
      <c r="AU42" s="938"/>
      <c r="AV42" s="938"/>
      <c r="AW42" s="938"/>
      <c r="AX42" s="938"/>
      <c r="AY42" s="938"/>
      <c r="AZ42" s="938"/>
      <c r="BA42" s="938"/>
      <c r="BB42" s="938"/>
      <c r="BC42" s="938"/>
      <c r="BD42" s="938"/>
      <c r="BE42" s="938"/>
      <c r="BF42" s="938"/>
      <c r="BG42" s="938"/>
      <c r="BH42" s="938"/>
      <c r="BI42" s="938"/>
      <c r="BJ42" s="938"/>
      <c r="BK42" s="938"/>
      <c r="BL42" s="938"/>
      <c r="BM42" s="938"/>
      <c r="BN42" s="938"/>
      <c r="BO42" s="938"/>
      <c r="BP42" s="938"/>
      <c r="BQ42" s="938"/>
      <c r="BR42" s="938"/>
      <c r="BS42" s="938"/>
      <c r="BT42" s="938"/>
    </row>
    <row r="43" spans="1:72" ht="13" x14ac:dyDescent="0.3">
      <c r="A43" s="943" t="s">
        <v>572</v>
      </c>
      <c r="B43" s="951" t="s">
        <v>581</v>
      </c>
      <c r="C43" s="947">
        <v>28.35</v>
      </c>
      <c r="D43" s="947">
        <v>23.27</v>
      </c>
      <c r="E43" s="947">
        <v>38.166254666132858</v>
      </c>
      <c r="F43" s="947">
        <v>44.018296607182357</v>
      </c>
      <c r="G43" s="947">
        <v>47.046046898954408</v>
      </c>
      <c r="H43" s="947">
        <v>48.050792851691</v>
      </c>
      <c r="I43" s="947">
        <v>48.201553003292787</v>
      </c>
      <c r="J43" s="947">
        <v>2004</v>
      </c>
      <c r="K43" s="952">
        <v>108.3</v>
      </c>
      <c r="L43" s="938"/>
      <c r="M43" s="938"/>
      <c r="N43" s="938"/>
      <c r="O43" s="938"/>
      <c r="P43" s="938"/>
      <c r="Q43" s="938"/>
      <c r="R43" s="938"/>
      <c r="S43" s="938"/>
      <c r="T43" s="938"/>
      <c r="U43" s="938"/>
      <c r="V43" s="938"/>
      <c r="W43" s="938"/>
      <c r="X43" s="938"/>
      <c r="Y43" s="938"/>
      <c r="Z43" s="938"/>
      <c r="AA43" s="938"/>
      <c r="AB43" s="938"/>
      <c r="AC43" s="938"/>
      <c r="AD43" s="938"/>
      <c r="AE43" s="938"/>
      <c r="AF43" s="938"/>
      <c r="AG43" s="938"/>
      <c r="AH43" s="938"/>
      <c r="AI43" s="938"/>
      <c r="AJ43" s="938"/>
      <c r="AK43" s="938"/>
      <c r="AL43" s="938"/>
      <c r="AM43" s="938"/>
      <c r="AN43" s="938"/>
      <c r="AO43" s="938"/>
      <c r="AP43" s="938"/>
      <c r="AQ43" s="938"/>
      <c r="AR43" s="938"/>
      <c r="AS43" s="938"/>
      <c r="AT43" s="938"/>
      <c r="AU43" s="938"/>
      <c r="AV43" s="938"/>
      <c r="AW43" s="938"/>
      <c r="AX43" s="938"/>
      <c r="AY43" s="938"/>
      <c r="AZ43" s="938"/>
      <c r="BA43" s="938"/>
      <c r="BB43" s="938"/>
      <c r="BC43" s="938"/>
      <c r="BD43" s="938"/>
      <c r="BE43" s="938"/>
      <c r="BF43" s="938"/>
      <c r="BG43" s="938"/>
      <c r="BH43" s="938"/>
      <c r="BI43" s="938"/>
      <c r="BJ43" s="938"/>
      <c r="BK43" s="938"/>
      <c r="BL43" s="938"/>
      <c r="BM43" s="938"/>
      <c r="BN43" s="938"/>
      <c r="BO43" s="938"/>
      <c r="BP43" s="938"/>
      <c r="BQ43" s="938"/>
      <c r="BR43" s="938"/>
      <c r="BS43" s="938"/>
      <c r="BT43" s="938"/>
    </row>
    <row r="44" spans="1:72" ht="13" x14ac:dyDescent="0.3">
      <c r="A44" s="941" t="s">
        <v>573</v>
      </c>
      <c r="B44" s="950" t="s">
        <v>582</v>
      </c>
      <c r="C44" s="945">
        <v>1.5176666666666667</v>
      </c>
      <c r="D44" s="945">
        <v>1.2925714285714285</v>
      </c>
      <c r="E44" s="945">
        <v>1.9428327208531595</v>
      </c>
      <c r="F44" s="945">
        <v>2.1262391061548653</v>
      </c>
      <c r="G44" s="945">
        <v>2.2056865867102777</v>
      </c>
      <c r="H44" s="945">
        <v>2.2243217316177319</v>
      </c>
      <c r="I44" s="945">
        <v>2.2266990166381286</v>
      </c>
      <c r="J44" s="945">
        <v>2005</v>
      </c>
      <c r="K44" s="953">
        <v>110.5</v>
      </c>
      <c r="L44" s="938"/>
      <c r="M44" s="938"/>
      <c r="N44" s="938"/>
      <c r="O44" s="938"/>
      <c r="P44" s="938"/>
      <c r="Q44" s="938"/>
      <c r="R44" s="938"/>
      <c r="S44" s="938"/>
      <c r="T44" s="938"/>
      <c r="U44" s="938"/>
      <c r="V44" s="938"/>
      <c r="W44" s="938"/>
      <c r="X44" s="938"/>
      <c r="Y44" s="938"/>
      <c r="Z44" s="938"/>
      <c r="AA44" s="938"/>
      <c r="AB44" s="938"/>
      <c r="AC44" s="938"/>
      <c r="AD44" s="938"/>
      <c r="AE44" s="938"/>
      <c r="AF44" s="938"/>
      <c r="AG44" s="938"/>
      <c r="AH44" s="938"/>
      <c r="AI44" s="938"/>
      <c r="AJ44" s="938"/>
      <c r="AK44" s="938"/>
      <c r="AL44" s="938"/>
      <c r="AM44" s="938"/>
      <c r="AN44" s="938"/>
      <c r="AO44" s="938"/>
      <c r="AP44" s="938"/>
      <c r="AQ44" s="938"/>
      <c r="AR44" s="938"/>
      <c r="AS44" s="938"/>
      <c r="AT44" s="938"/>
      <c r="AU44" s="938"/>
      <c r="AV44" s="938"/>
      <c r="AW44" s="938"/>
      <c r="AX44" s="938"/>
      <c r="AY44" s="938"/>
      <c r="AZ44" s="938"/>
      <c r="BA44" s="938"/>
      <c r="BB44" s="938"/>
      <c r="BC44" s="938"/>
      <c r="BD44" s="938"/>
      <c r="BE44" s="938"/>
      <c r="BF44" s="938"/>
      <c r="BG44" s="938"/>
      <c r="BH44" s="938"/>
      <c r="BI44" s="938"/>
      <c r="BJ44" s="938"/>
      <c r="BK44" s="938"/>
      <c r="BL44" s="938"/>
      <c r="BM44" s="938"/>
      <c r="BN44" s="938"/>
      <c r="BO44" s="938"/>
      <c r="BP44" s="938"/>
      <c r="BQ44" s="938"/>
      <c r="BR44" s="938"/>
      <c r="BS44" s="938"/>
      <c r="BT44" s="938"/>
    </row>
    <row r="45" spans="1:72" x14ac:dyDescent="0.25">
      <c r="A45" s="943" t="s">
        <v>574</v>
      </c>
      <c r="B45" s="951" t="s">
        <v>583</v>
      </c>
      <c r="C45" s="947">
        <v>6.9</v>
      </c>
      <c r="D45" s="947">
        <v>6.4</v>
      </c>
      <c r="E45" s="947">
        <v>7.2674708046079139</v>
      </c>
      <c r="F45" s="947">
        <v>7.0885496188632935</v>
      </c>
      <c r="G45" s="947">
        <v>6.9118429447797478</v>
      </c>
      <c r="H45" s="947">
        <v>6.9722480090117775</v>
      </c>
      <c r="I45" s="947">
        <v>6.9487741854044058</v>
      </c>
      <c r="J45" s="1674" t="s">
        <v>761</v>
      </c>
      <c r="K45" s="1675"/>
      <c r="L45" s="938"/>
      <c r="M45" s="938"/>
      <c r="N45" s="938"/>
      <c r="O45" s="938"/>
      <c r="P45" s="938"/>
      <c r="Q45" s="938"/>
      <c r="R45" s="938"/>
      <c r="S45" s="938"/>
      <c r="T45" s="938"/>
      <c r="U45" s="938"/>
      <c r="V45" s="938"/>
      <c r="W45" s="938"/>
      <c r="X45" s="938"/>
      <c r="Y45" s="938"/>
      <c r="Z45" s="938"/>
      <c r="AA45" s="938"/>
      <c r="AB45" s="938"/>
      <c r="AC45" s="938"/>
      <c r="AD45" s="938"/>
      <c r="AE45" s="938"/>
      <c r="AF45" s="938"/>
      <c r="AG45" s="938"/>
      <c r="AH45" s="938"/>
      <c r="AI45" s="938"/>
      <c r="AJ45" s="938"/>
      <c r="AK45" s="938"/>
      <c r="AL45" s="938"/>
      <c r="AM45" s="938"/>
      <c r="AN45" s="938"/>
      <c r="AO45" s="938"/>
      <c r="AP45" s="938"/>
      <c r="AQ45" s="938"/>
      <c r="AR45" s="938"/>
      <c r="AS45" s="938"/>
      <c r="AT45" s="938"/>
      <c r="AU45" s="938"/>
      <c r="AV45" s="938"/>
      <c r="AW45" s="938"/>
      <c r="AX45" s="938"/>
      <c r="AY45" s="938"/>
      <c r="AZ45" s="938"/>
      <c r="BA45" s="938"/>
      <c r="BB45" s="938"/>
      <c r="BC45" s="938"/>
      <c r="BD45" s="938"/>
      <c r="BE45" s="938"/>
      <c r="BF45" s="938"/>
      <c r="BG45" s="938"/>
      <c r="BH45" s="938"/>
      <c r="BI45" s="938"/>
      <c r="BJ45" s="938"/>
      <c r="BK45" s="938"/>
      <c r="BL45" s="938"/>
      <c r="BM45" s="938"/>
      <c r="BN45" s="938"/>
      <c r="BO45" s="938"/>
      <c r="BP45" s="938"/>
      <c r="BQ45" s="938"/>
      <c r="BR45" s="938"/>
      <c r="BS45" s="938"/>
      <c r="BT45" s="938"/>
    </row>
    <row r="46" spans="1:72" x14ac:dyDescent="0.25">
      <c r="A46" s="941" t="s">
        <v>575</v>
      </c>
      <c r="B46" s="950" t="s">
        <v>584</v>
      </c>
      <c r="C46" s="945"/>
      <c r="D46" s="945"/>
      <c r="E46" s="945">
        <v>3.9267286033597717</v>
      </c>
      <c r="F46" s="945">
        <v>3.4025762910602637</v>
      </c>
      <c r="G46" s="945">
        <v>3.7218644965506216</v>
      </c>
      <c r="H46" s="945">
        <v>4.0392206503019663</v>
      </c>
      <c r="I46" s="945">
        <v>4.0968490901035652</v>
      </c>
      <c r="J46" s="1674"/>
      <c r="K46" s="1675"/>
      <c r="L46" s="938"/>
      <c r="M46" s="938"/>
      <c r="N46" s="938"/>
      <c r="O46" s="938"/>
      <c r="P46" s="938"/>
      <c r="Q46" s="938"/>
      <c r="R46" s="938"/>
      <c r="S46" s="938"/>
      <c r="T46" s="938"/>
      <c r="U46" s="938"/>
      <c r="V46" s="938"/>
      <c r="W46" s="938"/>
      <c r="X46" s="938"/>
      <c r="Y46" s="938"/>
      <c r="Z46" s="938"/>
      <c r="AA46" s="938"/>
      <c r="AB46" s="938"/>
      <c r="AC46" s="938"/>
      <c r="AD46" s="938"/>
      <c r="AE46" s="938"/>
      <c r="AF46" s="938"/>
      <c r="AG46" s="938"/>
      <c r="AH46" s="938"/>
      <c r="AI46" s="938"/>
      <c r="AJ46" s="938"/>
      <c r="AK46" s="938"/>
      <c r="AL46" s="938"/>
      <c r="AM46" s="938"/>
      <c r="AN46" s="938"/>
      <c r="AO46" s="938"/>
      <c r="AP46" s="938"/>
      <c r="AQ46" s="938"/>
      <c r="AR46" s="938"/>
      <c r="AS46" s="938"/>
      <c r="AT46" s="938"/>
      <c r="AU46" s="938"/>
      <c r="AV46" s="938"/>
      <c r="AW46" s="938"/>
      <c r="AX46" s="938"/>
      <c r="AY46" s="938"/>
      <c r="AZ46" s="938"/>
      <c r="BA46" s="938"/>
      <c r="BB46" s="938"/>
      <c r="BC46" s="938"/>
      <c r="BD46" s="938"/>
      <c r="BE46" s="938"/>
      <c r="BF46" s="938"/>
      <c r="BG46" s="938"/>
      <c r="BH46" s="938"/>
      <c r="BI46" s="938"/>
      <c r="BJ46" s="938"/>
      <c r="BK46" s="938"/>
      <c r="BL46" s="938"/>
      <c r="BM46" s="938"/>
      <c r="BN46" s="938"/>
      <c r="BO46" s="938"/>
      <c r="BP46" s="938"/>
      <c r="BQ46" s="938"/>
      <c r="BR46" s="938"/>
      <c r="BS46" s="938"/>
      <c r="BT46" s="938"/>
    </row>
    <row r="47" spans="1:72" x14ac:dyDescent="0.25">
      <c r="A47" s="943" t="s">
        <v>312</v>
      </c>
      <c r="B47" s="951" t="s">
        <v>584</v>
      </c>
      <c r="C47" s="947"/>
      <c r="D47" s="947"/>
      <c r="E47" s="947">
        <v>24.686324737923844</v>
      </c>
      <c r="F47" s="947">
        <v>23.090083577893328</v>
      </c>
      <c r="G47" s="947">
        <v>23.196746158381607</v>
      </c>
      <c r="H47" s="947">
        <v>23.268531873857007</v>
      </c>
      <c r="I47" s="947">
        <v>23.201243175360347</v>
      </c>
      <c r="J47" s="1674"/>
      <c r="K47" s="1675"/>
      <c r="L47" s="938"/>
      <c r="M47" s="938"/>
      <c r="N47" s="938"/>
      <c r="O47" s="938"/>
      <c r="P47" s="938"/>
      <c r="Q47" s="938"/>
      <c r="R47" s="938"/>
      <c r="S47" s="938"/>
      <c r="T47" s="938"/>
      <c r="U47" s="938"/>
      <c r="V47" s="938"/>
      <c r="W47" s="938"/>
      <c r="X47" s="938"/>
      <c r="Y47" s="938"/>
      <c r="Z47" s="938"/>
      <c r="AA47" s="938"/>
      <c r="AB47" s="938"/>
      <c r="AC47" s="938"/>
      <c r="AD47" s="938"/>
      <c r="AE47" s="938"/>
      <c r="AF47" s="938"/>
      <c r="AG47" s="938"/>
      <c r="AH47" s="938"/>
      <c r="AI47" s="938"/>
      <c r="AJ47" s="938"/>
      <c r="AK47" s="938"/>
      <c r="AL47" s="938"/>
      <c r="AM47" s="938"/>
      <c r="AN47" s="938"/>
      <c r="AO47" s="938"/>
      <c r="AP47" s="938"/>
      <c r="AQ47" s="938"/>
      <c r="AR47" s="938"/>
      <c r="AS47" s="938"/>
      <c r="AT47" s="938"/>
      <c r="AU47" s="938"/>
      <c r="AV47" s="938"/>
      <c r="AW47" s="938"/>
      <c r="AX47" s="938"/>
      <c r="AY47" s="938"/>
      <c r="AZ47" s="938"/>
      <c r="BA47" s="938"/>
      <c r="BB47" s="938"/>
      <c r="BC47" s="938"/>
      <c r="BD47" s="938"/>
      <c r="BE47" s="938"/>
      <c r="BF47" s="938"/>
      <c r="BG47" s="938"/>
      <c r="BH47" s="938"/>
      <c r="BI47" s="938"/>
      <c r="BJ47" s="938"/>
      <c r="BK47" s="938"/>
      <c r="BL47" s="938"/>
      <c r="BM47" s="938"/>
      <c r="BN47" s="938"/>
      <c r="BO47" s="938"/>
      <c r="BP47" s="938"/>
      <c r="BQ47" s="938"/>
      <c r="BR47" s="938"/>
      <c r="BS47" s="938"/>
      <c r="BT47" s="938"/>
    </row>
    <row r="48" spans="1:72" ht="37.5" x14ac:dyDescent="0.25">
      <c r="A48" s="959" t="s">
        <v>770</v>
      </c>
      <c r="B48" s="950" t="s">
        <v>579</v>
      </c>
      <c r="C48" s="945"/>
      <c r="D48" s="945"/>
      <c r="E48" s="945">
        <v>10</v>
      </c>
      <c r="F48" s="945">
        <v>10</v>
      </c>
      <c r="G48" s="945">
        <v>10</v>
      </c>
      <c r="H48" s="945">
        <v>10</v>
      </c>
      <c r="I48" s="945"/>
      <c r="J48" s="1674"/>
      <c r="K48" s="1675"/>
      <c r="L48" s="938"/>
      <c r="M48" s="938"/>
      <c r="N48" s="938"/>
      <c r="O48" s="938"/>
      <c r="P48" s="938"/>
      <c r="Q48" s="938"/>
      <c r="R48" s="938"/>
      <c r="S48" s="938"/>
      <c r="T48" s="938"/>
      <c r="U48" s="938"/>
      <c r="V48" s="938"/>
      <c r="W48" s="938"/>
      <c r="X48" s="938"/>
      <c r="Y48" s="938"/>
      <c r="Z48" s="938"/>
      <c r="AA48" s="938"/>
      <c r="AB48" s="938"/>
      <c r="AC48" s="938"/>
      <c r="AD48" s="938"/>
      <c r="AE48" s="938"/>
      <c r="AF48" s="938"/>
      <c r="AG48" s="938"/>
      <c r="AH48" s="938"/>
      <c r="AI48" s="938"/>
      <c r="AJ48" s="938"/>
      <c r="AK48" s="938"/>
      <c r="AL48" s="938"/>
      <c r="AM48" s="938"/>
      <c r="AN48" s="938"/>
      <c r="AO48" s="938"/>
      <c r="AP48" s="938"/>
      <c r="AQ48" s="938"/>
      <c r="AR48" s="938"/>
      <c r="AS48" s="938"/>
      <c r="AT48" s="938"/>
      <c r="AU48" s="938"/>
      <c r="AV48" s="938"/>
      <c r="AW48" s="938"/>
      <c r="AX48" s="938"/>
      <c r="AY48" s="938"/>
      <c r="AZ48" s="938"/>
      <c r="BA48" s="938"/>
      <c r="BB48" s="938"/>
      <c r="BC48" s="938"/>
      <c r="BD48" s="938"/>
      <c r="BE48" s="938"/>
      <c r="BF48" s="938"/>
      <c r="BG48" s="938"/>
      <c r="BH48" s="938"/>
      <c r="BI48" s="938"/>
      <c r="BJ48" s="938"/>
      <c r="BK48" s="938"/>
      <c r="BL48" s="938"/>
      <c r="BM48" s="938"/>
      <c r="BN48" s="938"/>
      <c r="BO48" s="938"/>
      <c r="BP48" s="938"/>
      <c r="BQ48" s="938"/>
      <c r="BR48" s="938"/>
      <c r="BS48" s="938"/>
      <c r="BT48" s="938"/>
    </row>
    <row r="49" spans="1:72" x14ac:dyDescent="0.25">
      <c r="B49" s="958" t="s">
        <v>769</v>
      </c>
      <c r="C49" s="956"/>
      <c r="D49" s="956"/>
      <c r="E49" s="956">
        <f>E48*$B$61</f>
        <v>0.65713983050847458</v>
      </c>
      <c r="F49" s="956">
        <f>F48*$B$61</f>
        <v>0.65713983050847458</v>
      </c>
      <c r="G49" s="956">
        <f>G48*$B$61</f>
        <v>0.65713983050847458</v>
      </c>
      <c r="H49" s="956">
        <f>H48*$B$61</f>
        <v>0.65713983050847458</v>
      </c>
      <c r="I49" s="956"/>
      <c r="J49" s="956"/>
      <c r="K49" s="957"/>
      <c r="L49" s="938"/>
      <c r="M49" s="938"/>
      <c r="N49" s="938"/>
      <c r="O49" s="938"/>
      <c r="P49" s="938"/>
      <c r="Q49" s="938"/>
      <c r="R49" s="938"/>
      <c r="S49" s="938"/>
      <c r="T49" s="938"/>
      <c r="U49" s="938"/>
      <c r="V49" s="938"/>
      <c r="W49" s="938"/>
      <c r="X49" s="938"/>
      <c r="Y49" s="938"/>
      <c r="Z49" s="938"/>
      <c r="AA49" s="938"/>
      <c r="AB49" s="938"/>
      <c r="AC49" s="938"/>
      <c r="AD49" s="938"/>
      <c r="AE49" s="938"/>
      <c r="AF49" s="938"/>
      <c r="AG49" s="938"/>
      <c r="AH49" s="938"/>
      <c r="AI49" s="938"/>
      <c r="AJ49" s="938"/>
      <c r="AK49" s="938"/>
      <c r="AL49" s="938"/>
      <c r="AM49" s="938"/>
      <c r="AN49" s="938"/>
      <c r="AO49" s="938"/>
      <c r="AP49" s="938"/>
      <c r="AQ49" s="938"/>
      <c r="AR49" s="938"/>
      <c r="AS49" s="938"/>
      <c r="AT49" s="938"/>
      <c r="AU49" s="938"/>
      <c r="AV49" s="938"/>
      <c r="AW49" s="938"/>
      <c r="AX49" s="938"/>
      <c r="AY49" s="938"/>
      <c r="AZ49" s="938"/>
      <c r="BA49" s="938"/>
      <c r="BB49" s="938"/>
      <c r="BC49" s="938"/>
      <c r="BD49" s="938"/>
      <c r="BE49" s="938"/>
      <c r="BF49" s="938"/>
      <c r="BG49" s="938"/>
      <c r="BH49" s="938"/>
      <c r="BI49" s="938"/>
      <c r="BJ49" s="938"/>
      <c r="BK49" s="938"/>
      <c r="BL49" s="938"/>
      <c r="BM49" s="938"/>
      <c r="BN49" s="938"/>
      <c r="BO49" s="938"/>
      <c r="BP49" s="938"/>
      <c r="BQ49" s="938"/>
      <c r="BR49" s="938"/>
      <c r="BS49" s="938"/>
      <c r="BT49" s="938"/>
    </row>
    <row r="50" spans="1:72" x14ac:dyDescent="0.25">
      <c r="A50" s="959" t="s">
        <v>771</v>
      </c>
      <c r="B50" s="960" t="s">
        <v>584</v>
      </c>
      <c r="C50" s="945"/>
      <c r="D50" s="945"/>
      <c r="E50" s="945">
        <f>E49+E46</f>
        <v>4.5838684338682461</v>
      </c>
      <c r="F50" s="945">
        <f>F49+F46</f>
        <v>4.0597161215687381</v>
      </c>
      <c r="G50" s="945">
        <f>G49+G46</f>
        <v>4.3790043270590964</v>
      </c>
      <c r="H50" s="945">
        <f>H49+H46</f>
        <v>4.6963604808104407</v>
      </c>
      <c r="I50" s="945"/>
      <c r="J50" s="956"/>
      <c r="K50" s="957"/>
      <c r="L50" s="938"/>
      <c r="M50" s="938"/>
      <c r="N50" s="938"/>
      <c r="O50" s="938"/>
      <c r="P50" s="938"/>
      <c r="Q50" s="938"/>
      <c r="R50" s="938"/>
      <c r="S50" s="938"/>
      <c r="T50" s="938"/>
      <c r="U50" s="938"/>
      <c r="V50" s="938"/>
      <c r="W50" s="938"/>
      <c r="X50" s="938"/>
      <c r="Y50" s="938"/>
      <c r="Z50" s="938"/>
      <c r="AA50" s="938"/>
      <c r="AB50" s="938"/>
      <c r="AC50" s="938"/>
      <c r="AD50" s="938"/>
      <c r="AE50" s="938"/>
      <c r="AF50" s="938"/>
      <c r="AG50" s="938"/>
      <c r="AH50" s="938"/>
      <c r="AI50" s="938"/>
      <c r="AJ50" s="938"/>
      <c r="AK50" s="938"/>
      <c r="AL50" s="938"/>
      <c r="AM50" s="938"/>
      <c r="AN50" s="938"/>
      <c r="AO50" s="938"/>
      <c r="AP50" s="938"/>
      <c r="AQ50" s="938"/>
      <c r="AR50" s="938"/>
      <c r="AS50" s="938"/>
      <c r="AT50" s="938"/>
      <c r="AU50" s="938"/>
      <c r="AV50" s="938"/>
      <c r="AW50" s="938"/>
      <c r="AX50" s="938"/>
      <c r="AY50" s="938"/>
      <c r="AZ50" s="938"/>
      <c r="BA50" s="938"/>
      <c r="BB50" s="938"/>
      <c r="BC50" s="938"/>
      <c r="BD50" s="938"/>
      <c r="BE50" s="938"/>
      <c r="BF50" s="938"/>
      <c r="BG50" s="938"/>
      <c r="BH50" s="938"/>
      <c r="BI50" s="938"/>
      <c r="BJ50" s="938"/>
      <c r="BK50" s="938"/>
      <c r="BL50" s="938"/>
      <c r="BM50" s="938"/>
      <c r="BN50" s="938"/>
      <c r="BO50" s="938"/>
      <c r="BP50" s="938"/>
      <c r="BQ50" s="938"/>
      <c r="BR50" s="938"/>
      <c r="BS50" s="938"/>
      <c r="BT50" s="938"/>
    </row>
    <row r="51" spans="1:72" x14ac:dyDescent="0.25">
      <c r="B51" s="958"/>
      <c r="C51" s="956"/>
      <c r="D51" s="956"/>
      <c r="E51" s="956"/>
      <c r="F51" s="956"/>
      <c r="G51" s="956"/>
      <c r="H51" s="956"/>
      <c r="I51" s="956"/>
      <c r="J51" s="956"/>
      <c r="K51" s="957"/>
      <c r="L51" s="938"/>
      <c r="M51" s="938"/>
      <c r="N51" s="938"/>
      <c r="O51" s="938"/>
      <c r="P51" s="938"/>
      <c r="Q51" s="938"/>
      <c r="R51" s="938"/>
      <c r="S51" s="938"/>
      <c r="T51" s="938"/>
      <c r="U51" s="938"/>
      <c r="V51" s="938"/>
      <c r="W51" s="938"/>
      <c r="X51" s="938"/>
      <c r="Y51" s="938"/>
      <c r="Z51" s="938"/>
      <c r="AA51" s="938"/>
      <c r="AB51" s="938"/>
      <c r="AC51" s="938"/>
      <c r="AD51" s="938"/>
      <c r="AE51" s="938"/>
      <c r="AF51" s="938"/>
      <c r="AG51" s="938"/>
      <c r="AH51" s="938"/>
      <c r="AI51" s="938"/>
      <c r="AJ51" s="938"/>
      <c r="AK51" s="938"/>
      <c r="AL51" s="938"/>
      <c r="AM51" s="938"/>
      <c r="AN51" s="938"/>
      <c r="AO51" s="938"/>
      <c r="AP51" s="938"/>
      <c r="AQ51" s="938"/>
      <c r="AR51" s="938"/>
      <c r="AS51" s="938"/>
      <c r="AT51" s="938"/>
      <c r="AU51" s="938"/>
      <c r="AV51" s="938"/>
      <c r="AW51" s="938"/>
      <c r="AX51" s="938"/>
      <c r="AY51" s="938"/>
      <c r="AZ51" s="938"/>
      <c r="BA51" s="938"/>
      <c r="BB51" s="938"/>
      <c r="BC51" s="938"/>
      <c r="BD51" s="938"/>
      <c r="BE51" s="938"/>
      <c r="BF51" s="938"/>
      <c r="BG51" s="938"/>
      <c r="BH51" s="938"/>
      <c r="BI51" s="938"/>
      <c r="BJ51" s="938"/>
      <c r="BK51" s="938"/>
      <c r="BL51" s="938"/>
      <c r="BM51" s="938"/>
      <c r="BN51" s="938"/>
      <c r="BO51" s="938"/>
      <c r="BP51" s="938"/>
      <c r="BQ51" s="938"/>
      <c r="BR51" s="938"/>
      <c r="BS51" s="938"/>
      <c r="BT51" s="938"/>
    </row>
    <row r="52" spans="1:72" x14ac:dyDescent="0.25">
      <c r="A52" s="955" t="s">
        <v>762</v>
      </c>
      <c r="B52" s="956"/>
      <c r="C52" s="956"/>
      <c r="D52" s="956"/>
      <c r="E52" s="956"/>
      <c r="F52" s="956"/>
      <c r="G52" s="956"/>
      <c r="H52" s="956"/>
      <c r="I52" s="956"/>
      <c r="J52" s="956"/>
      <c r="K52" s="957"/>
      <c r="L52" s="938"/>
      <c r="M52" s="938"/>
      <c r="N52" s="938"/>
      <c r="O52" s="938"/>
      <c r="P52" s="938"/>
      <c r="Q52" s="938"/>
      <c r="R52" s="938"/>
      <c r="S52" s="938"/>
      <c r="T52" s="938"/>
      <c r="U52" s="938"/>
      <c r="V52" s="938"/>
      <c r="W52" s="938"/>
      <c r="X52" s="938"/>
      <c r="Y52" s="938"/>
      <c r="Z52" s="938"/>
      <c r="AA52" s="938"/>
      <c r="AB52" s="938"/>
      <c r="AC52" s="938"/>
      <c r="AD52" s="938"/>
      <c r="AE52" s="938"/>
      <c r="AF52" s="938"/>
      <c r="AG52" s="938"/>
      <c r="AH52" s="938"/>
      <c r="AI52" s="938"/>
      <c r="AJ52" s="938"/>
      <c r="AK52" s="938"/>
      <c r="AL52" s="938"/>
      <c r="AM52" s="938"/>
      <c r="AN52" s="938"/>
      <c r="AO52" s="938"/>
      <c r="AP52" s="938"/>
      <c r="AQ52" s="938"/>
      <c r="AR52" s="938"/>
      <c r="AS52" s="938"/>
      <c r="AT52" s="938"/>
      <c r="AU52" s="938"/>
      <c r="AV52" s="938"/>
      <c r="AW52" s="938"/>
      <c r="AX52" s="938"/>
      <c r="AY52" s="938"/>
      <c r="AZ52" s="938"/>
      <c r="BA52" s="938"/>
      <c r="BB52" s="938"/>
      <c r="BC52" s="938"/>
      <c r="BD52" s="938"/>
      <c r="BE52" s="938"/>
      <c r="BF52" s="938"/>
      <c r="BG52" s="938"/>
      <c r="BH52" s="938"/>
      <c r="BI52" s="938"/>
      <c r="BJ52" s="938"/>
      <c r="BK52" s="938"/>
      <c r="BL52" s="938"/>
      <c r="BM52" s="938"/>
      <c r="BN52" s="938"/>
      <c r="BO52" s="938"/>
      <c r="BP52" s="938"/>
      <c r="BQ52" s="938"/>
      <c r="BR52" s="938"/>
      <c r="BS52" s="938"/>
      <c r="BT52" s="938"/>
    </row>
    <row r="53" spans="1:72" x14ac:dyDescent="0.25">
      <c r="A53" s="1676" t="s">
        <v>763</v>
      </c>
      <c r="B53" s="1659"/>
      <c r="C53" s="1659"/>
      <c r="D53" s="1659"/>
      <c r="E53" s="1659"/>
      <c r="F53" s="1659"/>
      <c r="G53" s="1659"/>
      <c r="H53" s="1659"/>
      <c r="I53" s="1659"/>
      <c r="J53" s="1659"/>
      <c r="K53" s="1677"/>
      <c r="L53" s="938"/>
      <c r="M53" s="938"/>
      <c r="N53" s="938"/>
      <c r="O53" s="938"/>
      <c r="P53" s="938"/>
      <c r="Q53" s="938"/>
      <c r="R53" s="938"/>
      <c r="S53" s="938"/>
      <c r="T53" s="938"/>
      <c r="U53" s="938"/>
      <c r="V53" s="938"/>
      <c r="W53" s="938"/>
      <c r="X53" s="938"/>
      <c r="Y53" s="938"/>
      <c r="Z53" s="938"/>
      <c r="AA53" s="938"/>
      <c r="AB53" s="938"/>
      <c r="AC53" s="938"/>
      <c r="AD53" s="938"/>
      <c r="AE53" s="938"/>
      <c r="AF53" s="938"/>
      <c r="AG53" s="938"/>
      <c r="AH53" s="938"/>
      <c r="AI53" s="938"/>
      <c r="AJ53" s="938"/>
      <c r="AK53" s="938"/>
      <c r="AL53" s="938"/>
      <c r="AM53" s="938"/>
      <c r="AN53" s="938"/>
      <c r="AO53" s="938"/>
      <c r="AP53" s="938"/>
      <c r="AQ53" s="938"/>
      <c r="AR53" s="938"/>
      <c r="AS53" s="938"/>
      <c r="AT53" s="938"/>
      <c r="AU53" s="938"/>
      <c r="AV53" s="938"/>
      <c r="AW53" s="938"/>
      <c r="AX53" s="938"/>
      <c r="AY53" s="938"/>
      <c r="AZ53" s="938"/>
      <c r="BA53" s="938"/>
      <c r="BB53" s="938"/>
      <c r="BC53" s="938"/>
      <c r="BD53" s="938"/>
      <c r="BE53" s="938"/>
      <c r="BF53" s="938"/>
      <c r="BG53" s="938"/>
      <c r="BH53" s="938"/>
      <c r="BI53" s="938"/>
      <c r="BJ53" s="938"/>
      <c r="BK53" s="938"/>
      <c r="BL53" s="938"/>
      <c r="BM53" s="938"/>
      <c r="BN53" s="938"/>
      <c r="BO53" s="938"/>
      <c r="BP53" s="938"/>
      <c r="BQ53" s="938"/>
      <c r="BR53" s="938"/>
      <c r="BS53" s="938"/>
      <c r="BT53" s="938"/>
    </row>
    <row r="54" spans="1:72" x14ac:dyDescent="0.25">
      <c r="A54" s="1678" t="s">
        <v>320</v>
      </c>
      <c r="B54" s="1679"/>
      <c r="C54" s="1679"/>
      <c r="D54" s="1679"/>
      <c r="E54" s="1679"/>
      <c r="F54" s="1679"/>
      <c r="G54" s="1679"/>
      <c r="H54" s="1679"/>
      <c r="I54" s="1679"/>
      <c r="J54" s="1679"/>
      <c r="K54" s="1680"/>
      <c r="L54" s="938"/>
      <c r="M54" s="938"/>
      <c r="N54" s="938"/>
      <c r="O54" s="938"/>
      <c r="P54" s="938"/>
      <c r="Q54" s="938"/>
      <c r="R54" s="938"/>
      <c r="S54" s="938"/>
      <c r="T54" s="938"/>
      <c r="U54" s="938"/>
      <c r="V54" s="938"/>
      <c r="W54" s="938"/>
      <c r="X54" s="938"/>
      <c r="Y54" s="938"/>
      <c r="Z54" s="938"/>
      <c r="AA54" s="938"/>
      <c r="AB54" s="938"/>
      <c r="AC54" s="938"/>
      <c r="AD54" s="938"/>
      <c r="AE54" s="938"/>
      <c r="AF54" s="938"/>
      <c r="AG54" s="938"/>
      <c r="AH54" s="938"/>
      <c r="AI54" s="938"/>
      <c r="AJ54" s="938"/>
      <c r="AK54" s="938"/>
      <c r="AL54" s="938"/>
      <c r="AM54" s="938"/>
      <c r="AN54" s="938"/>
      <c r="AO54" s="938"/>
      <c r="AP54" s="938"/>
      <c r="AQ54" s="938"/>
      <c r="AR54" s="938"/>
      <c r="AS54" s="938"/>
      <c r="AT54" s="938"/>
      <c r="AU54" s="938"/>
      <c r="AV54" s="938"/>
      <c r="AW54" s="938"/>
      <c r="AX54" s="938"/>
      <c r="AY54" s="938"/>
      <c r="AZ54" s="938"/>
      <c r="BA54" s="938"/>
      <c r="BB54" s="938"/>
      <c r="BC54" s="938"/>
      <c r="BD54" s="938"/>
      <c r="BE54" s="938"/>
      <c r="BF54" s="938"/>
      <c r="BG54" s="938"/>
      <c r="BH54" s="938"/>
      <c r="BI54" s="938"/>
      <c r="BJ54" s="938"/>
      <c r="BK54" s="938"/>
      <c r="BL54" s="938"/>
      <c r="BM54" s="938"/>
      <c r="BN54" s="938"/>
      <c r="BO54" s="938"/>
      <c r="BP54" s="938"/>
      <c r="BQ54" s="938"/>
      <c r="BR54" s="938"/>
      <c r="BS54" s="938"/>
      <c r="BT54" s="938"/>
    </row>
    <row r="55" spans="1:72" x14ac:dyDescent="0.25">
      <c r="A55" s="1678"/>
      <c r="B55" s="1679"/>
      <c r="C55" s="1679"/>
      <c r="D55" s="1679"/>
      <c r="E55" s="1679"/>
      <c r="F55" s="1679"/>
      <c r="G55" s="1679"/>
      <c r="H55" s="1679"/>
      <c r="I55" s="1679"/>
      <c r="J55" s="1679"/>
      <c r="K55" s="1680"/>
      <c r="L55" s="938"/>
      <c r="M55" s="938"/>
      <c r="N55" s="938"/>
      <c r="O55" s="938"/>
      <c r="P55" s="938"/>
      <c r="Q55" s="938"/>
      <c r="R55" s="938"/>
      <c r="S55" s="938"/>
      <c r="T55" s="938"/>
      <c r="U55" s="938"/>
      <c r="V55" s="938"/>
      <c r="W55" s="938"/>
      <c r="X55" s="938"/>
      <c r="Y55" s="938"/>
      <c r="Z55" s="938"/>
      <c r="AA55" s="938"/>
      <c r="AB55" s="938"/>
      <c r="AC55" s="938"/>
      <c r="AD55" s="938"/>
      <c r="AE55" s="938"/>
      <c r="AF55" s="938"/>
      <c r="AG55" s="938"/>
      <c r="AH55" s="938"/>
      <c r="AI55" s="938"/>
      <c r="AJ55" s="938"/>
      <c r="AK55" s="938"/>
      <c r="AL55" s="938"/>
      <c r="AM55" s="938"/>
      <c r="AN55" s="938"/>
      <c r="AO55" s="938"/>
      <c r="AP55" s="938"/>
      <c r="AQ55" s="938"/>
      <c r="AR55" s="938"/>
      <c r="AS55" s="938"/>
      <c r="AT55" s="938"/>
      <c r="AU55" s="938"/>
      <c r="AV55" s="938"/>
      <c r="AW55" s="938"/>
      <c r="AX55" s="938"/>
      <c r="AY55" s="938"/>
      <c r="AZ55" s="938"/>
      <c r="BA55" s="938"/>
      <c r="BB55" s="938"/>
      <c r="BC55" s="938"/>
      <c r="BD55" s="938"/>
      <c r="BE55" s="938"/>
      <c r="BF55" s="938"/>
      <c r="BG55" s="938"/>
      <c r="BH55" s="938"/>
      <c r="BI55" s="938"/>
      <c r="BJ55" s="938"/>
      <c r="BK55" s="938"/>
      <c r="BL55" s="938"/>
      <c r="BM55" s="938"/>
      <c r="BN55" s="938"/>
      <c r="BO55" s="938"/>
      <c r="BP55" s="938"/>
      <c r="BQ55" s="938"/>
      <c r="BR55" s="938"/>
      <c r="BS55" s="938"/>
      <c r="BT55" s="938"/>
    </row>
    <row r="56" spans="1:72" ht="13" thickBot="1" x14ac:dyDescent="0.3">
      <c r="A56" s="1669" t="s">
        <v>764</v>
      </c>
      <c r="B56" s="1670"/>
      <c r="C56" s="1670"/>
      <c r="D56" s="1670"/>
      <c r="E56" s="1670"/>
      <c r="F56" s="1670"/>
      <c r="G56" s="1670"/>
      <c r="H56" s="1670"/>
      <c r="I56" s="1670"/>
      <c r="J56" s="1670"/>
      <c r="K56" s="1671"/>
      <c r="L56" s="938"/>
      <c r="M56" s="938"/>
      <c r="N56" s="938"/>
      <c r="O56" s="938"/>
      <c r="P56" s="938"/>
      <c r="Q56" s="938"/>
      <c r="R56" s="938"/>
      <c r="S56" s="938"/>
      <c r="T56" s="938"/>
      <c r="U56" s="938"/>
      <c r="V56" s="938"/>
      <c r="W56" s="938"/>
      <c r="X56" s="938"/>
      <c r="Y56" s="938"/>
      <c r="Z56" s="938"/>
      <c r="AA56" s="938"/>
      <c r="AB56" s="938"/>
      <c r="AC56" s="938"/>
      <c r="AD56" s="938"/>
      <c r="AE56" s="938"/>
      <c r="AF56" s="938"/>
      <c r="AG56" s="938"/>
      <c r="AH56" s="938"/>
      <c r="AI56" s="938"/>
      <c r="AJ56" s="938"/>
      <c r="AK56" s="938"/>
      <c r="AL56" s="938"/>
      <c r="AM56" s="938"/>
      <c r="AN56" s="938"/>
      <c r="AO56" s="938"/>
      <c r="AP56" s="938"/>
      <c r="AQ56" s="938"/>
      <c r="AR56" s="938"/>
      <c r="AS56" s="938"/>
      <c r="AT56" s="938"/>
      <c r="AU56" s="938"/>
      <c r="AV56" s="938"/>
      <c r="AW56" s="938"/>
      <c r="AX56" s="938"/>
      <c r="AY56" s="938"/>
      <c r="AZ56" s="938"/>
      <c r="BA56" s="938"/>
      <c r="BB56" s="938"/>
      <c r="BC56" s="938"/>
      <c r="BD56" s="938"/>
      <c r="BE56" s="938"/>
      <c r="BF56" s="938"/>
      <c r="BG56" s="938"/>
      <c r="BH56" s="938"/>
      <c r="BI56" s="938"/>
      <c r="BJ56" s="938"/>
      <c r="BK56" s="938"/>
      <c r="BL56" s="938"/>
      <c r="BM56" s="938"/>
      <c r="BN56" s="938"/>
      <c r="BO56" s="938"/>
      <c r="BP56" s="938"/>
      <c r="BQ56" s="938"/>
      <c r="BR56" s="938"/>
      <c r="BS56" s="938"/>
      <c r="BT56" s="938"/>
    </row>
    <row r="57" spans="1:72" x14ac:dyDescent="0.25">
      <c r="A57" s="954"/>
      <c r="B57" s="954"/>
      <c r="C57" s="954"/>
      <c r="D57" s="954"/>
      <c r="E57" s="954"/>
      <c r="F57" s="954"/>
      <c r="G57" s="954"/>
      <c r="H57" s="954"/>
      <c r="I57" s="954"/>
      <c r="J57" s="954"/>
      <c r="K57" s="954"/>
      <c r="L57" s="938"/>
      <c r="M57" s="938"/>
      <c r="N57" s="938"/>
      <c r="O57" s="938"/>
      <c r="P57" s="938"/>
      <c r="Q57" s="938"/>
      <c r="R57" s="938"/>
      <c r="S57" s="938"/>
      <c r="T57" s="938"/>
      <c r="U57" s="938"/>
      <c r="V57" s="938"/>
      <c r="W57" s="938"/>
      <c r="X57" s="938"/>
      <c r="Y57" s="938"/>
      <c r="Z57" s="938"/>
      <c r="AA57" s="938"/>
      <c r="AB57" s="938"/>
      <c r="AC57" s="938"/>
      <c r="AD57" s="938"/>
      <c r="AE57" s="938"/>
      <c r="AF57" s="938"/>
      <c r="AG57" s="938"/>
      <c r="AH57" s="938"/>
      <c r="AI57" s="938"/>
      <c r="AJ57" s="938"/>
      <c r="AK57" s="938"/>
      <c r="AL57" s="938"/>
      <c r="AM57" s="938"/>
      <c r="AN57" s="938"/>
      <c r="AO57" s="938"/>
      <c r="AP57" s="938"/>
      <c r="AQ57" s="938"/>
      <c r="AR57" s="938"/>
      <c r="AS57" s="938"/>
      <c r="AT57" s="938"/>
      <c r="AU57" s="938"/>
      <c r="AV57" s="938"/>
      <c r="AW57" s="938"/>
      <c r="AX57" s="938"/>
      <c r="AY57" s="938"/>
      <c r="AZ57" s="938"/>
      <c r="BA57" s="938"/>
      <c r="BB57" s="938"/>
      <c r="BC57" s="938"/>
      <c r="BD57" s="938"/>
      <c r="BE57" s="938"/>
      <c r="BF57" s="938"/>
      <c r="BG57" s="938"/>
      <c r="BH57" s="938"/>
      <c r="BI57" s="938"/>
      <c r="BJ57" s="938"/>
      <c r="BK57" s="938"/>
      <c r="BL57" s="938"/>
      <c r="BM57" s="938"/>
      <c r="BN57" s="938"/>
      <c r="BO57" s="938"/>
      <c r="BP57" s="938"/>
      <c r="BQ57" s="938"/>
      <c r="BR57" s="938"/>
      <c r="BS57" s="938"/>
      <c r="BT57" s="938"/>
    </row>
    <row r="58" spans="1:72" x14ac:dyDescent="0.25">
      <c r="A58" s="938" t="s">
        <v>767</v>
      </c>
      <c r="B58" s="938"/>
      <c r="C58" s="938"/>
      <c r="D58" s="938"/>
      <c r="E58" s="938"/>
      <c r="F58" s="938"/>
      <c r="G58" s="938"/>
      <c r="H58" s="938"/>
      <c r="I58" s="938"/>
      <c r="J58" s="938"/>
      <c r="K58" s="938"/>
      <c r="L58" s="938"/>
      <c r="M58" s="938"/>
      <c r="N58" s="938"/>
      <c r="O58" s="938"/>
      <c r="P58" s="938"/>
      <c r="Q58" s="938"/>
      <c r="R58" s="938"/>
      <c r="S58" s="938"/>
      <c r="T58" s="938"/>
      <c r="U58" s="938"/>
      <c r="V58" s="938"/>
      <c r="W58" s="938"/>
      <c r="X58" s="938"/>
      <c r="Y58" s="938"/>
      <c r="Z58" s="938"/>
      <c r="AA58" s="938"/>
      <c r="AB58" s="938"/>
      <c r="AC58" s="938"/>
      <c r="AD58" s="938"/>
      <c r="AE58" s="938"/>
      <c r="AF58" s="938"/>
      <c r="AG58" s="938"/>
      <c r="AH58" s="938"/>
      <c r="AI58" s="938"/>
      <c r="AJ58" s="938"/>
      <c r="AK58" s="938"/>
      <c r="AL58" s="938"/>
      <c r="AM58" s="938"/>
      <c r="AN58" s="938"/>
      <c r="AO58" s="938"/>
      <c r="AP58" s="938"/>
      <c r="AQ58" s="938"/>
      <c r="AR58" s="938"/>
      <c r="AS58" s="938"/>
      <c r="AT58" s="938"/>
      <c r="AU58" s="938"/>
      <c r="AV58" s="938"/>
      <c r="AW58" s="938"/>
      <c r="AX58" s="938"/>
      <c r="AY58" s="938"/>
      <c r="AZ58" s="938"/>
      <c r="BA58" s="938"/>
      <c r="BB58" s="938"/>
      <c r="BC58" s="938"/>
      <c r="BD58" s="938"/>
      <c r="BE58" s="938"/>
      <c r="BF58" s="938"/>
      <c r="BG58" s="938"/>
      <c r="BH58" s="938"/>
      <c r="BI58" s="938"/>
      <c r="BJ58" s="938"/>
      <c r="BK58" s="938"/>
      <c r="BL58" s="938"/>
      <c r="BM58" s="938"/>
      <c r="BN58" s="938"/>
      <c r="BO58" s="938"/>
      <c r="BP58" s="938"/>
      <c r="BQ58" s="938"/>
      <c r="BR58" s="938"/>
      <c r="BS58" s="938"/>
      <c r="BT58" s="938"/>
    </row>
    <row r="59" spans="1:72" x14ac:dyDescent="0.25">
      <c r="A59" s="938" t="s">
        <v>766</v>
      </c>
      <c r="B59" s="938">
        <v>19022</v>
      </c>
      <c r="C59" s="938"/>
      <c r="D59" s="938"/>
      <c r="E59" s="938"/>
      <c r="F59" s="938"/>
      <c r="G59" s="938"/>
      <c r="H59" s="938"/>
      <c r="I59" s="938"/>
      <c r="J59" s="938"/>
      <c r="K59" s="938"/>
      <c r="L59" s="938"/>
      <c r="M59" s="938"/>
      <c r="N59" s="938"/>
      <c r="O59" s="938"/>
      <c r="P59" s="938"/>
      <c r="Q59" s="938"/>
      <c r="R59" s="938"/>
      <c r="S59" s="938"/>
      <c r="T59" s="938"/>
      <c r="U59" s="938"/>
      <c r="V59" s="938"/>
      <c r="W59" s="938"/>
      <c r="X59" s="938"/>
      <c r="Y59" s="938"/>
      <c r="Z59" s="938"/>
      <c r="AA59" s="938"/>
      <c r="AB59" s="938"/>
      <c r="AC59" s="938"/>
      <c r="AD59" s="938"/>
      <c r="AE59" s="938"/>
      <c r="AF59" s="938"/>
      <c r="AG59" s="938"/>
      <c r="AH59" s="938"/>
      <c r="AI59" s="938"/>
      <c r="AJ59" s="938"/>
      <c r="AK59" s="938"/>
      <c r="AL59" s="938"/>
      <c r="AM59" s="938"/>
      <c r="AN59" s="938"/>
      <c r="AO59" s="938"/>
      <c r="AP59" s="938"/>
      <c r="AQ59" s="938"/>
      <c r="AR59" s="938"/>
      <c r="AS59" s="938"/>
      <c r="AT59" s="938"/>
      <c r="AU59" s="938"/>
      <c r="AV59" s="938"/>
      <c r="AW59" s="938"/>
      <c r="AX59" s="938"/>
      <c r="AY59" s="938"/>
      <c r="AZ59" s="938"/>
      <c r="BA59" s="938"/>
      <c r="BB59" s="938"/>
      <c r="BC59" s="938"/>
      <c r="BD59" s="938"/>
      <c r="BE59" s="938"/>
      <c r="BF59" s="938"/>
      <c r="BG59" s="938"/>
      <c r="BH59" s="938"/>
      <c r="BI59" s="938"/>
      <c r="BJ59" s="938"/>
      <c r="BK59" s="938"/>
      <c r="BL59" s="938"/>
      <c r="BM59" s="938"/>
      <c r="BN59" s="938"/>
      <c r="BO59" s="938"/>
      <c r="BP59" s="938"/>
      <c r="BQ59" s="938"/>
      <c r="BR59" s="938"/>
      <c r="BS59" s="938"/>
      <c r="BT59" s="938"/>
    </row>
    <row r="60" spans="1:72" x14ac:dyDescent="0.25">
      <c r="A60" s="938" t="s">
        <v>765</v>
      </c>
      <c r="B60" s="938">
        <v>17700</v>
      </c>
      <c r="C60" s="938"/>
      <c r="D60" s="938"/>
      <c r="E60" s="938"/>
      <c r="F60" s="938"/>
      <c r="G60" s="938"/>
      <c r="H60" s="938"/>
      <c r="I60" s="938"/>
      <c r="J60" s="938"/>
      <c r="K60" s="938"/>
      <c r="L60" s="938"/>
      <c r="M60" s="938"/>
      <c r="N60" s="938"/>
      <c r="O60" s="938"/>
      <c r="P60" s="938"/>
      <c r="Q60" s="938"/>
      <c r="R60" s="938"/>
      <c r="S60" s="938"/>
      <c r="T60" s="938"/>
      <c r="U60" s="938"/>
      <c r="V60" s="938"/>
      <c r="W60" s="938"/>
      <c r="X60" s="938"/>
      <c r="Y60" s="938"/>
      <c r="Z60" s="938"/>
      <c r="AA60" s="938"/>
      <c r="AB60" s="938"/>
      <c r="AC60" s="938"/>
      <c r="AD60" s="938"/>
      <c r="AE60" s="938"/>
      <c r="AF60" s="938"/>
      <c r="AG60" s="938"/>
      <c r="AH60" s="938"/>
      <c r="AI60" s="938"/>
      <c r="AJ60" s="938"/>
      <c r="AK60" s="938"/>
      <c r="AL60" s="938"/>
      <c r="AM60" s="938"/>
      <c r="AN60" s="938"/>
      <c r="AO60" s="938"/>
      <c r="AP60" s="938"/>
      <c r="AQ60" s="938"/>
      <c r="AR60" s="938"/>
      <c r="AS60" s="938"/>
      <c r="AT60" s="938"/>
      <c r="AU60" s="938"/>
      <c r="AV60" s="938"/>
      <c r="AW60" s="938"/>
      <c r="AX60" s="938"/>
      <c r="AY60" s="938"/>
      <c r="AZ60" s="938"/>
      <c r="BA60" s="938"/>
      <c r="BB60" s="938"/>
      <c r="BC60" s="938"/>
      <c r="BD60" s="938"/>
      <c r="BE60" s="938"/>
      <c r="BF60" s="938"/>
      <c r="BG60" s="938"/>
      <c r="BH60" s="938"/>
      <c r="BI60" s="938"/>
      <c r="BJ60" s="938"/>
      <c r="BK60" s="938"/>
      <c r="BL60" s="938"/>
      <c r="BM60" s="938"/>
      <c r="BN60" s="938"/>
      <c r="BO60" s="938"/>
      <c r="BP60" s="938"/>
      <c r="BQ60" s="938"/>
      <c r="BR60" s="938"/>
      <c r="BS60" s="938"/>
      <c r="BT60" s="938"/>
    </row>
    <row r="61" spans="1:72" x14ac:dyDescent="0.25">
      <c r="A61" s="938" t="s">
        <v>768</v>
      </c>
      <c r="B61" s="938">
        <f>2.205/2000/B60*mmBTU_to_GJ*1000000</f>
        <v>6.5713983050847455E-2</v>
      </c>
      <c r="C61" s="938"/>
      <c r="D61" s="938"/>
      <c r="E61" s="938"/>
      <c r="F61" s="938"/>
      <c r="G61" s="938"/>
      <c r="H61" s="938"/>
      <c r="I61" s="938"/>
      <c r="J61" s="938"/>
      <c r="K61" s="938"/>
      <c r="L61" s="938"/>
      <c r="M61" s="938"/>
      <c r="N61" s="938"/>
      <c r="O61" s="938"/>
      <c r="P61" s="938"/>
      <c r="Q61" s="938"/>
      <c r="R61" s="938"/>
      <c r="S61" s="938"/>
      <c r="T61" s="938"/>
      <c r="U61" s="938"/>
      <c r="V61" s="938"/>
      <c r="W61" s="938"/>
      <c r="X61" s="938"/>
      <c r="Y61" s="938"/>
      <c r="Z61" s="938"/>
      <c r="AA61" s="938"/>
      <c r="AB61" s="938"/>
      <c r="AC61" s="938"/>
      <c r="AD61" s="938"/>
      <c r="AE61" s="938"/>
      <c r="AF61" s="938"/>
      <c r="AG61" s="938"/>
      <c r="AH61" s="938"/>
      <c r="AI61" s="938"/>
      <c r="AJ61" s="938"/>
      <c r="AK61" s="938"/>
      <c r="AL61" s="938"/>
      <c r="AM61" s="938"/>
      <c r="AN61" s="938"/>
      <c r="AO61" s="938"/>
      <c r="AP61" s="938"/>
      <c r="AQ61" s="938"/>
      <c r="AR61" s="938"/>
      <c r="AS61" s="938"/>
      <c r="AT61" s="938"/>
      <c r="AU61" s="938"/>
      <c r="AV61" s="938"/>
      <c r="AW61" s="938"/>
      <c r="AX61" s="938"/>
      <c r="AY61" s="938"/>
      <c r="AZ61" s="938"/>
      <c r="BA61" s="938"/>
      <c r="BB61" s="938"/>
      <c r="BC61" s="938"/>
      <c r="BD61" s="938"/>
      <c r="BE61" s="938"/>
      <c r="BF61" s="938"/>
      <c r="BG61" s="938"/>
      <c r="BH61" s="938"/>
      <c r="BI61" s="938"/>
      <c r="BJ61" s="938"/>
      <c r="BK61" s="938"/>
      <c r="BL61" s="938"/>
      <c r="BM61" s="938"/>
      <c r="BN61" s="938"/>
      <c r="BO61" s="938"/>
      <c r="BP61" s="938"/>
      <c r="BQ61" s="938"/>
      <c r="BR61" s="938"/>
      <c r="BS61" s="938"/>
      <c r="BT61" s="938"/>
    </row>
    <row r="62" spans="1:72" x14ac:dyDescent="0.25">
      <c r="A62" s="938"/>
      <c r="B62" s="938"/>
      <c r="C62" s="938"/>
      <c r="D62" s="938"/>
      <c r="E62" s="938"/>
      <c r="F62" s="938"/>
      <c r="G62" s="938"/>
      <c r="H62" s="938"/>
      <c r="I62" s="938"/>
      <c r="J62" s="938"/>
      <c r="K62" s="938"/>
      <c r="L62" s="938"/>
      <c r="M62" s="938"/>
      <c r="N62" s="938"/>
      <c r="O62" s="938"/>
      <c r="P62" s="938"/>
      <c r="Q62" s="938"/>
      <c r="R62" s="938"/>
      <c r="S62" s="938"/>
      <c r="T62" s="938"/>
      <c r="U62" s="938"/>
      <c r="V62" s="938"/>
      <c r="W62" s="938"/>
      <c r="X62" s="938"/>
      <c r="Y62" s="938"/>
      <c r="Z62" s="938"/>
      <c r="AA62" s="938"/>
      <c r="AB62" s="938"/>
      <c r="AC62" s="938"/>
      <c r="AD62" s="938"/>
      <c r="AE62" s="938"/>
      <c r="AF62" s="938"/>
      <c r="AG62" s="938"/>
      <c r="AH62" s="938"/>
      <c r="AI62" s="938"/>
      <c r="AJ62" s="938"/>
      <c r="AK62" s="938"/>
      <c r="AL62" s="938"/>
      <c r="AM62" s="938"/>
      <c r="AN62" s="938"/>
      <c r="AO62" s="938"/>
      <c r="AP62" s="938"/>
      <c r="AQ62" s="938"/>
      <c r="AR62" s="938"/>
      <c r="AS62" s="938"/>
      <c r="AT62" s="938"/>
      <c r="AU62" s="938"/>
      <c r="AV62" s="938"/>
      <c r="AW62" s="938"/>
      <c r="AX62" s="938"/>
      <c r="AY62" s="938"/>
      <c r="AZ62" s="938"/>
      <c r="BA62" s="938"/>
      <c r="BB62" s="938"/>
      <c r="BC62" s="938"/>
      <c r="BD62" s="938"/>
      <c r="BE62" s="938"/>
      <c r="BF62" s="938"/>
      <c r="BG62" s="938"/>
      <c r="BH62" s="938"/>
      <c r="BI62" s="938"/>
      <c r="BJ62" s="938"/>
      <c r="BK62" s="938"/>
      <c r="BL62" s="938"/>
      <c r="BM62" s="938"/>
      <c r="BN62" s="938"/>
      <c r="BO62" s="938"/>
      <c r="BP62" s="938"/>
      <c r="BQ62" s="938"/>
      <c r="BR62" s="938"/>
      <c r="BS62" s="938"/>
      <c r="BT62" s="938"/>
    </row>
    <row r="63" spans="1:72" x14ac:dyDescent="0.25">
      <c r="A63" s="938"/>
      <c r="B63" s="938"/>
      <c r="C63" s="938"/>
      <c r="D63" s="938"/>
      <c r="E63" s="938"/>
      <c r="F63" s="938"/>
      <c r="G63" s="938"/>
      <c r="H63" s="938"/>
      <c r="I63" s="938"/>
      <c r="J63" s="938"/>
      <c r="K63" s="938"/>
      <c r="L63" s="938"/>
      <c r="M63" s="938"/>
      <c r="N63" s="938"/>
      <c r="O63" s="938"/>
      <c r="P63" s="938"/>
      <c r="Q63" s="938"/>
      <c r="R63" s="938"/>
      <c r="S63" s="938"/>
      <c r="T63" s="938"/>
      <c r="U63" s="938"/>
      <c r="V63" s="938"/>
      <c r="W63" s="938"/>
      <c r="X63" s="938"/>
      <c r="Y63" s="938"/>
      <c r="Z63" s="938"/>
      <c r="AA63" s="938"/>
      <c r="AB63" s="938"/>
      <c r="AC63" s="938"/>
      <c r="AD63" s="938"/>
      <c r="AE63" s="938"/>
      <c r="AF63" s="938"/>
      <c r="AG63" s="938"/>
      <c r="AH63" s="938"/>
      <c r="AI63" s="938"/>
      <c r="AJ63" s="938"/>
      <c r="AK63" s="938"/>
      <c r="AL63" s="938"/>
      <c r="AM63" s="938"/>
      <c r="AN63" s="938"/>
      <c r="AO63" s="938"/>
      <c r="AP63" s="938"/>
      <c r="AQ63" s="938"/>
      <c r="AR63" s="938"/>
      <c r="AS63" s="938"/>
      <c r="AT63" s="938"/>
      <c r="AU63" s="938"/>
      <c r="AV63" s="938"/>
      <c r="AW63" s="938"/>
      <c r="AX63" s="938"/>
      <c r="AY63" s="938"/>
      <c r="AZ63" s="938"/>
      <c r="BA63" s="938"/>
      <c r="BB63" s="938"/>
      <c r="BC63" s="938"/>
      <c r="BD63" s="938"/>
      <c r="BE63" s="938"/>
      <c r="BF63" s="938"/>
      <c r="BG63" s="938"/>
      <c r="BH63" s="938"/>
      <c r="BI63" s="938"/>
      <c r="BJ63" s="938"/>
      <c r="BK63" s="938"/>
      <c r="BL63" s="938"/>
      <c r="BM63" s="938"/>
      <c r="BN63" s="938"/>
      <c r="BO63" s="938"/>
      <c r="BP63" s="938"/>
      <c r="BQ63" s="938"/>
      <c r="BR63" s="938"/>
      <c r="BS63" s="938"/>
      <c r="BT63" s="938"/>
    </row>
    <row r="64" spans="1:72" x14ac:dyDescent="0.25">
      <c r="A64" s="938"/>
      <c r="B64" s="938" t="s">
        <v>774</v>
      </c>
      <c r="C64" s="938" t="s">
        <v>775</v>
      </c>
      <c r="D64" s="938"/>
      <c r="E64" s="938"/>
      <c r="F64" s="938"/>
      <c r="G64" s="938"/>
      <c r="H64" s="938"/>
      <c r="I64" s="938"/>
      <c r="J64" s="938"/>
      <c r="K64" s="938"/>
      <c r="L64" s="938"/>
      <c r="M64" s="938"/>
      <c r="N64" s="938"/>
      <c r="O64" s="938"/>
      <c r="P64" s="938"/>
      <c r="Q64" s="938"/>
      <c r="R64" s="938"/>
      <c r="S64" s="938"/>
      <c r="T64" s="938"/>
      <c r="U64" s="938"/>
      <c r="V64" s="938"/>
      <c r="W64" s="938"/>
      <c r="X64" s="938"/>
      <c r="Y64" s="938"/>
      <c r="Z64" s="938"/>
      <c r="AA64" s="938"/>
      <c r="AB64" s="938"/>
      <c r="AC64" s="938"/>
      <c r="AD64" s="938"/>
      <c r="AE64" s="938"/>
      <c r="AF64" s="938"/>
      <c r="AG64" s="938"/>
      <c r="AH64" s="938"/>
      <c r="AI64" s="938"/>
      <c r="AJ64" s="938"/>
      <c r="AK64" s="938"/>
      <c r="AL64" s="938"/>
      <c r="AM64" s="938"/>
      <c r="AN64" s="938"/>
      <c r="AO64" s="938"/>
      <c r="AP64" s="938"/>
      <c r="AQ64" s="938"/>
      <c r="AR64" s="938"/>
      <c r="AS64" s="938"/>
      <c r="AT64" s="938"/>
      <c r="AU64" s="938"/>
      <c r="AV64" s="938"/>
      <c r="AW64" s="938"/>
      <c r="AX64" s="938"/>
      <c r="AY64" s="938"/>
      <c r="AZ64" s="938"/>
      <c r="BA64" s="938"/>
      <c r="BB64" s="938"/>
      <c r="BC64" s="938"/>
      <c r="BD64" s="938"/>
      <c r="BE64" s="938"/>
      <c r="BF64" s="938"/>
      <c r="BG64" s="938"/>
      <c r="BH64" s="938"/>
      <c r="BI64" s="938"/>
      <c r="BJ64" s="938"/>
      <c r="BK64" s="938"/>
      <c r="BL64" s="938"/>
      <c r="BM64" s="938"/>
      <c r="BN64" s="938"/>
      <c r="BO64" s="938"/>
      <c r="BP64" s="938"/>
      <c r="BQ64" s="938"/>
      <c r="BR64" s="938"/>
      <c r="BS64" s="938"/>
      <c r="BT64" s="938"/>
    </row>
    <row r="65" spans="1:72" x14ac:dyDescent="0.25">
      <c r="A65" s="938"/>
      <c r="B65" s="938" t="s">
        <v>776</v>
      </c>
      <c r="C65" s="938" t="s">
        <v>777</v>
      </c>
      <c r="D65" s="938"/>
      <c r="E65" s="938"/>
      <c r="F65" s="938" t="s">
        <v>778</v>
      </c>
      <c r="G65" s="938"/>
      <c r="H65" s="938"/>
      <c r="I65" s="938"/>
      <c r="J65" s="938"/>
      <c r="K65" s="938"/>
      <c r="L65" s="938"/>
      <c r="M65" s="938"/>
      <c r="N65" s="938"/>
      <c r="O65" s="938"/>
      <c r="P65" s="938"/>
      <c r="Q65" s="938"/>
      <c r="R65" s="938"/>
      <c r="S65" s="938"/>
      <c r="T65" s="938"/>
      <c r="U65" s="938"/>
      <c r="V65" s="938"/>
      <c r="W65" s="938"/>
      <c r="X65" s="938"/>
      <c r="Y65" s="938"/>
      <c r="Z65" s="938"/>
      <c r="AA65" s="938"/>
      <c r="AB65" s="938"/>
      <c r="AC65" s="938"/>
      <c r="AD65" s="938"/>
      <c r="AE65" s="938"/>
      <c r="AF65" s="938"/>
      <c r="AG65" s="938"/>
      <c r="AH65" s="938"/>
      <c r="AI65" s="938"/>
      <c r="AJ65" s="938"/>
      <c r="AK65" s="938"/>
      <c r="AL65" s="938"/>
      <c r="AM65" s="938"/>
      <c r="AN65" s="938"/>
      <c r="AO65" s="938"/>
      <c r="AP65" s="938"/>
      <c r="AQ65" s="938"/>
      <c r="AR65" s="938"/>
      <c r="AS65" s="938"/>
      <c r="AT65" s="938"/>
      <c r="AU65" s="938"/>
      <c r="AV65" s="938"/>
      <c r="AW65" s="938"/>
      <c r="AX65" s="938"/>
      <c r="AY65" s="938"/>
      <c r="AZ65" s="938"/>
      <c r="BA65" s="938"/>
      <c r="BB65" s="938"/>
      <c r="BC65" s="938"/>
      <c r="BD65" s="938"/>
      <c r="BE65" s="938"/>
      <c r="BF65" s="938"/>
      <c r="BG65" s="938"/>
      <c r="BH65" s="938"/>
      <c r="BI65" s="938"/>
      <c r="BJ65" s="938"/>
      <c r="BK65" s="938"/>
      <c r="BL65" s="938"/>
      <c r="BM65" s="938"/>
      <c r="BN65" s="938"/>
      <c r="BO65" s="938"/>
      <c r="BP65" s="938"/>
      <c r="BQ65" s="938"/>
      <c r="BR65" s="938"/>
      <c r="BS65" s="938"/>
      <c r="BT65" s="938"/>
    </row>
    <row r="66" spans="1:72" x14ac:dyDescent="0.25">
      <c r="A66" s="938"/>
      <c r="B66" s="938" t="s">
        <v>779</v>
      </c>
      <c r="C66" s="938" t="s">
        <v>780</v>
      </c>
      <c r="D66" s="938"/>
      <c r="E66" s="938"/>
      <c r="F66" s="938"/>
      <c r="G66" s="938"/>
      <c r="H66" s="938"/>
      <c r="I66" s="938"/>
      <c r="J66" s="938"/>
      <c r="K66" s="938"/>
      <c r="L66" s="938"/>
      <c r="M66" s="938"/>
      <c r="N66" s="938"/>
      <c r="O66" s="938"/>
      <c r="P66" s="938"/>
      <c r="Q66" s="938"/>
      <c r="R66" s="938"/>
      <c r="S66" s="938"/>
      <c r="T66" s="938"/>
      <c r="U66" s="938"/>
      <c r="V66" s="938"/>
      <c r="W66" s="938"/>
      <c r="X66" s="938"/>
      <c r="Y66" s="938"/>
      <c r="Z66" s="938"/>
      <c r="AA66" s="938"/>
      <c r="AB66" s="938"/>
      <c r="AC66" s="938"/>
      <c r="AD66" s="938"/>
      <c r="AE66" s="938"/>
      <c r="AF66" s="938"/>
      <c r="AG66" s="938"/>
      <c r="AH66" s="938"/>
      <c r="AI66" s="938"/>
      <c r="AJ66" s="938"/>
      <c r="AK66" s="938"/>
      <c r="AL66" s="938"/>
      <c r="AM66" s="938"/>
      <c r="AN66" s="938"/>
      <c r="AO66" s="938"/>
      <c r="AP66" s="938"/>
      <c r="AQ66" s="938"/>
      <c r="AR66" s="938"/>
      <c r="AS66" s="938"/>
      <c r="AT66" s="938"/>
      <c r="AU66" s="938"/>
      <c r="AV66" s="938"/>
      <c r="AW66" s="938"/>
      <c r="AX66" s="938"/>
      <c r="AY66" s="938"/>
      <c r="AZ66" s="938"/>
      <c r="BA66" s="938"/>
      <c r="BB66" s="938"/>
      <c r="BC66" s="938"/>
      <c r="BD66" s="938"/>
      <c r="BE66" s="938"/>
      <c r="BF66" s="938"/>
      <c r="BG66" s="938"/>
      <c r="BH66" s="938"/>
      <c r="BI66" s="938"/>
      <c r="BJ66" s="938"/>
      <c r="BK66" s="938"/>
      <c r="BL66" s="938"/>
      <c r="BM66" s="938"/>
      <c r="BN66" s="938"/>
      <c r="BO66" s="938"/>
      <c r="BP66" s="938"/>
      <c r="BQ66" s="938"/>
      <c r="BR66" s="938"/>
      <c r="BS66" s="938"/>
      <c r="BT66" s="938"/>
    </row>
    <row r="67" spans="1:72" x14ac:dyDescent="0.25">
      <c r="A67" s="938"/>
      <c r="B67" s="938" t="s">
        <v>781</v>
      </c>
      <c r="C67" s="938"/>
      <c r="D67" s="938" t="s">
        <v>782</v>
      </c>
      <c r="E67" s="938"/>
      <c r="F67" s="938"/>
      <c r="G67" s="938"/>
      <c r="H67" s="938"/>
      <c r="I67" s="938"/>
      <c r="J67" s="938"/>
      <c r="K67" s="938"/>
      <c r="L67" s="938"/>
      <c r="M67" s="938"/>
      <c r="N67" s="938"/>
      <c r="O67" s="938"/>
      <c r="P67" s="938"/>
      <c r="Q67" s="938"/>
      <c r="R67" s="938"/>
      <c r="S67" s="938"/>
      <c r="T67" s="938"/>
      <c r="U67" s="938"/>
      <c r="V67" s="938"/>
      <c r="W67" s="938"/>
      <c r="X67" s="938"/>
      <c r="Y67" s="938"/>
      <c r="Z67" s="938"/>
      <c r="AA67" s="938"/>
      <c r="AB67" s="938"/>
      <c r="AC67" s="938"/>
      <c r="AD67" s="938"/>
      <c r="AE67" s="938"/>
      <c r="AF67" s="938"/>
      <c r="AG67" s="938"/>
      <c r="AH67" s="938"/>
      <c r="AI67" s="938"/>
      <c r="AJ67" s="938"/>
      <c r="AK67" s="938"/>
      <c r="AL67" s="938"/>
      <c r="AM67" s="938"/>
      <c r="AN67" s="938"/>
      <c r="AO67" s="938"/>
      <c r="AP67" s="938"/>
      <c r="AQ67" s="938"/>
      <c r="AR67" s="938"/>
      <c r="AS67" s="938"/>
      <c r="AT67" s="938"/>
      <c r="AU67" s="938"/>
      <c r="AV67" s="938"/>
      <c r="AW67" s="938"/>
      <c r="AX67" s="938"/>
      <c r="AY67" s="938"/>
      <c r="AZ67" s="938"/>
      <c r="BA67" s="938"/>
      <c r="BB67" s="938"/>
      <c r="BC67" s="938"/>
      <c r="BD67" s="938"/>
      <c r="BE67" s="938"/>
      <c r="BF67" s="938"/>
      <c r="BG67" s="938"/>
      <c r="BH67" s="938"/>
      <c r="BI67" s="938"/>
      <c r="BJ67" s="938"/>
      <c r="BK67" s="938"/>
      <c r="BL67" s="938"/>
      <c r="BM67" s="938"/>
      <c r="BN67" s="938"/>
      <c r="BO67" s="938"/>
      <c r="BP67" s="938"/>
      <c r="BQ67" s="938"/>
      <c r="BR67" s="938"/>
      <c r="BS67" s="938"/>
      <c r="BT67" s="938"/>
    </row>
    <row r="68" spans="1:72" x14ac:dyDescent="0.25">
      <c r="A68" s="938"/>
      <c r="B68" s="938"/>
      <c r="C68" s="938"/>
      <c r="D68" s="938"/>
      <c r="E68" s="938"/>
      <c r="F68" s="938"/>
      <c r="G68" s="938"/>
      <c r="H68" s="938"/>
      <c r="I68" s="938"/>
      <c r="J68" s="938"/>
      <c r="K68" s="938"/>
      <c r="L68" s="938"/>
      <c r="M68" s="938"/>
      <c r="N68" s="938"/>
      <c r="O68" s="938"/>
      <c r="P68" s="938"/>
      <c r="Q68" s="938"/>
      <c r="R68" s="938"/>
      <c r="S68" s="938"/>
      <c r="T68" s="938"/>
      <c r="U68" s="938"/>
      <c r="V68" s="938"/>
      <c r="W68" s="938"/>
      <c r="X68" s="938"/>
      <c r="Y68" s="938"/>
      <c r="Z68" s="938"/>
      <c r="AA68" s="938"/>
      <c r="AB68" s="938"/>
      <c r="AC68" s="938"/>
      <c r="AD68" s="938"/>
      <c r="AE68" s="938"/>
      <c r="AF68" s="938"/>
      <c r="AG68" s="938"/>
      <c r="AH68" s="938"/>
      <c r="AI68" s="938"/>
      <c r="AJ68" s="938"/>
      <c r="AK68" s="938"/>
      <c r="AL68" s="938"/>
      <c r="AM68" s="938"/>
      <c r="AN68" s="938"/>
      <c r="AO68" s="938"/>
      <c r="AP68" s="938"/>
      <c r="AQ68" s="938"/>
      <c r="AR68" s="938"/>
      <c r="AS68" s="938"/>
      <c r="AT68" s="938"/>
      <c r="AU68" s="938"/>
      <c r="AV68" s="938"/>
      <c r="AW68" s="938"/>
      <c r="AX68" s="938"/>
      <c r="AY68" s="938"/>
      <c r="AZ68" s="938"/>
      <c r="BA68" s="938"/>
      <c r="BB68" s="938"/>
      <c r="BC68" s="938"/>
      <c r="BD68" s="938"/>
      <c r="BE68" s="938"/>
      <c r="BF68" s="938"/>
      <c r="BG68" s="938"/>
      <c r="BH68" s="938"/>
      <c r="BI68" s="938"/>
      <c r="BJ68" s="938"/>
      <c r="BK68" s="938"/>
      <c r="BL68" s="938"/>
      <c r="BM68" s="938"/>
      <c r="BN68" s="938"/>
      <c r="BO68" s="938"/>
      <c r="BP68" s="938"/>
      <c r="BQ68" s="938"/>
      <c r="BR68" s="938"/>
      <c r="BS68" s="938"/>
      <c r="BT68" s="938"/>
    </row>
    <row r="69" spans="1:72" x14ac:dyDescent="0.25">
      <c r="A69" s="938"/>
      <c r="B69" s="938"/>
      <c r="C69" s="938"/>
      <c r="D69" s="938"/>
      <c r="E69" s="938"/>
      <c r="F69" s="938"/>
      <c r="G69" s="938"/>
      <c r="H69" s="938"/>
      <c r="I69" s="938"/>
      <c r="J69" s="938"/>
      <c r="K69" s="938"/>
      <c r="L69" s="938"/>
      <c r="M69" s="938"/>
      <c r="N69" s="938"/>
      <c r="O69" s="938"/>
      <c r="P69" s="938"/>
      <c r="Q69" s="938"/>
      <c r="R69" s="938"/>
      <c r="S69" s="938"/>
      <c r="T69" s="938"/>
      <c r="U69" s="938"/>
      <c r="V69" s="938"/>
      <c r="W69" s="938"/>
      <c r="X69" s="938"/>
      <c r="Y69" s="938"/>
      <c r="Z69" s="938"/>
      <c r="AA69" s="938"/>
      <c r="AB69" s="938"/>
      <c r="AC69" s="938"/>
      <c r="AD69" s="938"/>
      <c r="AE69" s="938"/>
      <c r="AF69" s="938"/>
      <c r="AG69" s="938"/>
      <c r="AH69" s="938"/>
      <c r="AI69" s="938"/>
      <c r="AJ69" s="938"/>
      <c r="AK69" s="938"/>
      <c r="AL69" s="938"/>
      <c r="AM69" s="938"/>
      <c r="AN69" s="938"/>
      <c r="AO69" s="938"/>
      <c r="AP69" s="938"/>
      <c r="AQ69" s="938"/>
      <c r="AR69" s="938"/>
      <c r="AS69" s="938"/>
      <c r="AT69" s="938"/>
      <c r="AU69" s="938"/>
      <c r="AV69" s="938"/>
      <c r="AW69" s="938"/>
      <c r="AX69" s="938"/>
      <c r="AY69" s="938"/>
      <c r="AZ69" s="938"/>
      <c r="BA69" s="938"/>
      <c r="BB69" s="938"/>
      <c r="BC69" s="938"/>
      <c r="BD69" s="938"/>
      <c r="BE69" s="938"/>
      <c r="BF69" s="938"/>
      <c r="BG69" s="938"/>
      <c r="BH69" s="938"/>
      <c r="BI69" s="938"/>
      <c r="BJ69" s="938"/>
      <c r="BK69" s="938"/>
      <c r="BL69" s="938"/>
      <c r="BM69" s="938"/>
      <c r="BN69" s="938"/>
      <c r="BO69" s="938"/>
      <c r="BP69" s="938"/>
      <c r="BQ69" s="938"/>
      <c r="BR69" s="938"/>
      <c r="BS69" s="938"/>
      <c r="BT69" s="938"/>
    </row>
    <row r="70" spans="1:72" x14ac:dyDescent="0.25">
      <c r="A70" s="938"/>
      <c r="B70" s="938"/>
      <c r="C70" s="938"/>
      <c r="D70" s="938"/>
      <c r="E70" s="938"/>
      <c r="F70" s="938"/>
      <c r="G70" s="938"/>
      <c r="H70" s="938"/>
      <c r="I70" s="938"/>
      <c r="J70" s="938"/>
      <c r="K70" s="938"/>
      <c r="L70" s="938"/>
      <c r="M70" s="938"/>
      <c r="N70" s="938"/>
      <c r="O70" s="938"/>
      <c r="P70" s="938"/>
      <c r="Q70" s="938"/>
      <c r="R70" s="938"/>
      <c r="S70" s="938"/>
      <c r="T70" s="938"/>
      <c r="U70" s="938"/>
      <c r="V70" s="938"/>
      <c r="W70" s="938"/>
      <c r="X70" s="938"/>
      <c r="Y70" s="938"/>
      <c r="Z70" s="938"/>
      <c r="AA70" s="938"/>
      <c r="AB70" s="938"/>
      <c r="AC70" s="938"/>
      <c r="AD70" s="938"/>
      <c r="AE70" s="938"/>
      <c r="AF70" s="938"/>
      <c r="AG70" s="938"/>
      <c r="AH70" s="938"/>
      <c r="AI70" s="938"/>
      <c r="AJ70" s="938"/>
      <c r="AK70" s="938"/>
      <c r="AL70" s="938"/>
      <c r="AM70" s="938"/>
      <c r="AN70" s="938"/>
      <c r="AO70" s="938"/>
      <c r="AP70" s="938"/>
      <c r="AQ70" s="938"/>
      <c r="AR70" s="938"/>
      <c r="AS70" s="938"/>
      <c r="AT70" s="938"/>
      <c r="AU70" s="938"/>
      <c r="AV70" s="938"/>
      <c r="AW70" s="938"/>
      <c r="AX70" s="938"/>
      <c r="AY70" s="938"/>
      <c r="AZ70" s="938"/>
      <c r="BA70" s="938"/>
      <c r="BB70" s="938"/>
      <c r="BC70" s="938"/>
      <c r="BD70" s="938"/>
      <c r="BE70" s="938"/>
      <c r="BF70" s="938"/>
      <c r="BG70" s="938"/>
      <c r="BH70" s="938"/>
      <c r="BI70" s="938"/>
      <c r="BJ70" s="938"/>
      <c r="BK70" s="938"/>
      <c r="BL70" s="938"/>
      <c r="BM70" s="938"/>
      <c r="BN70" s="938"/>
      <c r="BO70" s="938"/>
      <c r="BP70" s="938"/>
      <c r="BQ70" s="938"/>
      <c r="BR70" s="938"/>
      <c r="BS70" s="938"/>
      <c r="BT70" s="938"/>
    </row>
    <row r="71" spans="1:72" x14ac:dyDescent="0.25">
      <c r="A71" s="938"/>
      <c r="B71" s="938"/>
      <c r="C71" s="938"/>
      <c r="D71" s="938"/>
      <c r="E71" s="938"/>
      <c r="F71" s="938"/>
      <c r="G71" s="938"/>
      <c r="H71" s="938"/>
      <c r="I71" s="938"/>
      <c r="J71" s="938"/>
      <c r="K71" s="938"/>
      <c r="L71" s="938"/>
      <c r="M71" s="938"/>
      <c r="N71" s="938"/>
      <c r="O71" s="938"/>
      <c r="P71" s="938"/>
      <c r="Q71" s="938"/>
      <c r="R71" s="938"/>
      <c r="S71" s="938"/>
      <c r="T71" s="938"/>
      <c r="U71" s="938"/>
      <c r="V71" s="938"/>
      <c r="W71" s="938"/>
      <c r="X71" s="938"/>
      <c r="Y71" s="938"/>
      <c r="Z71" s="938"/>
      <c r="AA71" s="938"/>
      <c r="AB71" s="938"/>
      <c r="AC71" s="938"/>
      <c r="AD71" s="938"/>
      <c r="AE71" s="938"/>
      <c r="AF71" s="938"/>
      <c r="AG71" s="938"/>
      <c r="AH71" s="938"/>
      <c r="AI71" s="938"/>
      <c r="AJ71" s="938"/>
      <c r="AK71" s="938"/>
      <c r="AL71" s="938"/>
      <c r="AM71" s="938"/>
      <c r="AN71" s="938"/>
      <c r="AO71" s="938"/>
      <c r="AP71" s="938"/>
      <c r="AQ71" s="938"/>
      <c r="AR71" s="938"/>
      <c r="AS71" s="938"/>
      <c r="AT71" s="938"/>
      <c r="AU71" s="938"/>
      <c r="AV71" s="938"/>
      <c r="AW71" s="938"/>
      <c r="AX71" s="938"/>
      <c r="AY71" s="938"/>
      <c r="AZ71" s="938"/>
      <c r="BA71" s="938"/>
      <c r="BB71" s="938"/>
      <c r="BC71" s="938"/>
      <c r="BD71" s="938"/>
      <c r="BE71" s="938"/>
      <c r="BF71" s="938"/>
      <c r="BG71" s="938"/>
      <c r="BH71" s="938"/>
      <c r="BI71" s="938"/>
      <c r="BJ71" s="938"/>
      <c r="BK71" s="938"/>
      <c r="BL71" s="938"/>
      <c r="BM71" s="938"/>
      <c r="BN71" s="938"/>
      <c r="BO71" s="938"/>
      <c r="BP71" s="938"/>
      <c r="BQ71" s="938"/>
      <c r="BR71" s="938"/>
      <c r="BS71" s="938"/>
      <c r="BT71" s="938"/>
    </row>
    <row r="72" spans="1:72" x14ac:dyDescent="0.25">
      <c r="A72" s="938" t="s">
        <v>783</v>
      </c>
      <c r="B72" s="938"/>
      <c r="C72" s="938"/>
      <c r="D72" s="938"/>
      <c r="E72" s="938"/>
      <c r="F72" s="938"/>
      <c r="G72" s="938"/>
      <c r="H72" s="938"/>
      <c r="I72" s="938"/>
      <c r="J72" s="938"/>
      <c r="K72" s="938"/>
      <c r="L72" s="938"/>
      <c r="M72" s="938"/>
      <c r="N72" s="938"/>
      <c r="O72" s="938"/>
      <c r="P72" s="938"/>
      <c r="Q72" s="938"/>
      <c r="R72" s="938"/>
      <c r="S72" s="938"/>
      <c r="T72" s="938"/>
      <c r="U72" s="938"/>
      <c r="V72" s="938"/>
      <c r="W72" s="938"/>
      <c r="X72" s="938"/>
      <c r="Y72" s="938"/>
      <c r="Z72" s="938"/>
      <c r="AA72" s="938"/>
      <c r="AB72" s="938"/>
      <c r="AC72" s="938"/>
      <c r="AD72" s="938"/>
      <c r="AE72" s="938"/>
      <c r="AF72" s="938"/>
      <c r="AG72" s="938"/>
      <c r="AH72" s="938"/>
      <c r="AI72" s="938"/>
      <c r="AJ72" s="938"/>
      <c r="AK72" s="938"/>
      <c r="AL72" s="938"/>
      <c r="AM72" s="938"/>
      <c r="AN72" s="938"/>
      <c r="AO72" s="938"/>
      <c r="AP72" s="938"/>
      <c r="AQ72" s="938"/>
      <c r="AR72" s="938"/>
      <c r="AS72" s="938"/>
      <c r="AT72" s="938"/>
      <c r="AU72" s="938"/>
      <c r="AV72" s="938"/>
      <c r="AW72" s="938"/>
      <c r="AX72" s="938"/>
      <c r="AY72" s="938"/>
      <c r="AZ72" s="938"/>
      <c r="BA72" s="938"/>
      <c r="BB72" s="938"/>
      <c r="BC72" s="938"/>
      <c r="BD72" s="938"/>
      <c r="BE72" s="938"/>
      <c r="BF72" s="938"/>
      <c r="BG72" s="938"/>
      <c r="BH72" s="938"/>
      <c r="BI72" s="938"/>
      <c r="BJ72" s="938"/>
      <c r="BK72" s="938"/>
      <c r="BL72" s="938"/>
      <c r="BM72" s="938"/>
      <c r="BN72" s="938"/>
      <c r="BO72" s="938"/>
      <c r="BP72" s="938"/>
      <c r="BQ72" s="938"/>
      <c r="BR72" s="938"/>
      <c r="BS72" s="938"/>
      <c r="BT72" s="938"/>
    </row>
    <row r="73" spans="1:72" x14ac:dyDescent="0.25">
      <c r="A73" s="938"/>
      <c r="B73" s="938"/>
      <c r="C73" s="938"/>
      <c r="D73" s="938"/>
      <c r="E73" s="938"/>
      <c r="F73" s="938"/>
      <c r="G73" s="938"/>
      <c r="H73" s="938"/>
      <c r="I73" s="938"/>
      <c r="J73" s="938"/>
      <c r="K73" s="938"/>
      <c r="L73" s="938"/>
      <c r="M73" s="938"/>
      <c r="N73" s="938"/>
      <c r="O73" s="938"/>
      <c r="P73" s="938"/>
      <c r="Q73" s="938"/>
      <c r="R73" s="938"/>
      <c r="S73" s="938"/>
      <c r="T73" s="938"/>
      <c r="U73" s="938"/>
      <c r="V73" s="938"/>
      <c r="W73" s="938"/>
      <c r="X73" s="938"/>
      <c r="Y73" s="938"/>
      <c r="Z73" s="938"/>
      <c r="AA73" s="938"/>
      <c r="AB73" s="938"/>
      <c r="AC73" s="938"/>
      <c r="AD73" s="938"/>
      <c r="AE73" s="938"/>
      <c r="AF73" s="938"/>
      <c r="AG73" s="938"/>
      <c r="AH73" s="938"/>
      <c r="AI73" s="938"/>
      <c r="AJ73" s="938"/>
      <c r="AK73" s="938"/>
      <c r="AL73" s="938"/>
      <c r="AM73" s="938"/>
      <c r="AN73" s="938"/>
      <c r="AO73" s="938"/>
      <c r="AP73" s="938"/>
      <c r="AQ73" s="938"/>
      <c r="AR73" s="938"/>
      <c r="AS73" s="938"/>
      <c r="AT73" s="938"/>
      <c r="AU73" s="938"/>
      <c r="AV73" s="938"/>
      <c r="AW73" s="938"/>
      <c r="AX73" s="938"/>
      <c r="AY73" s="938"/>
      <c r="AZ73" s="938"/>
      <c r="BA73" s="938"/>
      <c r="BB73" s="938"/>
      <c r="BC73" s="938"/>
      <c r="BD73" s="938"/>
      <c r="BE73" s="938"/>
      <c r="BF73" s="938"/>
      <c r="BG73" s="938"/>
      <c r="BH73" s="938"/>
      <c r="BI73" s="938"/>
      <c r="BJ73" s="938"/>
      <c r="BK73" s="938"/>
      <c r="BL73" s="938"/>
      <c r="BM73" s="938"/>
      <c r="BN73" s="938"/>
      <c r="BO73" s="938"/>
      <c r="BP73" s="938"/>
      <c r="BQ73" s="938"/>
      <c r="BR73" s="938"/>
      <c r="BS73" s="938"/>
      <c r="BT73" s="938"/>
    </row>
    <row r="74" spans="1:72" x14ac:dyDescent="0.25">
      <c r="A74" s="938" t="s">
        <v>784</v>
      </c>
      <c r="B74" s="938"/>
      <c r="C74" s="938"/>
      <c r="D74" s="938"/>
      <c r="E74" s="938"/>
      <c r="F74" s="938"/>
      <c r="G74" s="938"/>
      <c r="H74" s="938"/>
      <c r="I74" s="938"/>
      <c r="J74" s="938"/>
      <c r="K74" s="938"/>
      <c r="L74" s="938"/>
      <c r="M74" s="938"/>
      <c r="N74" s="938"/>
      <c r="O74" s="938"/>
      <c r="P74" s="938"/>
      <c r="Q74" s="938"/>
      <c r="R74" s="938"/>
      <c r="S74" s="938"/>
      <c r="T74" s="938"/>
      <c r="U74" s="938"/>
      <c r="V74" s="938"/>
      <c r="W74" s="938"/>
      <c r="X74" s="938"/>
      <c r="Y74" s="938"/>
      <c r="Z74" s="938"/>
      <c r="AA74" s="938"/>
      <c r="AB74" s="938"/>
      <c r="AC74" s="938"/>
      <c r="AD74" s="938"/>
      <c r="AE74" s="938"/>
      <c r="AF74" s="938"/>
      <c r="AG74" s="938"/>
      <c r="AH74" s="938"/>
      <c r="AI74" s="938"/>
      <c r="AJ74" s="938"/>
      <c r="AK74" s="938"/>
      <c r="AL74" s="938"/>
      <c r="AM74" s="938"/>
      <c r="AN74" s="938"/>
      <c r="AO74" s="938"/>
      <c r="AP74" s="938"/>
      <c r="AQ74" s="938"/>
      <c r="AR74" s="938"/>
      <c r="AS74" s="938"/>
      <c r="AT74" s="938"/>
      <c r="AU74" s="938"/>
      <c r="AV74" s="938"/>
      <c r="AW74" s="938"/>
      <c r="AX74" s="938"/>
      <c r="AY74" s="938"/>
      <c r="AZ74" s="938"/>
      <c r="BA74" s="938"/>
      <c r="BB74" s="938"/>
      <c r="BC74" s="938"/>
      <c r="BD74" s="938"/>
      <c r="BE74" s="938"/>
      <c r="BF74" s="938"/>
      <c r="BG74" s="938"/>
      <c r="BH74" s="938"/>
      <c r="BI74" s="938"/>
      <c r="BJ74" s="938"/>
      <c r="BK74" s="938"/>
      <c r="BL74" s="938"/>
      <c r="BM74" s="938"/>
      <c r="BN74" s="938"/>
      <c r="BO74" s="938"/>
      <c r="BP74" s="938"/>
      <c r="BQ74" s="938"/>
      <c r="BR74" s="938"/>
      <c r="BS74" s="938"/>
      <c r="BT74" s="938"/>
    </row>
    <row r="75" spans="1:72" x14ac:dyDescent="0.25">
      <c r="A75" s="938" t="s">
        <v>785</v>
      </c>
      <c r="B75" s="938"/>
      <c r="C75" s="938"/>
      <c r="D75" s="938"/>
      <c r="E75" s="938"/>
      <c r="F75" s="938"/>
      <c r="G75" s="938"/>
      <c r="H75" s="938"/>
      <c r="I75" s="938"/>
      <c r="J75" s="938"/>
      <c r="K75" s="938"/>
      <c r="L75" s="938"/>
      <c r="M75" s="938"/>
      <c r="N75" s="938"/>
      <c r="O75" s="938"/>
      <c r="P75" s="938"/>
      <c r="Q75" s="938"/>
      <c r="R75" s="938"/>
      <c r="S75" s="938"/>
      <c r="T75" s="938"/>
      <c r="U75" s="938"/>
      <c r="V75" s="938"/>
      <c r="W75" s="938"/>
      <c r="X75" s="938"/>
      <c r="Y75" s="938"/>
      <c r="Z75" s="938"/>
      <c r="AA75" s="938"/>
      <c r="AB75" s="938"/>
      <c r="AC75" s="938"/>
      <c r="AD75" s="938"/>
      <c r="AE75" s="938"/>
      <c r="AF75" s="938"/>
      <c r="AG75" s="938"/>
      <c r="AH75" s="938"/>
      <c r="AI75" s="938"/>
      <c r="AJ75" s="938"/>
      <c r="AK75" s="938"/>
      <c r="AL75" s="938"/>
      <c r="AM75" s="938"/>
      <c r="AN75" s="938"/>
      <c r="AO75" s="938"/>
      <c r="AP75" s="938"/>
      <c r="AQ75" s="938"/>
      <c r="AR75" s="938"/>
      <c r="AS75" s="938"/>
      <c r="AT75" s="938"/>
      <c r="AU75" s="938"/>
      <c r="AV75" s="938"/>
      <c r="AW75" s="938"/>
      <c r="AX75" s="938"/>
      <c r="AY75" s="938"/>
      <c r="AZ75" s="938"/>
      <c r="BA75" s="938"/>
      <c r="BB75" s="938"/>
      <c r="BC75" s="938"/>
      <c r="BD75" s="938"/>
      <c r="BE75" s="938"/>
      <c r="BF75" s="938"/>
      <c r="BG75" s="938"/>
      <c r="BH75" s="938"/>
      <c r="BI75" s="938"/>
      <c r="BJ75" s="938"/>
      <c r="BK75" s="938"/>
      <c r="BL75" s="938"/>
      <c r="BM75" s="938"/>
      <c r="BN75" s="938"/>
      <c r="BO75" s="938"/>
      <c r="BP75" s="938"/>
      <c r="BQ75" s="938"/>
      <c r="BR75" s="938"/>
      <c r="BS75" s="938"/>
      <c r="BT75" s="938"/>
    </row>
    <row r="76" spans="1:72" x14ac:dyDescent="0.25">
      <c r="A76" s="938"/>
      <c r="B76" s="938"/>
      <c r="C76" s="938"/>
      <c r="D76" s="938"/>
      <c r="E76" s="938"/>
      <c r="F76" s="938"/>
      <c r="G76" s="938"/>
      <c r="H76" s="938"/>
      <c r="I76" s="938"/>
      <c r="J76" s="938"/>
      <c r="K76" s="938"/>
      <c r="L76" s="938"/>
      <c r="M76" s="938"/>
      <c r="N76" s="938"/>
      <c r="O76" s="938"/>
      <c r="P76" s="938"/>
      <c r="Q76" s="938"/>
      <c r="R76" s="938"/>
      <c r="S76" s="938"/>
      <c r="T76" s="938"/>
      <c r="U76" s="938"/>
      <c r="V76" s="938"/>
      <c r="W76" s="938"/>
      <c r="X76" s="938"/>
      <c r="Y76" s="938"/>
      <c r="Z76" s="938"/>
      <c r="AA76" s="938"/>
      <c r="AB76" s="938"/>
      <c r="AC76" s="938"/>
      <c r="AD76" s="938"/>
      <c r="AE76" s="938" t="s">
        <v>786</v>
      </c>
      <c r="AF76" s="938"/>
      <c r="AG76" s="938"/>
      <c r="AH76" s="938"/>
      <c r="AI76" s="938"/>
      <c r="AJ76" s="938"/>
      <c r="AK76" s="938"/>
      <c r="AL76" s="938"/>
      <c r="AM76" s="938"/>
      <c r="AN76" s="938"/>
      <c r="AO76" s="938"/>
      <c r="AP76" s="938"/>
      <c r="AQ76" s="938"/>
      <c r="AR76" s="938"/>
      <c r="AS76" s="938"/>
      <c r="AT76" s="938"/>
      <c r="AU76" s="938"/>
      <c r="AV76" s="938"/>
      <c r="AW76" s="938"/>
      <c r="AX76" s="938"/>
      <c r="AY76" s="938"/>
      <c r="AZ76" s="938"/>
      <c r="BA76" s="938"/>
      <c r="BB76" s="938"/>
      <c r="BC76" s="938"/>
      <c r="BD76" s="938"/>
      <c r="BE76" s="938"/>
      <c r="BF76" s="938"/>
      <c r="BG76" s="938"/>
      <c r="BH76" s="938"/>
      <c r="BI76" s="938"/>
      <c r="BJ76" s="938"/>
      <c r="BK76" s="938"/>
      <c r="BL76" s="938"/>
      <c r="BM76" s="938"/>
      <c r="BN76" s="938"/>
      <c r="BO76" s="938"/>
      <c r="BP76" s="938"/>
      <c r="BQ76" s="938"/>
      <c r="BR76" s="938"/>
      <c r="BS76" s="938"/>
      <c r="BT76" s="938"/>
    </row>
    <row r="77" spans="1:72" x14ac:dyDescent="0.25">
      <c r="A77" s="938" t="s">
        <v>787</v>
      </c>
      <c r="B77" s="938">
        <v>2007</v>
      </c>
      <c r="C77" s="938">
        <v>2008</v>
      </c>
      <c r="D77" s="938">
        <v>2009</v>
      </c>
      <c r="E77" s="938">
        <v>2010</v>
      </c>
      <c r="F77" s="938">
        <v>2011</v>
      </c>
      <c r="G77" s="938">
        <v>2012</v>
      </c>
      <c r="H77" s="938">
        <v>2013</v>
      </c>
      <c r="I77" s="938">
        <v>2014</v>
      </c>
      <c r="J77" s="938">
        <v>2015</v>
      </c>
      <c r="K77" s="938">
        <v>2016</v>
      </c>
      <c r="L77" s="938">
        <v>2017</v>
      </c>
      <c r="M77" s="938">
        <v>2018</v>
      </c>
      <c r="N77" s="938">
        <v>2019</v>
      </c>
      <c r="O77" s="938">
        <v>2020</v>
      </c>
      <c r="P77" s="938">
        <v>2021</v>
      </c>
      <c r="Q77" s="938">
        <v>2022</v>
      </c>
      <c r="R77" s="938">
        <v>2023</v>
      </c>
      <c r="S77" s="938">
        <v>2024</v>
      </c>
      <c r="T77" s="938">
        <v>2025</v>
      </c>
      <c r="U77" s="938">
        <v>2026</v>
      </c>
      <c r="V77" s="938">
        <v>2027</v>
      </c>
      <c r="W77" s="938">
        <v>2028</v>
      </c>
      <c r="X77" s="938">
        <v>2029</v>
      </c>
      <c r="Y77" s="938">
        <v>2030</v>
      </c>
      <c r="Z77" s="938">
        <v>2031</v>
      </c>
      <c r="AA77" s="938">
        <v>2032</v>
      </c>
      <c r="AB77" s="938">
        <v>2033</v>
      </c>
      <c r="AC77" s="938">
        <v>2034</v>
      </c>
      <c r="AD77" s="938">
        <v>2035</v>
      </c>
      <c r="AE77" s="938">
        <v>2035</v>
      </c>
      <c r="AF77" s="938"/>
      <c r="AG77" s="938"/>
      <c r="AH77" s="938"/>
      <c r="AI77" s="938"/>
      <c r="AJ77" s="938"/>
      <c r="AK77" s="938"/>
      <c r="AL77" s="938"/>
      <c r="AM77" s="938"/>
      <c r="AN77" s="938"/>
      <c r="AO77" s="938"/>
      <c r="AP77" s="938"/>
      <c r="AQ77" s="938"/>
      <c r="AR77" s="938"/>
      <c r="AS77" s="938"/>
      <c r="AT77" s="938"/>
      <c r="AU77" s="938"/>
      <c r="AV77" s="938"/>
      <c r="AW77" s="938"/>
      <c r="AX77" s="938"/>
      <c r="AY77" s="938"/>
      <c r="AZ77" s="938"/>
      <c r="BA77" s="938"/>
      <c r="BB77" s="938"/>
      <c r="BC77" s="938"/>
      <c r="BD77" s="938"/>
      <c r="BE77" s="938"/>
      <c r="BF77" s="938"/>
      <c r="BG77" s="938"/>
      <c r="BH77" s="938"/>
      <c r="BI77" s="938"/>
      <c r="BJ77" s="938"/>
      <c r="BK77" s="938"/>
      <c r="BL77" s="938"/>
      <c r="BM77" s="938"/>
      <c r="BN77" s="938"/>
      <c r="BO77" s="938"/>
      <c r="BP77" s="938"/>
      <c r="BQ77" s="938"/>
      <c r="BR77" s="938"/>
      <c r="BS77" s="938"/>
      <c r="BT77" s="938"/>
    </row>
    <row r="78" spans="1:72" x14ac:dyDescent="0.25">
      <c r="A78" s="938"/>
      <c r="B78" s="938"/>
      <c r="C78" s="938"/>
      <c r="D78" s="938"/>
      <c r="E78" s="938"/>
      <c r="F78" s="938"/>
      <c r="G78" s="938"/>
      <c r="H78" s="938"/>
      <c r="I78" s="938"/>
      <c r="J78" s="938"/>
      <c r="K78" s="938"/>
      <c r="L78" s="938"/>
      <c r="M78" s="938"/>
      <c r="N78" s="938"/>
      <c r="O78" s="938"/>
      <c r="P78" s="938"/>
      <c r="Q78" s="938"/>
      <c r="R78" s="938"/>
      <c r="S78" s="938"/>
      <c r="T78" s="938"/>
      <c r="U78" s="938"/>
      <c r="V78" s="938"/>
      <c r="W78" s="938"/>
      <c r="X78" s="938"/>
      <c r="Y78" s="938"/>
      <c r="Z78" s="938"/>
      <c r="AA78" s="938"/>
      <c r="AB78" s="938"/>
      <c r="AC78" s="938"/>
      <c r="AD78" s="938"/>
      <c r="AE78" s="938"/>
      <c r="AF78" s="938"/>
      <c r="AG78" s="938"/>
      <c r="AH78" s="938"/>
      <c r="AI78" s="938"/>
      <c r="AJ78" s="938"/>
      <c r="AK78" s="938"/>
      <c r="AL78" s="938"/>
      <c r="AM78" s="938"/>
      <c r="AN78" s="938"/>
      <c r="AO78" s="938"/>
      <c r="AP78" s="938"/>
      <c r="AQ78" s="938"/>
      <c r="AR78" s="938"/>
      <c r="AS78" s="938"/>
      <c r="AT78" s="938"/>
      <c r="AU78" s="938"/>
      <c r="AV78" s="938"/>
      <c r="AW78" s="938"/>
      <c r="AX78" s="938"/>
      <c r="AY78" s="938"/>
      <c r="AZ78" s="938"/>
      <c r="BA78" s="938"/>
      <c r="BB78" s="938"/>
      <c r="BC78" s="938"/>
      <c r="BD78" s="938"/>
      <c r="BE78" s="938"/>
      <c r="BF78" s="938"/>
      <c r="BG78" s="938"/>
      <c r="BH78" s="938"/>
      <c r="BI78" s="938"/>
      <c r="BJ78" s="938"/>
      <c r="BK78" s="938"/>
      <c r="BL78" s="938"/>
      <c r="BM78" s="938"/>
      <c r="BN78" s="938"/>
      <c r="BO78" s="938"/>
      <c r="BP78" s="938"/>
      <c r="BQ78" s="938"/>
      <c r="BR78" s="938"/>
      <c r="BS78" s="938"/>
      <c r="BT78" s="938"/>
    </row>
    <row r="79" spans="1:72" x14ac:dyDescent="0.25">
      <c r="A79" s="938" t="s">
        <v>473</v>
      </c>
      <c r="B79" s="938"/>
      <c r="C79" s="938"/>
      <c r="D79" s="938"/>
      <c r="E79" s="938"/>
      <c r="F79" s="938"/>
      <c r="G79" s="938"/>
      <c r="H79" s="938"/>
      <c r="I79" s="938"/>
      <c r="J79" s="938"/>
      <c r="K79" s="938"/>
      <c r="L79" s="938"/>
      <c r="M79" s="938"/>
      <c r="N79" s="938"/>
      <c r="O79" s="938"/>
      <c r="P79" s="938"/>
      <c r="Q79" s="938"/>
      <c r="R79" s="938"/>
      <c r="S79" s="938"/>
      <c r="T79" s="938"/>
      <c r="U79" s="938"/>
      <c r="V79" s="938"/>
      <c r="W79" s="938"/>
      <c r="X79" s="938"/>
      <c r="Y79" s="938"/>
      <c r="Z79" s="938"/>
      <c r="AA79" s="938"/>
      <c r="AB79" s="938"/>
      <c r="AC79" s="938"/>
      <c r="AD79" s="938"/>
      <c r="AE79" s="938"/>
      <c r="AF79" s="938"/>
      <c r="AG79" s="938"/>
      <c r="AH79" s="938"/>
      <c r="AI79" s="938"/>
      <c r="AJ79" s="938"/>
      <c r="AK79" s="938"/>
      <c r="AL79" s="938"/>
      <c r="AM79" s="938"/>
      <c r="AN79" s="938"/>
      <c r="AO79" s="938"/>
      <c r="AP79" s="938"/>
      <c r="AQ79" s="938"/>
      <c r="AR79" s="938"/>
      <c r="AS79" s="938"/>
      <c r="AT79" s="938"/>
      <c r="AU79" s="938"/>
      <c r="AV79" s="938"/>
      <c r="AW79" s="938"/>
      <c r="AX79" s="938"/>
      <c r="AY79" s="938"/>
      <c r="AZ79" s="938"/>
      <c r="BA79" s="938"/>
      <c r="BB79" s="938"/>
      <c r="BC79" s="938"/>
      <c r="BD79" s="938"/>
      <c r="BE79" s="938"/>
      <c r="BF79" s="938"/>
      <c r="BG79" s="938"/>
      <c r="BH79" s="938"/>
      <c r="BI79" s="938"/>
      <c r="BJ79" s="938"/>
      <c r="BK79" s="938"/>
      <c r="BL79" s="938"/>
      <c r="BM79" s="938"/>
      <c r="BN79" s="938"/>
      <c r="BO79" s="938"/>
      <c r="BP79" s="938"/>
      <c r="BQ79" s="938"/>
      <c r="BR79" s="938"/>
      <c r="BS79" s="938"/>
      <c r="BT79" s="938"/>
    </row>
    <row r="80" spans="1:72" x14ac:dyDescent="0.25">
      <c r="A80" s="938" t="s">
        <v>609</v>
      </c>
      <c r="B80" s="938">
        <v>26.25</v>
      </c>
      <c r="C80" s="938">
        <v>29.35</v>
      </c>
      <c r="D80" s="938">
        <v>24.9</v>
      </c>
      <c r="E80" s="938">
        <v>24.01</v>
      </c>
      <c r="F80" s="938">
        <v>24.09</v>
      </c>
      <c r="G80" s="938">
        <v>25.25</v>
      </c>
      <c r="H80" s="938">
        <v>26.47</v>
      </c>
      <c r="I80" s="938">
        <v>27.44</v>
      </c>
      <c r="J80" s="938">
        <v>28.03</v>
      </c>
      <c r="K80" s="938">
        <v>28.67</v>
      </c>
      <c r="L80" s="938">
        <v>29.21</v>
      </c>
      <c r="M80" s="938">
        <v>29.8</v>
      </c>
      <c r="N80" s="938">
        <v>30.06</v>
      </c>
      <c r="O80" s="938">
        <v>30.29</v>
      </c>
      <c r="P80" s="938">
        <v>30.53</v>
      </c>
      <c r="Q80" s="938">
        <v>30.73</v>
      </c>
      <c r="R80" s="938">
        <v>31.01</v>
      </c>
      <c r="S80" s="938">
        <v>31.28</v>
      </c>
      <c r="T80" s="938">
        <v>31.55</v>
      </c>
      <c r="U80" s="938">
        <v>31.7</v>
      </c>
      <c r="V80" s="938">
        <v>31.98</v>
      </c>
      <c r="W80" s="938">
        <v>32.229999999999997</v>
      </c>
      <c r="X80" s="938">
        <v>32.590000000000003</v>
      </c>
      <c r="Y80" s="938">
        <v>32.81</v>
      </c>
      <c r="Z80" s="938">
        <v>33.17</v>
      </c>
      <c r="AA80" s="938">
        <v>33.51</v>
      </c>
      <c r="AB80" s="938">
        <v>33.9</v>
      </c>
      <c r="AC80" s="938">
        <v>34.26</v>
      </c>
      <c r="AD80" s="938">
        <v>34.65</v>
      </c>
      <c r="AE80" s="977">
        <v>6.0000000000000001E-3</v>
      </c>
      <c r="AF80" s="938"/>
      <c r="AG80" s="938"/>
      <c r="AH80" s="938"/>
      <c r="AI80" s="938"/>
      <c r="AJ80" s="938"/>
      <c r="AK80" s="938"/>
      <c r="AL80" s="938"/>
      <c r="AM80" s="938"/>
      <c r="AN80" s="938"/>
      <c r="AO80" s="938"/>
      <c r="AP80" s="938"/>
      <c r="AQ80" s="938"/>
      <c r="AR80" s="938"/>
      <c r="AS80" s="938"/>
      <c r="AT80" s="938"/>
      <c r="AU80" s="938"/>
      <c r="AV80" s="938"/>
      <c r="AW80" s="938"/>
      <c r="AX80" s="938"/>
      <c r="AY80" s="938"/>
      <c r="AZ80" s="938"/>
      <c r="BA80" s="938"/>
      <c r="BB80" s="938"/>
      <c r="BC80" s="938"/>
      <c r="BD80" s="938"/>
      <c r="BE80" s="938"/>
      <c r="BF80" s="938"/>
      <c r="BG80" s="938"/>
      <c r="BH80" s="938"/>
      <c r="BI80" s="938"/>
      <c r="BJ80" s="938"/>
      <c r="BK80" s="938"/>
      <c r="BL80" s="938"/>
      <c r="BM80" s="938"/>
      <c r="BN80" s="938"/>
      <c r="BO80" s="938"/>
      <c r="BP80" s="938"/>
      <c r="BQ80" s="938"/>
      <c r="BR80" s="938"/>
      <c r="BS80" s="938"/>
      <c r="BT80" s="938"/>
    </row>
    <row r="81" spans="1:72" x14ac:dyDescent="0.25">
      <c r="A81" s="938" t="s">
        <v>610</v>
      </c>
      <c r="B81" s="938">
        <v>20.3</v>
      </c>
      <c r="C81" s="938">
        <v>24.47</v>
      </c>
      <c r="D81" s="938">
        <v>17.98</v>
      </c>
      <c r="E81" s="938">
        <v>17.57</v>
      </c>
      <c r="F81" s="938">
        <v>17.72</v>
      </c>
      <c r="G81" s="938">
        <v>18.84</v>
      </c>
      <c r="H81" s="938">
        <v>19.86</v>
      </c>
      <c r="I81" s="938">
        <v>20.58</v>
      </c>
      <c r="J81" s="938">
        <v>21.08</v>
      </c>
      <c r="K81" s="938">
        <v>22</v>
      </c>
      <c r="L81" s="938">
        <v>22.66</v>
      </c>
      <c r="M81" s="938">
        <v>23.32</v>
      </c>
      <c r="N81" s="938">
        <v>23.74</v>
      </c>
      <c r="O81" s="938">
        <v>24.1</v>
      </c>
      <c r="P81" s="938">
        <v>24.24</v>
      </c>
      <c r="Q81" s="938">
        <v>24.44</v>
      </c>
      <c r="R81" s="938">
        <v>24.76</v>
      </c>
      <c r="S81" s="938">
        <v>24.94</v>
      </c>
      <c r="T81" s="938">
        <v>25.23</v>
      </c>
      <c r="U81" s="938">
        <v>25.5</v>
      </c>
      <c r="V81" s="938">
        <v>25.72</v>
      </c>
      <c r="W81" s="938">
        <v>26.04</v>
      </c>
      <c r="X81" s="938">
        <v>26.44</v>
      </c>
      <c r="Y81" s="938">
        <v>26.61</v>
      </c>
      <c r="Z81" s="938">
        <v>27.05</v>
      </c>
      <c r="AA81" s="938">
        <v>27.45</v>
      </c>
      <c r="AB81" s="938">
        <v>27.82</v>
      </c>
      <c r="AC81" s="938">
        <v>28.24</v>
      </c>
      <c r="AD81" s="938">
        <v>28.66</v>
      </c>
      <c r="AE81" s="977">
        <v>6.0000000000000001E-3</v>
      </c>
      <c r="AF81" s="938"/>
      <c r="AG81" s="938"/>
      <c r="AH81" s="938"/>
      <c r="AI81" s="938"/>
      <c r="AJ81" s="938"/>
      <c r="AK81" s="938"/>
      <c r="AL81" s="938"/>
      <c r="AM81" s="938"/>
      <c r="AN81" s="938"/>
      <c r="AO81" s="938"/>
      <c r="AP81" s="938"/>
      <c r="AQ81" s="938"/>
      <c r="AR81" s="938"/>
      <c r="AS81" s="938"/>
      <c r="AT81" s="938"/>
      <c r="AU81" s="938"/>
      <c r="AV81" s="938"/>
      <c r="AW81" s="938"/>
      <c r="AX81" s="938"/>
      <c r="AY81" s="938"/>
      <c r="AZ81" s="938"/>
      <c r="BA81" s="938"/>
      <c r="BB81" s="938"/>
      <c r="BC81" s="938"/>
      <c r="BD81" s="938"/>
      <c r="BE81" s="938"/>
      <c r="BF81" s="938"/>
      <c r="BG81" s="938"/>
      <c r="BH81" s="938"/>
      <c r="BI81" s="938"/>
      <c r="BJ81" s="938"/>
      <c r="BK81" s="938"/>
      <c r="BL81" s="938"/>
      <c r="BM81" s="938"/>
      <c r="BN81" s="938"/>
      <c r="BO81" s="938"/>
      <c r="BP81" s="938"/>
      <c r="BQ81" s="938"/>
      <c r="BR81" s="938"/>
      <c r="BS81" s="938"/>
      <c r="BT81" s="938"/>
    </row>
    <row r="82" spans="1:72" x14ac:dyDescent="0.25">
      <c r="A82" s="938" t="s">
        <v>510</v>
      </c>
      <c r="B82" s="938">
        <v>12.94</v>
      </c>
      <c r="C82" s="938">
        <v>13.48</v>
      </c>
      <c r="D82" s="938">
        <v>11.39</v>
      </c>
      <c r="E82" s="938">
        <v>10.89</v>
      </c>
      <c r="F82" s="938">
        <v>11.78</v>
      </c>
      <c r="G82" s="938">
        <v>11.87</v>
      </c>
      <c r="H82" s="938">
        <v>11.48</v>
      </c>
      <c r="I82" s="938">
        <v>11.41</v>
      </c>
      <c r="J82" s="938">
        <v>11.56</v>
      </c>
      <c r="K82" s="938">
        <v>11.65</v>
      </c>
      <c r="L82" s="938">
        <v>11.69</v>
      </c>
      <c r="M82" s="938">
        <v>11.76</v>
      </c>
      <c r="N82" s="938">
        <v>11.83</v>
      </c>
      <c r="O82" s="938">
        <v>11.95</v>
      </c>
      <c r="P82" s="938">
        <v>12.07</v>
      </c>
      <c r="Q82" s="938">
        <v>12.26</v>
      </c>
      <c r="R82" s="938">
        <v>12.29</v>
      </c>
      <c r="S82" s="938">
        <v>12.2</v>
      </c>
      <c r="T82" s="938">
        <v>12.29</v>
      </c>
      <c r="U82" s="938">
        <v>12.46</v>
      </c>
      <c r="V82" s="938">
        <v>12.66</v>
      </c>
      <c r="W82" s="938">
        <v>12.9</v>
      </c>
      <c r="X82" s="938">
        <v>13.16</v>
      </c>
      <c r="Y82" s="938">
        <v>13.44</v>
      </c>
      <c r="Z82" s="938">
        <v>13.78</v>
      </c>
      <c r="AA82" s="938">
        <v>13.93</v>
      </c>
      <c r="AB82" s="938">
        <v>14.03</v>
      </c>
      <c r="AC82" s="938">
        <v>14.25</v>
      </c>
      <c r="AD82" s="938">
        <v>14.4</v>
      </c>
      <c r="AE82" s="977">
        <v>2E-3</v>
      </c>
      <c r="AF82" s="938"/>
      <c r="AG82" s="938"/>
      <c r="AH82" s="938"/>
      <c r="AI82" s="938"/>
      <c r="AJ82" s="938"/>
      <c r="AK82" s="938"/>
      <c r="AL82" s="938"/>
      <c r="AM82" s="938"/>
      <c r="AN82" s="938"/>
      <c r="AO82" s="938"/>
      <c r="AP82" s="938"/>
      <c r="AQ82" s="938"/>
      <c r="AR82" s="938"/>
      <c r="AS82" s="938"/>
      <c r="AT82" s="938"/>
      <c r="AU82" s="938"/>
      <c r="AV82" s="938"/>
      <c r="AW82" s="938"/>
      <c r="AX82" s="938"/>
      <c r="AY82" s="938"/>
      <c r="AZ82" s="938"/>
      <c r="BA82" s="938"/>
      <c r="BB82" s="938"/>
      <c r="BC82" s="938"/>
      <c r="BD82" s="938"/>
      <c r="BE82" s="938"/>
      <c r="BF82" s="938"/>
      <c r="BG82" s="938"/>
      <c r="BH82" s="938"/>
      <c r="BI82" s="938"/>
      <c r="BJ82" s="938"/>
      <c r="BK82" s="938"/>
      <c r="BL82" s="938"/>
      <c r="BM82" s="938"/>
      <c r="BN82" s="938"/>
      <c r="BO82" s="938"/>
      <c r="BP82" s="938"/>
      <c r="BQ82" s="938"/>
      <c r="BR82" s="938"/>
      <c r="BS82" s="938"/>
      <c r="BT82" s="938"/>
    </row>
    <row r="83" spans="1:72" x14ac:dyDescent="0.25">
      <c r="A83" s="938" t="s">
        <v>479</v>
      </c>
      <c r="B83" s="938">
        <v>31.82</v>
      </c>
      <c r="C83" s="938">
        <v>33.29</v>
      </c>
      <c r="D83" s="938">
        <v>32.33</v>
      </c>
      <c r="E83" s="938">
        <v>30.94</v>
      </c>
      <c r="F83" s="938">
        <v>29.9</v>
      </c>
      <c r="G83" s="938">
        <v>31.08</v>
      </c>
      <c r="H83" s="938">
        <v>31.47</v>
      </c>
      <c r="I83" s="938">
        <v>31.49</v>
      </c>
      <c r="J83" s="938">
        <v>31.43</v>
      </c>
      <c r="K83" s="938">
        <v>31.64</v>
      </c>
      <c r="L83" s="938">
        <v>31.8</v>
      </c>
      <c r="M83" s="938">
        <v>31.78</v>
      </c>
      <c r="N83" s="938">
        <v>31.68</v>
      </c>
      <c r="O83" s="938">
        <v>31.84</v>
      </c>
      <c r="P83" s="938">
        <v>32.01</v>
      </c>
      <c r="Q83" s="938">
        <v>32.08</v>
      </c>
      <c r="R83" s="938">
        <v>32.200000000000003</v>
      </c>
      <c r="S83" s="938">
        <v>32.28</v>
      </c>
      <c r="T83" s="938">
        <v>32.26</v>
      </c>
      <c r="U83" s="938">
        <v>32.4</v>
      </c>
      <c r="V83" s="938">
        <v>32.57</v>
      </c>
      <c r="W83" s="938">
        <v>32.729999999999997</v>
      </c>
      <c r="X83" s="938">
        <v>33.130000000000003</v>
      </c>
      <c r="Y83" s="938">
        <v>33.46</v>
      </c>
      <c r="Z83" s="938">
        <v>33.81</v>
      </c>
      <c r="AA83" s="938">
        <v>34.11</v>
      </c>
      <c r="AB83" s="938">
        <v>34.26</v>
      </c>
      <c r="AC83" s="938">
        <v>34.49</v>
      </c>
      <c r="AD83" s="938">
        <v>34.71</v>
      </c>
      <c r="AE83" s="977">
        <v>2E-3</v>
      </c>
      <c r="AF83" s="938"/>
      <c r="AG83" s="938"/>
      <c r="AH83" s="938"/>
      <c r="AI83" s="938"/>
      <c r="AJ83" s="938"/>
      <c r="AK83" s="938"/>
      <c r="AL83" s="938"/>
      <c r="AM83" s="938"/>
      <c r="AN83" s="938"/>
      <c r="AO83" s="938"/>
      <c r="AP83" s="938"/>
      <c r="AQ83" s="938"/>
      <c r="AR83" s="938"/>
      <c r="AS83" s="938"/>
      <c r="AT83" s="938"/>
      <c r="AU83" s="938"/>
      <c r="AV83" s="938"/>
      <c r="AW83" s="938"/>
      <c r="AX83" s="938"/>
      <c r="AY83" s="938"/>
      <c r="AZ83" s="938"/>
      <c r="BA83" s="938"/>
      <c r="BB83" s="938"/>
      <c r="BC83" s="938"/>
      <c r="BD83" s="938"/>
      <c r="BE83" s="938"/>
      <c r="BF83" s="938"/>
      <c r="BG83" s="938"/>
      <c r="BH83" s="938"/>
      <c r="BI83" s="938"/>
      <c r="BJ83" s="938"/>
      <c r="BK83" s="938"/>
      <c r="BL83" s="938"/>
      <c r="BM83" s="938"/>
      <c r="BN83" s="938"/>
      <c r="BO83" s="938"/>
      <c r="BP83" s="938"/>
      <c r="BQ83" s="938"/>
      <c r="BR83" s="938"/>
      <c r="BS83" s="938"/>
      <c r="BT83" s="938"/>
    </row>
    <row r="84" spans="1:72" x14ac:dyDescent="0.25">
      <c r="A84" s="938"/>
      <c r="B84" s="938"/>
      <c r="C84" s="938"/>
      <c r="D84" s="938"/>
      <c r="E84" s="938"/>
      <c r="F84" s="938"/>
      <c r="G84" s="938"/>
      <c r="H84" s="938"/>
      <c r="I84" s="938"/>
      <c r="J84" s="938"/>
      <c r="K84" s="938"/>
      <c r="L84" s="938"/>
      <c r="M84" s="938"/>
      <c r="N84" s="938"/>
      <c r="O84" s="938"/>
      <c r="P84" s="938"/>
      <c r="Q84" s="938"/>
      <c r="R84" s="938"/>
      <c r="S84" s="938"/>
      <c r="T84" s="938"/>
      <c r="U84" s="938"/>
      <c r="V84" s="938"/>
      <c r="W84" s="938"/>
      <c r="X84" s="938"/>
      <c r="Y84" s="938"/>
      <c r="Z84" s="938"/>
      <c r="AA84" s="938"/>
      <c r="AB84" s="938"/>
      <c r="AC84" s="938"/>
      <c r="AD84" s="938"/>
      <c r="AE84" s="938"/>
      <c r="AF84" s="938"/>
      <c r="AG84" s="938"/>
      <c r="AH84" s="938"/>
      <c r="AI84" s="938"/>
      <c r="AJ84" s="938"/>
      <c r="AK84" s="938"/>
      <c r="AL84" s="938"/>
      <c r="AM84" s="938"/>
      <c r="AN84" s="938"/>
      <c r="AO84" s="938"/>
      <c r="AP84" s="938"/>
      <c r="AQ84" s="938"/>
      <c r="AR84" s="938"/>
      <c r="AS84" s="938"/>
      <c r="AT84" s="938"/>
      <c r="AU84" s="938"/>
      <c r="AV84" s="938"/>
      <c r="AW84" s="938"/>
      <c r="AX84" s="938"/>
      <c r="AY84" s="938"/>
      <c r="AZ84" s="938"/>
      <c r="BA84" s="938"/>
      <c r="BB84" s="938"/>
      <c r="BC84" s="938"/>
      <c r="BD84" s="938"/>
      <c r="BE84" s="938"/>
      <c r="BF84" s="938"/>
      <c r="BG84" s="938"/>
      <c r="BH84" s="938"/>
      <c r="BI84" s="938"/>
      <c r="BJ84" s="938"/>
      <c r="BK84" s="938"/>
      <c r="BL84" s="938"/>
      <c r="BM84" s="938"/>
      <c r="BN84" s="938"/>
      <c r="BO84" s="938"/>
      <c r="BP84" s="938"/>
      <c r="BQ84" s="938"/>
      <c r="BR84" s="938"/>
      <c r="BS84" s="938"/>
      <c r="BT84" s="938"/>
    </row>
    <row r="85" spans="1:72" x14ac:dyDescent="0.25">
      <c r="A85" s="938" t="s">
        <v>480</v>
      </c>
      <c r="B85" s="938"/>
      <c r="C85" s="938"/>
      <c r="D85" s="938"/>
      <c r="E85" s="938"/>
      <c r="F85" s="938"/>
      <c r="G85" s="938"/>
      <c r="H85" s="938"/>
      <c r="I85" s="938"/>
      <c r="J85" s="938"/>
      <c r="K85" s="938"/>
      <c r="L85" s="938"/>
      <c r="M85" s="938"/>
      <c r="N85" s="938"/>
      <c r="O85" s="938"/>
      <c r="P85" s="938"/>
      <c r="Q85" s="938"/>
      <c r="R85" s="938"/>
      <c r="S85" s="938"/>
      <c r="T85" s="938"/>
      <c r="U85" s="938"/>
      <c r="V85" s="938"/>
      <c r="W85" s="938"/>
      <c r="X85" s="938"/>
      <c r="Y85" s="938"/>
      <c r="Z85" s="938"/>
      <c r="AA85" s="938"/>
      <c r="AB85" s="938"/>
      <c r="AC85" s="938"/>
      <c r="AD85" s="938"/>
      <c r="AE85" s="938"/>
      <c r="AF85" s="938"/>
      <c r="AG85" s="938"/>
      <c r="AH85" s="938"/>
      <c r="AI85" s="938"/>
      <c r="AJ85" s="938"/>
      <c r="AK85" s="938"/>
      <c r="AL85" s="938"/>
      <c r="AM85" s="938"/>
      <c r="AN85" s="938"/>
      <c r="AO85" s="938"/>
      <c r="AP85" s="938"/>
      <c r="AQ85" s="938"/>
      <c r="AR85" s="938"/>
      <c r="AS85" s="938"/>
      <c r="AT85" s="938"/>
      <c r="AU85" s="938"/>
      <c r="AV85" s="938"/>
      <c r="AW85" s="938"/>
      <c r="AX85" s="938"/>
      <c r="AY85" s="938"/>
      <c r="AZ85" s="938"/>
      <c r="BA85" s="938"/>
      <c r="BB85" s="938"/>
      <c r="BC85" s="938"/>
      <c r="BD85" s="938"/>
      <c r="BE85" s="938"/>
      <c r="BF85" s="938"/>
      <c r="BG85" s="938"/>
      <c r="BH85" s="938"/>
      <c r="BI85" s="938"/>
      <c r="BJ85" s="938"/>
      <c r="BK85" s="938"/>
      <c r="BL85" s="938"/>
      <c r="BM85" s="938"/>
      <c r="BN85" s="938"/>
      <c r="BO85" s="938"/>
      <c r="BP85" s="938"/>
      <c r="BQ85" s="938"/>
      <c r="BR85" s="938"/>
      <c r="BS85" s="938"/>
      <c r="BT85" s="938"/>
    </row>
    <row r="86" spans="1:72" x14ac:dyDescent="0.25">
      <c r="A86" s="938" t="s">
        <v>609</v>
      </c>
      <c r="B86" s="938">
        <v>20.65</v>
      </c>
      <c r="C86" s="938">
        <v>26.15</v>
      </c>
      <c r="D86" s="938">
        <v>19.82</v>
      </c>
      <c r="E86" s="938">
        <v>20.78</v>
      </c>
      <c r="F86" s="938">
        <v>20.86</v>
      </c>
      <c r="G86" s="938">
        <v>22.02</v>
      </c>
      <c r="H86" s="938">
        <v>23.23</v>
      </c>
      <c r="I86" s="938">
        <v>24.19</v>
      </c>
      <c r="J86" s="938">
        <v>24.77</v>
      </c>
      <c r="K86" s="938">
        <v>25.41</v>
      </c>
      <c r="L86" s="938">
        <v>25.95</v>
      </c>
      <c r="M86" s="938">
        <v>26.53</v>
      </c>
      <c r="N86" s="938">
        <v>26.79</v>
      </c>
      <c r="O86" s="938">
        <v>27.02</v>
      </c>
      <c r="P86" s="938">
        <v>27.25</v>
      </c>
      <c r="Q86" s="938">
        <v>27.46</v>
      </c>
      <c r="R86" s="938">
        <v>27.73</v>
      </c>
      <c r="S86" s="938">
        <v>28</v>
      </c>
      <c r="T86" s="938">
        <v>28.26</v>
      </c>
      <c r="U86" s="938">
        <v>28.41</v>
      </c>
      <c r="V86" s="938">
        <v>28.68</v>
      </c>
      <c r="W86" s="938">
        <v>28.93</v>
      </c>
      <c r="X86" s="938">
        <v>29.28</v>
      </c>
      <c r="Y86" s="938">
        <v>29.5</v>
      </c>
      <c r="Z86" s="938">
        <v>29.86</v>
      </c>
      <c r="AA86" s="938">
        <v>30.19</v>
      </c>
      <c r="AB86" s="938">
        <v>30.58</v>
      </c>
      <c r="AC86" s="938">
        <v>30.94</v>
      </c>
      <c r="AD86" s="938">
        <v>31.32</v>
      </c>
      <c r="AE86" s="977">
        <v>7.0000000000000001E-3</v>
      </c>
      <c r="AF86" s="938"/>
      <c r="AG86" s="938"/>
      <c r="AH86" s="938"/>
      <c r="AI86" s="938"/>
      <c r="AJ86" s="938"/>
      <c r="AK86" s="938"/>
      <c r="AL86" s="938"/>
      <c r="AM86" s="938"/>
      <c r="AN86" s="938"/>
      <c r="AO86" s="938"/>
      <c r="AP86" s="938"/>
      <c r="AQ86" s="938"/>
      <c r="AR86" s="938"/>
      <c r="AS86" s="938"/>
      <c r="AT86" s="938"/>
      <c r="AU86" s="938"/>
      <c r="AV86" s="938"/>
      <c r="AW86" s="938"/>
      <c r="AX86" s="938"/>
      <c r="AY86" s="938"/>
      <c r="AZ86" s="938"/>
      <c r="BA86" s="938"/>
      <c r="BB86" s="938"/>
      <c r="BC86" s="938"/>
      <c r="BD86" s="938"/>
      <c r="BE86" s="938"/>
      <c r="BF86" s="938"/>
      <c r="BG86" s="938"/>
      <c r="BH86" s="938"/>
      <c r="BI86" s="938"/>
      <c r="BJ86" s="938"/>
      <c r="BK86" s="938"/>
      <c r="BL86" s="938"/>
      <c r="BM86" s="938"/>
      <c r="BN86" s="938"/>
      <c r="BO86" s="938"/>
      <c r="BP86" s="938"/>
      <c r="BQ86" s="938"/>
      <c r="BR86" s="938"/>
      <c r="BS86" s="938"/>
      <c r="BT86" s="938"/>
    </row>
    <row r="87" spans="1:72" x14ac:dyDescent="0.25">
      <c r="A87" s="938" t="s">
        <v>610</v>
      </c>
      <c r="B87" s="938">
        <v>17.48</v>
      </c>
      <c r="C87" s="938">
        <v>21.5</v>
      </c>
      <c r="D87" s="938">
        <v>15.8</v>
      </c>
      <c r="E87" s="938">
        <v>14.82</v>
      </c>
      <c r="F87" s="938">
        <v>15.24</v>
      </c>
      <c r="G87" s="938">
        <v>16.38</v>
      </c>
      <c r="H87" s="938">
        <v>17.399999999999999</v>
      </c>
      <c r="I87" s="938">
        <v>18.11</v>
      </c>
      <c r="J87" s="938">
        <v>18.72</v>
      </c>
      <c r="K87" s="938">
        <v>19.559999999999999</v>
      </c>
      <c r="L87" s="938">
        <v>20.2</v>
      </c>
      <c r="M87" s="938">
        <v>20.84</v>
      </c>
      <c r="N87" s="938">
        <v>21.26</v>
      </c>
      <c r="O87" s="938">
        <v>21.6</v>
      </c>
      <c r="P87" s="938">
        <v>21.78</v>
      </c>
      <c r="Q87" s="938">
        <v>22.04</v>
      </c>
      <c r="R87" s="938">
        <v>22.29</v>
      </c>
      <c r="S87" s="938">
        <v>22.43</v>
      </c>
      <c r="T87" s="938">
        <v>22.72</v>
      </c>
      <c r="U87" s="938">
        <v>22.97</v>
      </c>
      <c r="V87" s="938">
        <v>23.21</v>
      </c>
      <c r="W87" s="938">
        <v>23.53</v>
      </c>
      <c r="X87" s="938">
        <v>23.93</v>
      </c>
      <c r="Y87" s="938">
        <v>24.11</v>
      </c>
      <c r="Z87" s="938">
        <v>24.54</v>
      </c>
      <c r="AA87" s="938">
        <v>24.94</v>
      </c>
      <c r="AB87" s="938">
        <v>25.28</v>
      </c>
      <c r="AC87" s="938">
        <v>25.69</v>
      </c>
      <c r="AD87" s="938">
        <v>26.13</v>
      </c>
      <c r="AE87" s="977">
        <v>7.0000000000000001E-3</v>
      </c>
      <c r="AF87" s="938"/>
      <c r="AG87" s="938"/>
      <c r="AH87" s="938"/>
      <c r="AI87" s="938"/>
      <c r="AJ87" s="938"/>
      <c r="AK87" s="938"/>
      <c r="AL87" s="938"/>
      <c r="AM87" s="938"/>
      <c r="AN87" s="938"/>
      <c r="AO87" s="938"/>
      <c r="AP87" s="938"/>
      <c r="AQ87" s="938"/>
      <c r="AR87" s="938"/>
      <c r="AS87" s="938"/>
      <c r="AT87" s="938"/>
      <c r="AU87" s="938"/>
      <c r="AV87" s="938"/>
      <c r="AW87" s="938"/>
      <c r="AX87" s="938"/>
      <c r="AY87" s="938"/>
      <c r="AZ87" s="938"/>
      <c r="BA87" s="938"/>
      <c r="BB87" s="938"/>
      <c r="BC87" s="938"/>
      <c r="BD87" s="938"/>
      <c r="BE87" s="938"/>
      <c r="BF87" s="938"/>
      <c r="BG87" s="938"/>
      <c r="BH87" s="938"/>
      <c r="BI87" s="938"/>
      <c r="BJ87" s="938"/>
      <c r="BK87" s="938"/>
      <c r="BL87" s="938"/>
      <c r="BM87" s="938"/>
      <c r="BN87" s="938"/>
      <c r="BO87" s="938"/>
      <c r="BP87" s="938"/>
      <c r="BQ87" s="938"/>
      <c r="BR87" s="938"/>
      <c r="BS87" s="938"/>
      <c r="BT87" s="938"/>
    </row>
    <row r="88" spans="1:72" x14ac:dyDescent="0.25">
      <c r="A88" s="938" t="s">
        <v>723</v>
      </c>
      <c r="B88" s="938">
        <v>8.39</v>
      </c>
      <c r="C88" s="938">
        <v>15.52</v>
      </c>
      <c r="D88" s="938">
        <v>9.27</v>
      </c>
      <c r="E88" s="938">
        <v>9.4499999999999993</v>
      </c>
      <c r="F88" s="938">
        <v>9.6300000000000008</v>
      </c>
      <c r="G88" s="938">
        <v>10.85</v>
      </c>
      <c r="H88" s="938">
        <v>11.98</v>
      </c>
      <c r="I88" s="938">
        <v>12.76</v>
      </c>
      <c r="J88" s="938">
        <v>13.13</v>
      </c>
      <c r="K88" s="938">
        <v>13.68</v>
      </c>
      <c r="L88" s="938">
        <v>14.17</v>
      </c>
      <c r="M88" s="938">
        <v>14.69</v>
      </c>
      <c r="N88" s="938">
        <v>15.26</v>
      </c>
      <c r="O88" s="938">
        <v>15.46</v>
      </c>
      <c r="P88" s="938">
        <v>15.68</v>
      </c>
      <c r="Q88" s="938">
        <v>15.89</v>
      </c>
      <c r="R88" s="938">
        <v>16.12</v>
      </c>
      <c r="S88" s="938">
        <v>16.34</v>
      </c>
      <c r="T88" s="938">
        <v>16.54</v>
      </c>
      <c r="U88" s="938">
        <v>16.63</v>
      </c>
      <c r="V88" s="938">
        <v>16.82</v>
      </c>
      <c r="W88" s="938">
        <v>17.059999999999999</v>
      </c>
      <c r="X88" s="938">
        <v>17.28</v>
      </c>
      <c r="Y88" s="938">
        <v>17.54</v>
      </c>
      <c r="Z88" s="938">
        <v>17.89</v>
      </c>
      <c r="AA88" s="938">
        <v>18.12</v>
      </c>
      <c r="AB88" s="938">
        <v>18.25</v>
      </c>
      <c r="AC88" s="938">
        <v>18.68</v>
      </c>
      <c r="AD88" s="938">
        <v>18.84</v>
      </c>
      <c r="AE88" s="977">
        <v>7.0000000000000001E-3</v>
      </c>
      <c r="AF88" s="938"/>
      <c r="AG88" s="938"/>
      <c r="AH88" s="938"/>
      <c r="AI88" s="938"/>
      <c r="AJ88" s="938"/>
      <c r="AK88" s="938"/>
      <c r="AL88" s="938"/>
      <c r="AM88" s="938"/>
      <c r="AN88" s="938"/>
      <c r="AO88" s="938"/>
      <c r="AP88" s="938"/>
      <c r="AQ88" s="938"/>
      <c r="AR88" s="938"/>
      <c r="AS88" s="938"/>
      <c r="AT88" s="938"/>
      <c r="AU88" s="938"/>
      <c r="AV88" s="938"/>
      <c r="AW88" s="938"/>
      <c r="AX88" s="938"/>
      <c r="AY88" s="938"/>
      <c r="AZ88" s="938"/>
      <c r="BA88" s="938"/>
      <c r="BB88" s="938"/>
      <c r="BC88" s="938"/>
      <c r="BD88" s="938"/>
      <c r="BE88" s="938"/>
      <c r="BF88" s="938"/>
      <c r="BG88" s="938"/>
      <c r="BH88" s="938"/>
      <c r="BI88" s="938"/>
      <c r="BJ88" s="938"/>
      <c r="BK88" s="938"/>
      <c r="BL88" s="938"/>
      <c r="BM88" s="938"/>
      <c r="BN88" s="938"/>
      <c r="BO88" s="938"/>
      <c r="BP88" s="938"/>
      <c r="BQ88" s="938"/>
      <c r="BR88" s="938"/>
      <c r="BS88" s="938"/>
      <c r="BT88" s="938"/>
    </row>
    <row r="89" spans="1:72" x14ac:dyDescent="0.25">
      <c r="A89" s="938" t="s">
        <v>510</v>
      </c>
      <c r="B89" s="938">
        <v>11.2</v>
      </c>
      <c r="C89" s="938">
        <v>11.94</v>
      </c>
      <c r="D89" s="938">
        <v>9.0500000000000007</v>
      </c>
      <c r="E89" s="938">
        <v>8.67</v>
      </c>
      <c r="F89" s="938">
        <v>9.7200000000000006</v>
      </c>
      <c r="G89" s="938">
        <v>10.07</v>
      </c>
      <c r="H89" s="938">
        <v>9.92</v>
      </c>
      <c r="I89" s="938">
        <v>9.85</v>
      </c>
      <c r="J89" s="938">
        <v>9.99</v>
      </c>
      <c r="K89" s="938">
        <v>10.08</v>
      </c>
      <c r="L89" s="938">
        <v>10.11</v>
      </c>
      <c r="M89" s="938">
        <v>10.16</v>
      </c>
      <c r="N89" s="938">
        <v>10.23</v>
      </c>
      <c r="O89" s="938">
        <v>10.35</v>
      </c>
      <c r="P89" s="938">
        <v>10.46</v>
      </c>
      <c r="Q89" s="938">
        <v>10.65</v>
      </c>
      <c r="R89" s="938">
        <v>10.69</v>
      </c>
      <c r="S89" s="938">
        <v>10.62</v>
      </c>
      <c r="T89" s="938">
        <v>10.7</v>
      </c>
      <c r="U89" s="938">
        <v>10.86</v>
      </c>
      <c r="V89" s="938">
        <v>11.04</v>
      </c>
      <c r="W89" s="938">
        <v>11.28</v>
      </c>
      <c r="X89" s="938">
        <v>11.52</v>
      </c>
      <c r="Y89" s="938">
        <v>11.78</v>
      </c>
      <c r="Z89" s="938">
        <v>12.11</v>
      </c>
      <c r="AA89" s="938">
        <v>12.26</v>
      </c>
      <c r="AB89" s="938">
        <v>12.32</v>
      </c>
      <c r="AC89" s="938">
        <v>12.52</v>
      </c>
      <c r="AD89" s="938">
        <v>12.66</v>
      </c>
      <c r="AE89" s="977">
        <v>2E-3</v>
      </c>
      <c r="AF89" s="938"/>
      <c r="AG89" s="938"/>
      <c r="AH89" s="938"/>
      <c r="AI89" s="938"/>
      <c r="AJ89" s="938"/>
      <c r="AK89" s="938"/>
      <c r="AL89" s="938"/>
      <c r="AM89" s="938"/>
      <c r="AN89" s="938"/>
      <c r="AO89" s="938"/>
      <c r="AP89" s="938"/>
      <c r="AQ89" s="938"/>
      <c r="AR89" s="938"/>
      <c r="AS89" s="938"/>
      <c r="AT89" s="938"/>
      <c r="AU89" s="938"/>
      <c r="AV89" s="938"/>
      <c r="AW89" s="938"/>
      <c r="AX89" s="938"/>
      <c r="AY89" s="938"/>
      <c r="AZ89" s="938"/>
      <c r="BA89" s="938"/>
      <c r="BB89" s="938"/>
      <c r="BC89" s="938"/>
      <c r="BD89" s="938"/>
      <c r="BE89" s="938"/>
      <c r="BF89" s="938"/>
      <c r="BG89" s="938"/>
      <c r="BH89" s="938"/>
      <c r="BI89" s="938"/>
      <c r="BJ89" s="938"/>
      <c r="BK89" s="938"/>
      <c r="BL89" s="938"/>
      <c r="BM89" s="938"/>
      <c r="BN89" s="938"/>
      <c r="BO89" s="938"/>
      <c r="BP89" s="938"/>
      <c r="BQ89" s="938"/>
      <c r="BR89" s="938"/>
      <c r="BS89" s="938"/>
      <c r="BT89" s="938"/>
    </row>
    <row r="90" spans="1:72" x14ac:dyDescent="0.25">
      <c r="A90" s="938" t="s">
        <v>479</v>
      </c>
      <c r="B90" s="938">
        <v>28.81</v>
      </c>
      <c r="C90" s="938">
        <v>30.47</v>
      </c>
      <c r="D90" s="938">
        <v>28.94</v>
      </c>
      <c r="E90" s="938">
        <v>27.37</v>
      </c>
      <c r="F90" s="938">
        <v>25.72</v>
      </c>
      <c r="G90" s="938">
        <v>26.72</v>
      </c>
      <c r="H90" s="938">
        <v>26.81</v>
      </c>
      <c r="I90" s="938">
        <v>26.55</v>
      </c>
      <c r="J90" s="938">
        <v>26.55</v>
      </c>
      <c r="K90" s="938">
        <v>26.81</v>
      </c>
      <c r="L90" s="938">
        <v>26.97</v>
      </c>
      <c r="M90" s="938">
        <v>26.98</v>
      </c>
      <c r="N90" s="938">
        <v>26.93</v>
      </c>
      <c r="O90" s="938">
        <v>27.12</v>
      </c>
      <c r="P90" s="938">
        <v>27.31</v>
      </c>
      <c r="Q90" s="938">
        <v>27.42</v>
      </c>
      <c r="R90" s="938">
        <v>27.62</v>
      </c>
      <c r="S90" s="938">
        <v>27.77</v>
      </c>
      <c r="T90" s="938">
        <v>27.72</v>
      </c>
      <c r="U90" s="938">
        <v>27.87</v>
      </c>
      <c r="V90" s="938">
        <v>28.05</v>
      </c>
      <c r="W90" s="938">
        <v>28.25</v>
      </c>
      <c r="X90" s="938">
        <v>28.67</v>
      </c>
      <c r="Y90" s="938">
        <v>28.99</v>
      </c>
      <c r="Z90" s="938">
        <v>29.37</v>
      </c>
      <c r="AA90" s="938">
        <v>29.73</v>
      </c>
      <c r="AB90" s="938">
        <v>29.9</v>
      </c>
      <c r="AC90" s="938">
        <v>30.15</v>
      </c>
      <c r="AD90" s="938">
        <v>30.37</v>
      </c>
      <c r="AE90" s="977">
        <v>0</v>
      </c>
      <c r="AF90" s="938"/>
      <c r="AG90" s="938"/>
      <c r="AH90" s="938"/>
      <c r="AI90" s="938"/>
      <c r="AJ90" s="938"/>
      <c r="AK90" s="938"/>
      <c r="AL90" s="938"/>
      <c r="AM90" s="938"/>
      <c r="AN90" s="938"/>
      <c r="AO90" s="938"/>
      <c r="AP90" s="938"/>
      <c r="AQ90" s="938"/>
      <c r="AR90" s="938"/>
      <c r="AS90" s="938"/>
      <c r="AT90" s="938"/>
      <c r="AU90" s="938"/>
      <c r="AV90" s="938"/>
      <c r="AW90" s="938"/>
      <c r="AX90" s="938"/>
      <c r="AY90" s="938"/>
      <c r="AZ90" s="938"/>
      <c r="BA90" s="938"/>
      <c r="BB90" s="938"/>
      <c r="BC90" s="938"/>
      <c r="BD90" s="938"/>
      <c r="BE90" s="938"/>
      <c r="BF90" s="938"/>
      <c r="BG90" s="938"/>
      <c r="BH90" s="938"/>
      <c r="BI90" s="938"/>
      <c r="BJ90" s="938"/>
      <c r="BK90" s="938"/>
      <c r="BL90" s="938"/>
      <c r="BM90" s="938"/>
      <c r="BN90" s="938"/>
      <c r="BO90" s="938"/>
      <c r="BP90" s="938"/>
      <c r="BQ90" s="938"/>
      <c r="BR90" s="938"/>
      <c r="BS90" s="938"/>
      <c r="BT90" s="938"/>
    </row>
    <row r="91" spans="1:72" x14ac:dyDescent="0.25">
      <c r="A91" s="938"/>
      <c r="B91" s="938"/>
      <c r="C91" s="938"/>
      <c r="D91" s="938"/>
      <c r="E91" s="938"/>
      <c r="F91" s="938"/>
      <c r="G91" s="938"/>
      <c r="H91" s="938"/>
      <c r="I91" s="938"/>
      <c r="J91" s="938"/>
      <c r="K91" s="938"/>
      <c r="L91" s="938"/>
      <c r="M91" s="938"/>
      <c r="N91" s="938"/>
      <c r="O91" s="938"/>
      <c r="P91" s="938"/>
      <c r="Q91" s="938"/>
      <c r="R91" s="938"/>
      <c r="S91" s="938"/>
      <c r="T91" s="938"/>
      <c r="U91" s="938"/>
      <c r="V91" s="938"/>
      <c r="W91" s="938"/>
      <c r="X91" s="938"/>
      <c r="Y91" s="938"/>
      <c r="Z91" s="938"/>
      <c r="AA91" s="938"/>
      <c r="AB91" s="938"/>
      <c r="AC91" s="938"/>
      <c r="AD91" s="938"/>
      <c r="AE91" s="938"/>
      <c r="AF91" s="938"/>
      <c r="AG91" s="938"/>
      <c r="AH91" s="938"/>
      <c r="AI91" s="938"/>
      <c r="AJ91" s="938"/>
      <c r="AK91" s="938"/>
      <c r="AL91" s="938"/>
      <c r="AM91" s="938"/>
      <c r="AN91" s="938"/>
      <c r="AO91" s="938"/>
      <c r="AP91" s="938"/>
      <c r="AQ91" s="938"/>
      <c r="AR91" s="938"/>
      <c r="AS91" s="938"/>
      <c r="AT91" s="938"/>
      <c r="AU91" s="938"/>
      <c r="AV91" s="938"/>
      <c r="AW91" s="938"/>
      <c r="AX91" s="938"/>
      <c r="AY91" s="938"/>
      <c r="AZ91" s="938"/>
      <c r="BA91" s="938"/>
      <c r="BB91" s="938"/>
      <c r="BC91" s="938"/>
      <c r="BD91" s="938"/>
      <c r="BE91" s="938"/>
      <c r="BF91" s="938"/>
      <c r="BG91" s="938"/>
      <c r="BH91" s="938"/>
      <c r="BI91" s="938"/>
      <c r="BJ91" s="938"/>
      <c r="BK91" s="938"/>
      <c r="BL91" s="938"/>
      <c r="BM91" s="938"/>
      <c r="BN91" s="938"/>
      <c r="BO91" s="938"/>
      <c r="BP91" s="938"/>
      <c r="BQ91" s="938"/>
      <c r="BR91" s="938"/>
      <c r="BS91" s="938"/>
      <c r="BT91" s="938"/>
    </row>
    <row r="92" spans="1:72" x14ac:dyDescent="0.25">
      <c r="A92" s="938" t="s">
        <v>612</v>
      </c>
      <c r="B92" s="938"/>
      <c r="C92" s="938"/>
      <c r="D92" s="938"/>
      <c r="E92" s="938"/>
      <c r="F92" s="938"/>
      <c r="G92" s="938"/>
      <c r="H92" s="938"/>
      <c r="I92" s="938"/>
      <c r="J92" s="938"/>
      <c r="K92" s="938"/>
      <c r="L92" s="938"/>
      <c r="M92" s="938"/>
      <c r="N92" s="938"/>
      <c r="O92" s="938"/>
      <c r="P92" s="938"/>
      <c r="Q92" s="938"/>
      <c r="R92" s="938"/>
      <c r="S92" s="938"/>
      <c r="T92" s="938"/>
      <c r="U92" s="938"/>
      <c r="V92" s="938"/>
      <c r="W92" s="938"/>
      <c r="X92" s="938"/>
      <c r="Y92" s="938"/>
      <c r="Z92" s="938"/>
      <c r="AA92" s="938"/>
      <c r="AB92" s="938"/>
      <c r="AC92" s="938"/>
      <c r="AD92" s="938"/>
      <c r="AE92" s="938"/>
      <c r="AF92" s="938"/>
      <c r="AG92" s="938"/>
      <c r="AH92" s="938"/>
      <c r="AI92" s="938"/>
      <c r="AJ92" s="938"/>
      <c r="AK92" s="938"/>
      <c r="AL92" s="938"/>
      <c r="AM92" s="938"/>
      <c r="AN92" s="938"/>
      <c r="AO92" s="938"/>
      <c r="AP92" s="938"/>
      <c r="AQ92" s="938"/>
      <c r="AR92" s="938"/>
      <c r="AS92" s="938"/>
      <c r="AT92" s="938"/>
      <c r="AU92" s="938"/>
      <c r="AV92" s="938"/>
      <c r="AW92" s="938"/>
      <c r="AX92" s="938"/>
      <c r="AY92" s="938"/>
      <c r="AZ92" s="938"/>
      <c r="BA92" s="938"/>
      <c r="BB92" s="938"/>
      <c r="BC92" s="938"/>
      <c r="BD92" s="938"/>
      <c r="BE92" s="938"/>
      <c r="BF92" s="938"/>
      <c r="BG92" s="938"/>
      <c r="BH92" s="938"/>
      <c r="BI92" s="938"/>
      <c r="BJ92" s="938"/>
      <c r="BK92" s="938"/>
      <c r="BL92" s="938"/>
      <c r="BM92" s="938"/>
      <c r="BN92" s="938"/>
      <c r="BO92" s="938"/>
      <c r="BP92" s="938"/>
      <c r="BQ92" s="938"/>
      <c r="BR92" s="938"/>
      <c r="BS92" s="938"/>
      <c r="BT92" s="938"/>
    </row>
    <row r="93" spans="1:72" x14ac:dyDescent="0.25">
      <c r="A93" s="938" t="s">
        <v>609</v>
      </c>
      <c r="B93" s="938">
        <v>22.01</v>
      </c>
      <c r="C93" s="938">
        <v>24.2</v>
      </c>
      <c r="D93" s="938">
        <v>18.64</v>
      </c>
      <c r="E93" s="938">
        <v>18.36</v>
      </c>
      <c r="F93" s="938">
        <v>18.46</v>
      </c>
      <c r="G93" s="938">
        <v>19.61</v>
      </c>
      <c r="H93" s="938">
        <v>20.9</v>
      </c>
      <c r="I93" s="938">
        <v>21.9</v>
      </c>
      <c r="J93" s="938">
        <v>22.49</v>
      </c>
      <c r="K93" s="938">
        <v>23.25</v>
      </c>
      <c r="L93" s="938">
        <v>23.76</v>
      </c>
      <c r="M93" s="938">
        <v>24.31</v>
      </c>
      <c r="N93" s="938">
        <v>24.62</v>
      </c>
      <c r="O93" s="938">
        <v>24.86</v>
      </c>
      <c r="P93" s="938">
        <v>25.09</v>
      </c>
      <c r="Q93" s="938">
        <v>25.3</v>
      </c>
      <c r="R93" s="938">
        <v>25.59</v>
      </c>
      <c r="S93" s="938">
        <v>25.86</v>
      </c>
      <c r="T93" s="938">
        <v>26.12</v>
      </c>
      <c r="U93" s="938">
        <v>26.27</v>
      </c>
      <c r="V93" s="938">
        <v>26.55</v>
      </c>
      <c r="W93" s="938">
        <v>26.8</v>
      </c>
      <c r="X93" s="938">
        <v>27.15</v>
      </c>
      <c r="Y93" s="938">
        <v>27.38</v>
      </c>
      <c r="Z93" s="938">
        <v>27.74</v>
      </c>
      <c r="AA93" s="938">
        <v>28.08</v>
      </c>
      <c r="AB93" s="938">
        <v>28.48</v>
      </c>
      <c r="AC93" s="938">
        <v>28.86</v>
      </c>
      <c r="AD93" s="938">
        <v>29.25</v>
      </c>
      <c r="AE93" s="977">
        <v>7.0000000000000001E-3</v>
      </c>
      <c r="AF93" s="938"/>
      <c r="AG93" s="938"/>
      <c r="AH93" s="938"/>
      <c r="AI93" s="938"/>
      <c r="AJ93" s="938"/>
      <c r="AK93" s="938"/>
      <c r="AL93" s="938"/>
      <c r="AM93" s="938"/>
      <c r="AN93" s="938"/>
      <c r="AO93" s="938"/>
      <c r="AP93" s="938"/>
      <c r="AQ93" s="938"/>
      <c r="AR93" s="938"/>
      <c r="AS93" s="938"/>
      <c r="AT93" s="938"/>
      <c r="AU93" s="938"/>
      <c r="AV93" s="938"/>
      <c r="AW93" s="938"/>
      <c r="AX93" s="938"/>
      <c r="AY93" s="938"/>
      <c r="AZ93" s="938"/>
      <c r="BA93" s="938"/>
      <c r="BB93" s="938"/>
      <c r="BC93" s="938"/>
      <c r="BD93" s="938"/>
      <c r="BE93" s="938"/>
      <c r="BF93" s="938"/>
      <c r="BG93" s="938"/>
      <c r="BH93" s="938"/>
      <c r="BI93" s="938"/>
      <c r="BJ93" s="938"/>
      <c r="BK93" s="938"/>
      <c r="BL93" s="938"/>
      <c r="BM93" s="938"/>
      <c r="BN93" s="938"/>
      <c r="BO93" s="938"/>
      <c r="BP93" s="938"/>
      <c r="BQ93" s="938"/>
      <c r="BR93" s="938"/>
      <c r="BS93" s="938"/>
      <c r="BT93" s="938"/>
    </row>
    <row r="94" spans="1:72" x14ac:dyDescent="0.25">
      <c r="A94" s="938" t="s">
        <v>610</v>
      </c>
      <c r="B94" s="938">
        <v>18.07</v>
      </c>
      <c r="C94" s="938">
        <v>22.31</v>
      </c>
      <c r="D94" s="938">
        <v>16.399999999999999</v>
      </c>
      <c r="E94" s="938">
        <v>14.38</v>
      </c>
      <c r="F94" s="938">
        <v>15.38</v>
      </c>
      <c r="G94" s="938">
        <v>16.55</v>
      </c>
      <c r="H94" s="938">
        <v>17.59</v>
      </c>
      <c r="I94" s="938">
        <v>18.32</v>
      </c>
      <c r="J94" s="938">
        <v>19</v>
      </c>
      <c r="K94" s="938">
        <v>19.8</v>
      </c>
      <c r="L94" s="938">
        <v>20.440000000000001</v>
      </c>
      <c r="M94" s="938">
        <v>21.08</v>
      </c>
      <c r="N94" s="938">
        <v>21.49</v>
      </c>
      <c r="O94" s="938">
        <v>21.83</v>
      </c>
      <c r="P94" s="938">
        <v>22.03</v>
      </c>
      <c r="Q94" s="938">
        <v>22.36</v>
      </c>
      <c r="R94" s="938">
        <v>22.56</v>
      </c>
      <c r="S94" s="938">
        <v>22.67</v>
      </c>
      <c r="T94" s="938">
        <v>22.97</v>
      </c>
      <c r="U94" s="938">
        <v>23.22</v>
      </c>
      <c r="V94" s="938">
        <v>23.48</v>
      </c>
      <c r="W94" s="938">
        <v>23.81</v>
      </c>
      <c r="X94" s="938">
        <v>24.22</v>
      </c>
      <c r="Y94" s="938">
        <v>24.4</v>
      </c>
      <c r="Z94" s="938">
        <v>24.84</v>
      </c>
      <c r="AA94" s="938">
        <v>25.25</v>
      </c>
      <c r="AB94" s="938">
        <v>25.6</v>
      </c>
      <c r="AC94" s="938">
        <v>26.02</v>
      </c>
      <c r="AD94" s="938">
        <v>26.48</v>
      </c>
      <c r="AE94" s="977">
        <v>6.0000000000000001E-3</v>
      </c>
      <c r="AF94" s="938"/>
      <c r="AG94" s="938"/>
      <c r="AH94" s="938"/>
      <c r="AI94" s="938"/>
      <c r="AJ94" s="938"/>
      <c r="AK94" s="938"/>
      <c r="AL94" s="938"/>
      <c r="AM94" s="938"/>
      <c r="AN94" s="938"/>
      <c r="AO94" s="938"/>
      <c r="AP94" s="938"/>
      <c r="AQ94" s="938"/>
      <c r="AR94" s="938"/>
      <c r="AS94" s="938"/>
      <c r="AT94" s="938"/>
      <c r="AU94" s="938"/>
      <c r="AV94" s="938"/>
      <c r="AW94" s="938"/>
      <c r="AX94" s="938"/>
      <c r="AY94" s="938"/>
      <c r="AZ94" s="938"/>
      <c r="BA94" s="938"/>
      <c r="BB94" s="938"/>
      <c r="BC94" s="938"/>
      <c r="BD94" s="938"/>
      <c r="BE94" s="938"/>
      <c r="BF94" s="938"/>
      <c r="BG94" s="938"/>
      <c r="BH94" s="938"/>
      <c r="BI94" s="938"/>
      <c r="BJ94" s="938"/>
      <c r="BK94" s="938"/>
      <c r="BL94" s="938"/>
      <c r="BM94" s="938"/>
      <c r="BN94" s="938"/>
      <c r="BO94" s="938"/>
      <c r="BP94" s="938"/>
      <c r="BQ94" s="938"/>
      <c r="BR94" s="938"/>
      <c r="BS94" s="938"/>
      <c r="BT94" s="938"/>
    </row>
    <row r="95" spans="1:72" x14ac:dyDescent="0.25">
      <c r="A95" s="938" t="s">
        <v>611</v>
      </c>
      <c r="B95" s="938">
        <v>8.84</v>
      </c>
      <c r="C95" s="938">
        <v>16.309999999999999</v>
      </c>
      <c r="D95" s="938">
        <v>9.75</v>
      </c>
      <c r="E95" s="938">
        <v>13.12</v>
      </c>
      <c r="F95" s="938">
        <v>13.24</v>
      </c>
      <c r="G95" s="938">
        <v>14.32</v>
      </c>
      <c r="H95" s="938">
        <v>15.31</v>
      </c>
      <c r="I95" s="938">
        <v>16.079999999999998</v>
      </c>
      <c r="J95" s="938">
        <v>16.47</v>
      </c>
      <c r="K95" s="938">
        <v>16.96</v>
      </c>
      <c r="L95" s="938">
        <v>17.37</v>
      </c>
      <c r="M95" s="938">
        <v>17.82</v>
      </c>
      <c r="N95" s="938">
        <v>18.09</v>
      </c>
      <c r="O95" s="938">
        <v>18.2</v>
      </c>
      <c r="P95" s="938">
        <v>18.43</v>
      </c>
      <c r="Q95" s="938">
        <v>18.61</v>
      </c>
      <c r="R95" s="938">
        <v>18.82</v>
      </c>
      <c r="S95" s="938">
        <v>19.03</v>
      </c>
      <c r="T95" s="938">
        <v>19.23</v>
      </c>
      <c r="U95" s="938">
        <v>19.3</v>
      </c>
      <c r="V95" s="938">
        <v>19.489999999999998</v>
      </c>
      <c r="W95" s="938">
        <v>19.73</v>
      </c>
      <c r="X95" s="938">
        <v>19.98</v>
      </c>
      <c r="Y95" s="938">
        <v>20.27</v>
      </c>
      <c r="Z95" s="938">
        <v>20.61</v>
      </c>
      <c r="AA95" s="938">
        <v>20.87</v>
      </c>
      <c r="AB95" s="938">
        <v>21.12</v>
      </c>
      <c r="AC95" s="938">
        <v>21.44</v>
      </c>
      <c r="AD95" s="938">
        <v>21.72</v>
      </c>
      <c r="AE95" s="977">
        <v>1.0999999999999999E-2</v>
      </c>
      <c r="AF95" s="938"/>
      <c r="AG95" s="938"/>
      <c r="AH95" s="938"/>
      <c r="AI95" s="938"/>
      <c r="AJ95" s="938"/>
      <c r="AK95" s="938"/>
      <c r="AL95" s="938"/>
      <c r="AM95" s="938"/>
      <c r="AN95" s="938"/>
      <c r="AO95" s="938"/>
      <c r="AP95" s="938"/>
      <c r="AQ95" s="938"/>
      <c r="AR95" s="938"/>
      <c r="AS95" s="938"/>
      <c r="AT95" s="938"/>
      <c r="AU95" s="938"/>
      <c r="AV95" s="938"/>
      <c r="AW95" s="938"/>
      <c r="AX95" s="938"/>
      <c r="AY95" s="938"/>
      <c r="AZ95" s="938"/>
      <c r="BA95" s="938"/>
      <c r="BB95" s="938"/>
      <c r="BC95" s="938"/>
      <c r="BD95" s="938"/>
      <c r="BE95" s="938"/>
      <c r="BF95" s="938"/>
      <c r="BG95" s="938"/>
      <c r="BH95" s="938"/>
      <c r="BI95" s="938"/>
      <c r="BJ95" s="938"/>
      <c r="BK95" s="938"/>
      <c r="BL95" s="938"/>
      <c r="BM95" s="938"/>
      <c r="BN95" s="938"/>
      <c r="BO95" s="938"/>
      <c r="BP95" s="938"/>
      <c r="BQ95" s="938"/>
      <c r="BR95" s="938"/>
      <c r="BS95" s="938"/>
      <c r="BT95" s="938"/>
    </row>
    <row r="96" spans="1:72" x14ac:dyDescent="0.25">
      <c r="A96" s="938" t="s">
        <v>613</v>
      </c>
      <c r="B96" s="938">
        <v>7.58</v>
      </c>
      <c r="C96" s="938">
        <v>9.11</v>
      </c>
      <c r="D96" s="938">
        <v>4.2</v>
      </c>
      <c r="E96" s="938">
        <v>4.87</v>
      </c>
      <c r="F96" s="938">
        <v>5.97</v>
      </c>
      <c r="G96" s="938">
        <v>6.39</v>
      </c>
      <c r="H96" s="938">
        <v>6.33</v>
      </c>
      <c r="I96" s="938">
        <v>6.28</v>
      </c>
      <c r="J96" s="938">
        <v>6.45</v>
      </c>
      <c r="K96" s="938">
        <v>6.52</v>
      </c>
      <c r="L96" s="938">
        <v>6.51</v>
      </c>
      <c r="M96" s="938">
        <v>6.55</v>
      </c>
      <c r="N96" s="938">
        <v>6.6</v>
      </c>
      <c r="O96" s="938">
        <v>6.7</v>
      </c>
      <c r="P96" s="938">
        <v>6.78</v>
      </c>
      <c r="Q96" s="938">
        <v>6.96</v>
      </c>
      <c r="R96" s="938">
        <v>7.01</v>
      </c>
      <c r="S96" s="938">
        <v>6.96</v>
      </c>
      <c r="T96" s="938">
        <v>7.02</v>
      </c>
      <c r="U96" s="938">
        <v>7.15</v>
      </c>
      <c r="V96" s="938">
        <v>7.29</v>
      </c>
      <c r="W96" s="938">
        <v>7.51</v>
      </c>
      <c r="X96" s="938">
        <v>7.73</v>
      </c>
      <c r="Y96" s="938">
        <v>7.98</v>
      </c>
      <c r="Z96" s="938">
        <v>8.2899999999999991</v>
      </c>
      <c r="AA96" s="938">
        <v>8.4</v>
      </c>
      <c r="AB96" s="938">
        <v>8.42</v>
      </c>
      <c r="AC96" s="938">
        <v>8.61</v>
      </c>
      <c r="AD96" s="938">
        <v>8.73</v>
      </c>
      <c r="AE96" s="977">
        <v>-2E-3</v>
      </c>
      <c r="AF96" s="938"/>
      <c r="AG96" s="938"/>
      <c r="AH96" s="938"/>
      <c r="AI96" s="938"/>
      <c r="AJ96" s="938"/>
      <c r="AK96" s="938"/>
      <c r="AL96" s="938"/>
      <c r="AM96" s="938"/>
      <c r="AN96" s="938"/>
      <c r="AO96" s="938"/>
      <c r="AP96" s="938"/>
      <c r="AQ96" s="938"/>
      <c r="AR96" s="938"/>
      <c r="AS96" s="938"/>
      <c r="AT96" s="938"/>
      <c r="AU96" s="938"/>
      <c r="AV96" s="938"/>
      <c r="AW96" s="938"/>
      <c r="AX96" s="938"/>
      <c r="AY96" s="938"/>
      <c r="AZ96" s="938"/>
      <c r="BA96" s="938"/>
      <c r="BB96" s="938"/>
      <c r="BC96" s="938"/>
      <c r="BD96" s="938"/>
      <c r="BE96" s="938"/>
      <c r="BF96" s="938"/>
      <c r="BG96" s="938"/>
      <c r="BH96" s="938"/>
      <c r="BI96" s="938"/>
      <c r="BJ96" s="938"/>
      <c r="BK96" s="938"/>
      <c r="BL96" s="938"/>
      <c r="BM96" s="938"/>
      <c r="BN96" s="938"/>
      <c r="BO96" s="938"/>
      <c r="BP96" s="938"/>
      <c r="BQ96" s="938"/>
      <c r="BR96" s="938"/>
      <c r="BS96" s="938"/>
      <c r="BT96" s="938"/>
    </row>
    <row r="97" spans="1:72" x14ac:dyDescent="0.25">
      <c r="A97" s="938" t="s">
        <v>614</v>
      </c>
      <c r="B97" s="938">
        <v>3.69</v>
      </c>
      <c r="C97" s="938">
        <v>4.49</v>
      </c>
      <c r="D97" s="938">
        <v>4.72</v>
      </c>
      <c r="E97" s="938">
        <v>4.8</v>
      </c>
      <c r="F97" s="938">
        <v>4.8600000000000003</v>
      </c>
      <c r="G97" s="938">
        <v>5.0199999999999996</v>
      </c>
      <c r="H97" s="938">
        <v>5.05</v>
      </c>
      <c r="I97" s="938">
        <v>5.08</v>
      </c>
      <c r="J97" s="938">
        <v>5.08</v>
      </c>
      <c r="K97" s="938">
        <v>5.09</v>
      </c>
      <c r="L97" s="938">
        <v>5.16</v>
      </c>
      <c r="M97" s="938">
        <v>5.22</v>
      </c>
      <c r="N97" s="938">
        <v>5.29</v>
      </c>
      <c r="O97" s="938">
        <v>5.32</v>
      </c>
      <c r="P97" s="938">
        <v>5.35</v>
      </c>
      <c r="Q97" s="938">
        <v>5.36</v>
      </c>
      <c r="R97" s="938">
        <v>5.35</v>
      </c>
      <c r="S97" s="938">
        <v>5.32</v>
      </c>
      <c r="T97" s="938">
        <v>5.24</v>
      </c>
      <c r="U97" s="938">
        <v>5.16</v>
      </c>
      <c r="V97" s="938">
        <v>5.14</v>
      </c>
      <c r="W97" s="938">
        <v>5.14</v>
      </c>
      <c r="X97" s="938">
        <v>5.1100000000000003</v>
      </c>
      <c r="Y97" s="938">
        <v>5.1100000000000003</v>
      </c>
      <c r="Z97" s="938">
        <v>5.09</v>
      </c>
      <c r="AA97" s="938">
        <v>5.08</v>
      </c>
      <c r="AB97" s="938">
        <v>5.08</v>
      </c>
      <c r="AC97" s="938">
        <v>5.0599999999999996</v>
      </c>
      <c r="AD97" s="938">
        <v>5.0599999999999996</v>
      </c>
      <c r="AE97" s="977">
        <v>4.0000000000000001E-3</v>
      </c>
      <c r="AF97" s="938"/>
      <c r="AG97" s="938"/>
      <c r="AH97" s="938"/>
      <c r="AI97" s="938"/>
      <c r="AJ97" s="938"/>
      <c r="AK97" s="938"/>
      <c r="AL97" s="938"/>
      <c r="AM97" s="938"/>
      <c r="AN97" s="938"/>
      <c r="AO97" s="938"/>
      <c r="AP97" s="938"/>
      <c r="AQ97" s="938"/>
      <c r="AR97" s="938"/>
      <c r="AS97" s="938"/>
      <c r="AT97" s="938"/>
      <c r="AU97" s="938"/>
      <c r="AV97" s="938"/>
      <c r="AW97" s="938"/>
      <c r="AX97" s="938"/>
      <c r="AY97" s="938"/>
      <c r="AZ97" s="938"/>
      <c r="BA97" s="938"/>
      <c r="BB97" s="938"/>
      <c r="BC97" s="938"/>
      <c r="BD97" s="938"/>
      <c r="BE97" s="938"/>
      <c r="BF97" s="938"/>
      <c r="BG97" s="938"/>
      <c r="BH97" s="938"/>
      <c r="BI97" s="938"/>
      <c r="BJ97" s="938"/>
      <c r="BK97" s="938"/>
      <c r="BL97" s="938"/>
      <c r="BM97" s="938"/>
      <c r="BN97" s="938"/>
      <c r="BO97" s="938"/>
      <c r="BP97" s="938"/>
      <c r="BQ97" s="938"/>
      <c r="BR97" s="938"/>
      <c r="BS97" s="938"/>
      <c r="BT97" s="938"/>
    </row>
    <row r="98" spans="1:72" x14ac:dyDescent="0.25">
      <c r="A98" s="938" t="s">
        <v>615</v>
      </c>
      <c r="B98" s="938">
        <v>2.48</v>
      </c>
      <c r="C98" s="938">
        <v>2.84</v>
      </c>
      <c r="D98" s="938">
        <v>2.79</v>
      </c>
      <c r="E98" s="938">
        <v>2.69</v>
      </c>
      <c r="F98" s="938">
        <v>2.69</v>
      </c>
      <c r="G98" s="938">
        <v>2.69</v>
      </c>
      <c r="H98" s="938">
        <v>2.66</v>
      </c>
      <c r="I98" s="938">
        <v>2.68</v>
      </c>
      <c r="J98" s="938">
        <v>2.69</v>
      </c>
      <c r="K98" s="938">
        <v>2.68</v>
      </c>
      <c r="L98" s="938">
        <v>2.69</v>
      </c>
      <c r="M98" s="938">
        <v>2.68</v>
      </c>
      <c r="N98" s="938">
        <v>2.67</v>
      </c>
      <c r="O98" s="938">
        <v>2.66</v>
      </c>
      <c r="P98" s="938">
        <v>2.65</v>
      </c>
      <c r="Q98" s="938">
        <v>2.65</v>
      </c>
      <c r="R98" s="938">
        <v>2.63</v>
      </c>
      <c r="S98" s="938">
        <v>2.63</v>
      </c>
      <c r="T98" s="938">
        <v>2.63</v>
      </c>
      <c r="U98" s="938">
        <v>2.64</v>
      </c>
      <c r="V98" s="938">
        <v>2.63</v>
      </c>
      <c r="W98" s="938">
        <v>2.64</v>
      </c>
      <c r="X98" s="938">
        <v>2.65</v>
      </c>
      <c r="Y98" s="938">
        <v>2.66</v>
      </c>
      <c r="Z98" s="938">
        <v>2.67</v>
      </c>
      <c r="AA98" s="938">
        <v>2.67</v>
      </c>
      <c r="AB98" s="938">
        <v>2.69</v>
      </c>
      <c r="AC98" s="938">
        <v>2.7</v>
      </c>
      <c r="AD98" s="938">
        <v>2.71</v>
      </c>
      <c r="AE98" s="977">
        <v>-2E-3</v>
      </c>
      <c r="AF98" s="938"/>
      <c r="AG98" s="938"/>
      <c r="AH98" s="938"/>
      <c r="AI98" s="938"/>
      <c r="AJ98" s="938"/>
      <c r="AK98" s="938"/>
      <c r="AL98" s="938"/>
      <c r="AM98" s="938"/>
      <c r="AN98" s="938"/>
      <c r="AO98" s="938"/>
      <c r="AP98" s="938"/>
      <c r="AQ98" s="938"/>
      <c r="AR98" s="938"/>
      <c r="AS98" s="938"/>
      <c r="AT98" s="938"/>
      <c r="AU98" s="938"/>
      <c r="AV98" s="938"/>
      <c r="AW98" s="938"/>
      <c r="AX98" s="938"/>
      <c r="AY98" s="938"/>
      <c r="AZ98" s="938"/>
      <c r="BA98" s="938"/>
      <c r="BB98" s="938"/>
      <c r="BC98" s="938"/>
      <c r="BD98" s="938"/>
      <c r="BE98" s="938"/>
      <c r="BF98" s="938"/>
      <c r="BG98" s="938"/>
      <c r="BH98" s="938"/>
      <c r="BI98" s="938"/>
      <c r="BJ98" s="938"/>
      <c r="BK98" s="938"/>
      <c r="BL98" s="938"/>
      <c r="BM98" s="938"/>
      <c r="BN98" s="938"/>
      <c r="BO98" s="938"/>
      <c r="BP98" s="938"/>
      <c r="BQ98" s="938"/>
      <c r="BR98" s="938"/>
      <c r="BS98" s="938"/>
      <c r="BT98" s="938"/>
    </row>
    <row r="99" spans="1:72" x14ac:dyDescent="0.25">
      <c r="A99" s="938" t="s">
        <v>616</v>
      </c>
      <c r="B99" s="938" t="s">
        <v>788</v>
      </c>
      <c r="C99" s="938" t="s">
        <v>788</v>
      </c>
      <c r="D99" s="938" t="s">
        <v>788</v>
      </c>
      <c r="E99" s="938" t="s">
        <v>788</v>
      </c>
      <c r="F99" s="938">
        <v>1.26</v>
      </c>
      <c r="G99" s="938">
        <v>1.04</v>
      </c>
      <c r="H99" s="938">
        <v>1.04</v>
      </c>
      <c r="I99" s="938">
        <v>1.41</v>
      </c>
      <c r="J99" s="938">
        <v>1.42</v>
      </c>
      <c r="K99" s="938">
        <v>1.46</v>
      </c>
      <c r="L99" s="938">
        <v>1.48</v>
      </c>
      <c r="M99" s="938">
        <v>1.48</v>
      </c>
      <c r="N99" s="938">
        <v>1.47</v>
      </c>
      <c r="O99" s="938">
        <v>1.46</v>
      </c>
      <c r="P99" s="938">
        <v>1.49</v>
      </c>
      <c r="Q99" s="938">
        <v>1.5</v>
      </c>
      <c r="R99" s="938">
        <v>1.52</v>
      </c>
      <c r="S99" s="938">
        <v>1.49</v>
      </c>
      <c r="T99" s="938">
        <v>1.49</v>
      </c>
      <c r="U99" s="938">
        <v>1.47</v>
      </c>
      <c r="V99" s="938">
        <v>1.46</v>
      </c>
      <c r="W99" s="938">
        <v>1.45</v>
      </c>
      <c r="X99" s="938">
        <v>1.44</v>
      </c>
      <c r="Y99" s="938">
        <v>1.44</v>
      </c>
      <c r="Z99" s="938">
        <v>1.44</v>
      </c>
      <c r="AA99" s="938">
        <v>1.44</v>
      </c>
      <c r="AB99" s="938">
        <v>1.46</v>
      </c>
      <c r="AC99" s="938">
        <v>1.48</v>
      </c>
      <c r="AD99" s="938">
        <v>1.51</v>
      </c>
      <c r="AE99" s="938" t="s">
        <v>788</v>
      </c>
      <c r="AF99" s="938"/>
      <c r="AG99" s="938"/>
      <c r="AH99" s="938"/>
      <c r="AI99" s="938"/>
      <c r="AJ99" s="938"/>
      <c r="AK99" s="938"/>
      <c r="AL99" s="938"/>
      <c r="AM99" s="938"/>
      <c r="AN99" s="938"/>
      <c r="AO99" s="938"/>
      <c r="AP99" s="938"/>
      <c r="AQ99" s="938"/>
      <c r="AR99" s="938"/>
      <c r="AS99" s="938"/>
      <c r="AT99" s="938"/>
      <c r="AU99" s="938"/>
      <c r="AV99" s="938"/>
      <c r="AW99" s="938"/>
      <c r="AX99" s="938"/>
      <c r="AY99" s="938"/>
      <c r="AZ99" s="938"/>
      <c r="BA99" s="938"/>
      <c r="BB99" s="938"/>
      <c r="BC99" s="938"/>
      <c r="BD99" s="938"/>
      <c r="BE99" s="938"/>
      <c r="BF99" s="938"/>
      <c r="BG99" s="938"/>
      <c r="BH99" s="938"/>
      <c r="BI99" s="938"/>
      <c r="BJ99" s="938"/>
      <c r="BK99" s="938"/>
      <c r="BL99" s="938"/>
      <c r="BM99" s="938"/>
      <c r="BN99" s="938"/>
      <c r="BO99" s="938"/>
      <c r="BP99" s="938"/>
      <c r="BQ99" s="938"/>
      <c r="BR99" s="938"/>
      <c r="BS99" s="938"/>
      <c r="BT99" s="938"/>
    </row>
    <row r="100" spans="1:72" x14ac:dyDescent="0.25">
      <c r="A100" s="938" t="s">
        <v>479</v>
      </c>
      <c r="B100" s="938">
        <v>19.02</v>
      </c>
      <c r="C100" s="938">
        <v>20.21</v>
      </c>
      <c r="D100" s="938">
        <v>20.04</v>
      </c>
      <c r="E100" s="938">
        <v>19.149999999999999</v>
      </c>
      <c r="F100" s="938">
        <v>17.11</v>
      </c>
      <c r="G100" s="938">
        <v>17.73</v>
      </c>
      <c r="H100" s="938">
        <v>17.62</v>
      </c>
      <c r="I100" s="938">
        <v>17.350000000000001</v>
      </c>
      <c r="J100" s="938">
        <v>17.37</v>
      </c>
      <c r="K100" s="938">
        <v>17.62</v>
      </c>
      <c r="L100" s="938">
        <v>17.75</v>
      </c>
      <c r="M100" s="938">
        <v>17.77</v>
      </c>
      <c r="N100" s="938">
        <v>17.75</v>
      </c>
      <c r="O100" s="938">
        <v>17.920000000000002</v>
      </c>
      <c r="P100" s="938">
        <v>18.07</v>
      </c>
      <c r="Q100" s="938">
        <v>18.190000000000001</v>
      </c>
      <c r="R100" s="938">
        <v>18.38</v>
      </c>
      <c r="S100" s="938">
        <v>18.53</v>
      </c>
      <c r="T100" s="938">
        <v>18.5</v>
      </c>
      <c r="U100" s="938">
        <v>18.61</v>
      </c>
      <c r="V100" s="938">
        <v>18.78</v>
      </c>
      <c r="W100" s="938">
        <v>18.97</v>
      </c>
      <c r="X100" s="938">
        <v>19.3</v>
      </c>
      <c r="Y100" s="938">
        <v>19.579999999999998</v>
      </c>
      <c r="Z100" s="938">
        <v>19.88</v>
      </c>
      <c r="AA100" s="938">
        <v>20.16</v>
      </c>
      <c r="AB100" s="938">
        <v>20.3</v>
      </c>
      <c r="AC100" s="938">
        <v>20.52</v>
      </c>
      <c r="AD100" s="938">
        <v>20.71</v>
      </c>
      <c r="AE100" s="977">
        <v>1E-3</v>
      </c>
      <c r="AF100" s="938"/>
      <c r="AG100" s="938"/>
      <c r="AH100" s="938"/>
      <c r="AI100" s="938"/>
      <c r="AJ100" s="938"/>
      <c r="AK100" s="938"/>
      <c r="AL100" s="938"/>
      <c r="AM100" s="938"/>
      <c r="AN100" s="938"/>
      <c r="AO100" s="938"/>
      <c r="AP100" s="938"/>
      <c r="AQ100" s="938"/>
      <c r="AR100" s="938"/>
      <c r="AS100" s="938"/>
      <c r="AT100" s="938"/>
      <c r="AU100" s="938"/>
      <c r="AV100" s="938"/>
      <c r="AW100" s="938"/>
      <c r="AX100" s="938"/>
      <c r="AY100" s="938"/>
      <c r="AZ100" s="938"/>
      <c r="BA100" s="938"/>
      <c r="BB100" s="938"/>
      <c r="BC100" s="938"/>
      <c r="BD100" s="938"/>
      <c r="BE100" s="938"/>
      <c r="BF100" s="938"/>
      <c r="BG100" s="938"/>
      <c r="BH100" s="938"/>
      <c r="BI100" s="938"/>
      <c r="BJ100" s="938"/>
      <c r="BK100" s="938"/>
      <c r="BL100" s="938"/>
      <c r="BM100" s="938"/>
      <c r="BN100" s="938"/>
      <c r="BO100" s="938"/>
      <c r="BP100" s="938"/>
      <c r="BQ100" s="938"/>
      <c r="BR100" s="938"/>
      <c r="BS100" s="938"/>
      <c r="BT100" s="938"/>
    </row>
    <row r="101" spans="1:72" x14ac:dyDescent="0.25">
      <c r="A101" s="938"/>
      <c r="B101" s="938"/>
      <c r="C101" s="938"/>
      <c r="D101" s="938"/>
      <c r="E101" s="938"/>
      <c r="F101" s="938"/>
      <c r="G101" s="938"/>
      <c r="H101" s="938"/>
      <c r="I101" s="938"/>
      <c r="J101" s="938"/>
      <c r="K101" s="938"/>
      <c r="L101" s="938"/>
      <c r="M101" s="938"/>
      <c r="N101" s="938"/>
      <c r="O101" s="938"/>
      <c r="P101" s="938"/>
      <c r="Q101" s="938"/>
      <c r="R101" s="938"/>
      <c r="S101" s="938"/>
      <c r="T101" s="938"/>
      <c r="U101" s="938"/>
      <c r="V101" s="938"/>
      <c r="W101" s="938"/>
      <c r="X101" s="938"/>
      <c r="Y101" s="938"/>
      <c r="Z101" s="938"/>
      <c r="AA101" s="938"/>
      <c r="AB101" s="938"/>
      <c r="AC101" s="938"/>
      <c r="AD101" s="938"/>
      <c r="AE101" s="938"/>
      <c r="AF101" s="938"/>
      <c r="AG101" s="938"/>
      <c r="AH101" s="938"/>
      <c r="AI101" s="938"/>
      <c r="AJ101" s="938"/>
      <c r="AK101" s="938"/>
      <c r="AL101" s="938"/>
      <c r="AM101" s="938"/>
      <c r="AN101" s="938"/>
      <c r="AO101" s="938"/>
      <c r="AP101" s="938"/>
      <c r="AQ101" s="938"/>
      <c r="AR101" s="938"/>
      <c r="AS101" s="938"/>
      <c r="AT101" s="938"/>
      <c r="AU101" s="938"/>
      <c r="AV101" s="938"/>
      <c r="AW101" s="938"/>
      <c r="AX101" s="938"/>
      <c r="AY101" s="938"/>
      <c r="AZ101" s="938"/>
      <c r="BA101" s="938"/>
      <c r="BB101" s="938"/>
      <c r="BC101" s="938"/>
      <c r="BD101" s="938"/>
      <c r="BE101" s="938"/>
      <c r="BF101" s="938"/>
      <c r="BG101" s="938"/>
      <c r="BH101" s="938"/>
      <c r="BI101" s="938"/>
      <c r="BJ101" s="938"/>
      <c r="BK101" s="938"/>
      <c r="BL101" s="938"/>
      <c r="BM101" s="938"/>
      <c r="BN101" s="938"/>
      <c r="BO101" s="938"/>
      <c r="BP101" s="938"/>
      <c r="BQ101" s="938"/>
      <c r="BR101" s="938"/>
      <c r="BS101" s="938"/>
      <c r="BT101" s="938"/>
    </row>
    <row r="102" spans="1:72" x14ac:dyDescent="0.25">
      <c r="A102" s="938" t="s">
        <v>487</v>
      </c>
      <c r="B102" s="938"/>
      <c r="C102" s="938"/>
      <c r="D102" s="938"/>
      <c r="E102" s="938"/>
      <c r="F102" s="938"/>
      <c r="G102" s="938"/>
      <c r="H102" s="938"/>
      <c r="I102" s="938"/>
      <c r="J102" s="938"/>
      <c r="K102" s="938"/>
      <c r="L102" s="938"/>
      <c r="M102" s="938"/>
      <c r="N102" s="938"/>
      <c r="O102" s="938"/>
      <c r="P102" s="938"/>
      <c r="Q102" s="938"/>
      <c r="R102" s="938"/>
      <c r="S102" s="938"/>
      <c r="T102" s="938"/>
      <c r="U102" s="938"/>
      <c r="V102" s="938"/>
      <c r="W102" s="938"/>
      <c r="X102" s="938"/>
      <c r="Y102" s="938"/>
      <c r="Z102" s="938"/>
      <c r="AA102" s="938"/>
      <c r="AB102" s="938"/>
      <c r="AC102" s="938"/>
      <c r="AD102" s="938"/>
      <c r="AE102" s="938"/>
      <c r="AF102" s="938"/>
      <c r="AG102" s="938"/>
      <c r="AH102" s="938"/>
      <c r="AI102" s="938"/>
      <c r="AJ102" s="938"/>
      <c r="AK102" s="938"/>
      <c r="AL102" s="938"/>
      <c r="AM102" s="938"/>
      <c r="AN102" s="938"/>
      <c r="AO102" s="938"/>
      <c r="AP102" s="938"/>
      <c r="AQ102" s="938"/>
      <c r="AR102" s="938"/>
      <c r="AS102" s="938"/>
      <c r="AT102" s="938"/>
      <c r="AU102" s="938"/>
      <c r="AV102" s="938"/>
      <c r="AW102" s="938"/>
      <c r="AX102" s="938"/>
      <c r="AY102" s="938"/>
      <c r="AZ102" s="938"/>
      <c r="BA102" s="938"/>
      <c r="BB102" s="938"/>
      <c r="BC102" s="938"/>
      <c r="BD102" s="938"/>
      <c r="BE102" s="938"/>
      <c r="BF102" s="938"/>
      <c r="BG102" s="938"/>
      <c r="BH102" s="938"/>
      <c r="BI102" s="938"/>
      <c r="BJ102" s="938"/>
      <c r="BK102" s="938"/>
      <c r="BL102" s="938"/>
      <c r="BM102" s="938"/>
      <c r="BN102" s="938"/>
      <c r="BO102" s="938"/>
      <c r="BP102" s="938"/>
      <c r="BQ102" s="938"/>
      <c r="BR102" s="938"/>
      <c r="BS102" s="938"/>
      <c r="BT102" s="938"/>
    </row>
    <row r="103" spans="1:72" x14ac:dyDescent="0.25">
      <c r="A103" s="938" t="s">
        <v>617</v>
      </c>
      <c r="B103" s="938">
        <v>23.83</v>
      </c>
      <c r="C103" s="938">
        <v>29.93</v>
      </c>
      <c r="D103" s="938">
        <v>25.2</v>
      </c>
      <c r="E103" s="938">
        <v>23.89</v>
      </c>
      <c r="F103" s="938">
        <v>23.98</v>
      </c>
      <c r="G103" s="938">
        <v>25.13</v>
      </c>
      <c r="H103" s="938">
        <v>26.33</v>
      </c>
      <c r="I103" s="938">
        <v>27.29</v>
      </c>
      <c r="J103" s="938">
        <v>27.88</v>
      </c>
      <c r="K103" s="938">
        <v>28.53</v>
      </c>
      <c r="L103" s="938">
        <v>29.07</v>
      </c>
      <c r="M103" s="938">
        <v>29.65</v>
      </c>
      <c r="N103" s="938">
        <v>29.91</v>
      </c>
      <c r="O103" s="938">
        <v>30.13</v>
      </c>
      <c r="P103" s="938">
        <v>30.36</v>
      </c>
      <c r="Q103" s="938">
        <v>30.56</v>
      </c>
      <c r="R103" s="938">
        <v>30.83</v>
      </c>
      <c r="S103" s="938">
        <v>31.1</v>
      </c>
      <c r="T103" s="938">
        <v>31.36</v>
      </c>
      <c r="U103" s="938">
        <v>31.5</v>
      </c>
      <c r="V103" s="938">
        <v>31.77</v>
      </c>
      <c r="W103" s="938">
        <v>32.01</v>
      </c>
      <c r="X103" s="938">
        <v>32.36</v>
      </c>
      <c r="Y103" s="938">
        <v>32.58</v>
      </c>
      <c r="Z103" s="938">
        <v>32.93</v>
      </c>
      <c r="AA103" s="938">
        <v>33.26</v>
      </c>
      <c r="AB103" s="938">
        <v>33.64</v>
      </c>
      <c r="AC103" s="938">
        <v>34</v>
      </c>
      <c r="AD103" s="938">
        <v>34.380000000000003</v>
      </c>
      <c r="AE103" s="977">
        <v>5.0000000000000001E-3</v>
      </c>
      <c r="AF103" s="938"/>
      <c r="AG103" s="938"/>
      <c r="AH103" s="938"/>
      <c r="AI103" s="938"/>
      <c r="AJ103" s="938"/>
      <c r="AK103" s="938"/>
      <c r="AL103" s="938"/>
      <c r="AM103" s="938"/>
      <c r="AN103" s="938"/>
      <c r="AO103" s="938"/>
      <c r="AP103" s="938"/>
      <c r="AQ103" s="938"/>
      <c r="AR103" s="938"/>
      <c r="AS103" s="938"/>
      <c r="AT103" s="938"/>
      <c r="AU103" s="938"/>
      <c r="AV103" s="938"/>
      <c r="AW103" s="938"/>
      <c r="AX103" s="938"/>
      <c r="AY103" s="938"/>
      <c r="AZ103" s="938"/>
      <c r="BA103" s="938"/>
      <c r="BB103" s="938"/>
      <c r="BC103" s="938"/>
      <c r="BD103" s="938"/>
      <c r="BE103" s="938"/>
      <c r="BF103" s="938"/>
      <c r="BG103" s="938"/>
      <c r="BH103" s="938"/>
      <c r="BI103" s="938"/>
      <c r="BJ103" s="938"/>
      <c r="BK103" s="938"/>
      <c r="BL103" s="938"/>
      <c r="BM103" s="938"/>
      <c r="BN103" s="938"/>
      <c r="BO103" s="938"/>
      <c r="BP103" s="938"/>
      <c r="BQ103" s="938"/>
      <c r="BR103" s="938"/>
      <c r="BS103" s="938"/>
      <c r="BT103" s="938"/>
    </row>
    <row r="104" spans="1:72" x14ac:dyDescent="0.25">
      <c r="A104" s="938" t="s">
        <v>618</v>
      </c>
      <c r="B104" s="938">
        <v>27.43</v>
      </c>
      <c r="C104" s="938">
        <v>26.93</v>
      </c>
      <c r="D104" s="938">
        <v>23.29</v>
      </c>
      <c r="E104" s="938">
        <v>20.64</v>
      </c>
      <c r="F104" s="938">
        <v>20.97</v>
      </c>
      <c r="G104" s="938">
        <v>22.13</v>
      </c>
      <c r="H104" s="938">
        <v>24.21</v>
      </c>
      <c r="I104" s="938">
        <v>25.23</v>
      </c>
      <c r="J104" s="938">
        <v>25.55</v>
      </c>
      <c r="K104" s="938">
        <v>25.08</v>
      </c>
      <c r="L104" s="938">
        <v>25.9</v>
      </c>
      <c r="M104" s="938">
        <v>26.54</v>
      </c>
      <c r="N104" s="938">
        <v>26.68</v>
      </c>
      <c r="O104" s="938">
        <v>26.95</v>
      </c>
      <c r="P104" s="938">
        <v>27.32</v>
      </c>
      <c r="Q104" s="938">
        <v>27.82</v>
      </c>
      <c r="R104" s="938">
        <v>28.31</v>
      </c>
      <c r="S104" s="938">
        <v>28.55</v>
      </c>
      <c r="T104" s="938">
        <v>28.86</v>
      </c>
      <c r="U104" s="938">
        <v>29.22</v>
      </c>
      <c r="V104" s="938">
        <v>29.49</v>
      </c>
      <c r="W104" s="938">
        <v>30.03</v>
      </c>
      <c r="X104" s="938">
        <v>30.44</v>
      </c>
      <c r="Y104" s="938">
        <v>30.64</v>
      </c>
      <c r="Z104" s="938">
        <v>30.86</v>
      </c>
      <c r="AA104" s="938">
        <v>31.29</v>
      </c>
      <c r="AB104" s="938">
        <v>31.49</v>
      </c>
      <c r="AC104" s="938">
        <v>31.77</v>
      </c>
      <c r="AD104" s="938">
        <v>32.229999999999997</v>
      </c>
      <c r="AE104" s="977">
        <v>7.0000000000000001E-3</v>
      </c>
      <c r="AF104" s="938"/>
      <c r="AG104" s="938"/>
      <c r="AH104" s="938"/>
      <c r="AI104" s="938"/>
      <c r="AJ104" s="938"/>
      <c r="AK104" s="938"/>
      <c r="AL104" s="938"/>
      <c r="AM104" s="938"/>
      <c r="AN104" s="938"/>
      <c r="AO104" s="938"/>
      <c r="AP104" s="938"/>
      <c r="AQ104" s="938"/>
      <c r="AR104" s="938"/>
      <c r="AS104" s="938"/>
      <c r="AT104" s="938"/>
      <c r="AU104" s="938"/>
      <c r="AV104" s="938"/>
      <c r="AW104" s="938"/>
      <c r="AX104" s="938"/>
      <c r="AY104" s="938"/>
      <c r="AZ104" s="938"/>
      <c r="BA104" s="938"/>
      <c r="BB104" s="938"/>
      <c r="BC104" s="938"/>
      <c r="BD104" s="938"/>
      <c r="BE104" s="938"/>
      <c r="BF104" s="938"/>
      <c r="BG104" s="938"/>
      <c r="BH104" s="938"/>
      <c r="BI104" s="938"/>
      <c r="BJ104" s="938"/>
      <c r="BK104" s="938"/>
      <c r="BL104" s="938"/>
      <c r="BM104" s="938"/>
      <c r="BN104" s="938"/>
      <c r="BO104" s="938"/>
      <c r="BP104" s="938"/>
      <c r="BQ104" s="938"/>
      <c r="BR104" s="938"/>
      <c r="BS104" s="938"/>
      <c r="BT104" s="938"/>
    </row>
    <row r="105" spans="1:72" x14ac:dyDescent="0.25">
      <c r="A105" s="938" t="s">
        <v>619</v>
      </c>
      <c r="B105" s="938">
        <v>23.66</v>
      </c>
      <c r="C105" s="938">
        <v>26.76</v>
      </c>
      <c r="D105" s="938">
        <v>19.14</v>
      </c>
      <c r="E105" s="938">
        <v>20.55</v>
      </c>
      <c r="F105" s="938">
        <v>20.88</v>
      </c>
      <c r="G105" s="938">
        <v>22.03</v>
      </c>
      <c r="H105" s="938">
        <v>24.02</v>
      </c>
      <c r="I105" s="938">
        <v>24.94</v>
      </c>
      <c r="J105" s="938">
        <v>25.37</v>
      </c>
      <c r="K105" s="938">
        <v>25.94</v>
      </c>
      <c r="L105" s="938">
        <v>26.47</v>
      </c>
      <c r="M105" s="938">
        <v>26.89</v>
      </c>
      <c r="N105" s="938">
        <v>27.2</v>
      </c>
      <c r="O105" s="938">
        <v>27.59</v>
      </c>
      <c r="P105" s="938">
        <v>27.82</v>
      </c>
      <c r="Q105" s="938">
        <v>28.18</v>
      </c>
      <c r="R105" s="938">
        <v>28.42</v>
      </c>
      <c r="S105" s="938">
        <v>28.54</v>
      </c>
      <c r="T105" s="938">
        <v>28.87</v>
      </c>
      <c r="U105" s="938">
        <v>29.19</v>
      </c>
      <c r="V105" s="938">
        <v>29.47</v>
      </c>
      <c r="W105" s="938">
        <v>29.9</v>
      </c>
      <c r="X105" s="938">
        <v>30.27</v>
      </c>
      <c r="Y105" s="938">
        <v>30.42</v>
      </c>
      <c r="Z105" s="938">
        <v>30.77</v>
      </c>
      <c r="AA105" s="938">
        <v>31.16</v>
      </c>
      <c r="AB105" s="938">
        <v>31.44</v>
      </c>
      <c r="AC105" s="938">
        <v>31.81</v>
      </c>
      <c r="AD105" s="938">
        <v>32.33</v>
      </c>
      <c r="AE105" s="977">
        <v>7.0000000000000001E-3</v>
      </c>
      <c r="AF105" s="938"/>
      <c r="AG105" s="938"/>
      <c r="AH105" s="938"/>
      <c r="AI105" s="938"/>
      <c r="AJ105" s="938"/>
      <c r="AK105" s="938"/>
      <c r="AL105" s="938"/>
      <c r="AM105" s="938"/>
      <c r="AN105" s="938"/>
      <c r="AO105" s="938"/>
      <c r="AP105" s="938"/>
      <c r="AQ105" s="938"/>
      <c r="AR105" s="938"/>
      <c r="AS105" s="938"/>
      <c r="AT105" s="938"/>
      <c r="AU105" s="938"/>
      <c r="AV105" s="938"/>
      <c r="AW105" s="938"/>
      <c r="AX105" s="938"/>
      <c r="AY105" s="938"/>
      <c r="AZ105" s="938"/>
      <c r="BA105" s="938"/>
      <c r="BB105" s="938"/>
      <c r="BC105" s="938"/>
      <c r="BD105" s="938"/>
      <c r="BE105" s="938"/>
      <c r="BF105" s="938"/>
      <c r="BG105" s="938"/>
      <c r="BH105" s="938"/>
      <c r="BI105" s="938"/>
      <c r="BJ105" s="938"/>
      <c r="BK105" s="938"/>
      <c r="BL105" s="938"/>
      <c r="BM105" s="938"/>
      <c r="BN105" s="938"/>
      <c r="BO105" s="938"/>
      <c r="BP105" s="938"/>
      <c r="BQ105" s="938"/>
      <c r="BR105" s="938"/>
      <c r="BS105" s="938"/>
      <c r="BT105" s="938"/>
    </row>
    <row r="106" spans="1:72" x14ac:dyDescent="0.25">
      <c r="A106" s="938" t="s">
        <v>620</v>
      </c>
      <c r="B106" s="938">
        <v>15.77</v>
      </c>
      <c r="C106" s="938">
        <v>22.71</v>
      </c>
      <c r="D106" s="938">
        <v>12.73</v>
      </c>
      <c r="E106" s="938">
        <v>14.79</v>
      </c>
      <c r="F106" s="938">
        <v>15.16</v>
      </c>
      <c r="G106" s="938">
        <v>16.54</v>
      </c>
      <c r="H106" s="938">
        <v>17.690000000000001</v>
      </c>
      <c r="I106" s="938">
        <v>18.46</v>
      </c>
      <c r="J106" s="938">
        <v>19.04</v>
      </c>
      <c r="K106" s="938">
        <v>19.760000000000002</v>
      </c>
      <c r="L106" s="938">
        <v>20.41</v>
      </c>
      <c r="M106" s="938">
        <v>20.97</v>
      </c>
      <c r="N106" s="938">
        <v>21.35</v>
      </c>
      <c r="O106" s="938">
        <v>21.69</v>
      </c>
      <c r="P106" s="938">
        <v>21.85</v>
      </c>
      <c r="Q106" s="938">
        <v>22.09</v>
      </c>
      <c r="R106" s="938">
        <v>22.41</v>
      </c>
      <c r="S106" s="938">
        <v>22.61</v>
      </c>
      <c r="T106" s="938">
        <v>22.92</v>
      </c>
      <c r="U106" s="938">
        <v>23.19</v>
      </c>
      <c r="V106" s="938">
        <v>23.48</v>
      </c>
      <c r="W106" s="938">
        <v>23.9</v>
      </c>
      <c r="X106" s="938">
        <v>24.26</v>
      </c>
      <c r="Y106" s="938">
        <v>24.51</v>
      </c>
      <c r="Z106" s="938">
        <v>24.9</v>
      </c>
      <c r="AA106" s="938">
        <v>25.3</v>
      </c>
      <c r="AB106" s="938">
        <v>25.64</v>
      </c>
      <c r="AC106" s="938">
        <v>26.05</v>
      </c>
      <c r="AD106" s="938">
        <v>26.48</v>
      </c>
      <c r="AE106" s="977">
        <v>6.0000000000000001E-3</v>
      </c>
      <c r="AF106" s="938"/>
      <c r="AG106" s="938"/>
      <c r="AH106" s="938"/>
      <c r="AI106" s="938"/>
      <c r="AJ106" s="938"/>
      <c r="AK106" s="938"/>
      <c r="AL106" s="938"/>
      <c r="AM106" s="938"/>
      <c r="AN106" s="938"/>
      <c r="AO106" s="938"/>
      <c r="AP106" s="938"/>
      <c r="AQ106" s="938"/>
      <c r="AR106" s="938"/>
      <c r="AS106" s="938"/>
      <c r="AT106" s="938"/>
      <c r="AU106" s="938"/>
      <c r="AV106" s="938"/>
      <c r="AW106" s="938"/>
      <c r="AX106" s="938"/>
      <c r="AY106" s="938"/>
      <c r="AZ106" s="938"/>
      <c r="BA106" s="938"/>
      <c r="BB106" s="938"/>
      <c r="BC106" s="938"/>
      <c r="BD106" s="938"/>
      <c r="BE106" s="938"/>
      <c r="BF106" s="938"/>
      <c r="BG106" s="938"/>
      <c r="BH106" s="938"/>
      <c r="BI106" s="938"/>
      <c r="BJ106" s="938"/>
      <c r="BK106" s="938"/>
      <c r="BL106" s="938"/>
      <c r="BM106" s="938"/>
      <c r="BN106" s="938"/>
      <c r="BO106" s="938"/>
      <c r="BP106" s="938"/>
      <c r="BQ106" s="938"/>
      <c r="BR106" s="938"/>
      <c r="BS106" s="938"/>
      <c r="BT106" s="938"/>
    </row>
    <row r="107" spans="1:72" x14ac:dyDescent="0.25">
      <c r="A107" s="938" t="s">
        <v>724</v>
      </c>
      <c r="B107" s="938">
        <v>21.55</v>
      </c>
      <c r="C107" s="938">
        <v>27.65</v>
      </c>
      <c r="D107" s="938">
        <v>17.77</v>
      </c>
      <c r="E107" s="938">
        <v>19.12</v>
      </c>
      <c r="F107" s="938">
        <v>19.309999999999999</v>
      </c>
      <c r="G107" s="938">
        <v>20.51</v>
      </c>
      <c r="H107" s="938">
        <v>21.54</v>
      </c>
      <c r="I107" s="938">
        <v>22.25</v>
      </c>
      <c r="J107" s="938">
        <v>22.93</v>
      </c>
      <c r="K107" s="938">
        <v>23.68</v>
      </c>
      <c r="L107" s="938">
        <v>24.26</v>
      </c>
      <c r="M107" s="938">
        <v>24.91</v>
      </c>
      <c r="N107" s="938">
        <v>25.29</v>
      </c>
      <c r="O107" s="938">
        <v>25.6</v>
      </c>
      <c r="P107" s="938">
        <v>25.79</v>
      </c>
      <c r="Q107" s="938">
        <v>26.12</v>
      </c>
      <c r="R107" s="938">
        <v>26.26</v>
      </c>
      <c r="S107" s="938">
        <v>26.34</v>
      </c>
      <c r="T107" s="938">
        <v>26.63</v>
      </c>
      <c r="U107" s="938">
        <v>26.83</v>
      </c>
      <c r="V107" s="938">
        <v>27.09</v>
      </c>
      <c r="W107" s="938">
        <v>27.4</v>
      </c>
      <c r="X107" s="938">
        <v>27.8</v>
      </c>
      <c r="Y107" s="938">
        <v>27.96</v>
      </c>
      <c r="Z107" s="938">
        <v>28.38</v>
      </c>
      <c r="AA107" s="938">
        <v>28.78</v>
      </c>
      <c r="AB107" s="938">
        <v>29.09</v>
      </c>
      <c r="AC107" s="938">
        <v>29.49</v>
      </c>
      <c r="AD107" s="938">
        <v>29.96</v>
      </c>
      <c r="AE107" s="977">
        <v>3.0000000000000001E-3</v>
      </c>
      <c r="AF107" s="938"/>
      <c r="AG107" s="938"/>
      <c r="AH107" s="938"/>
      <c r="AI107" s="938"/>
      <c r="AJ107" s="938"/>
      <c r="AK107" s="938"/>
      <c r="AL107" s="938"/>
      <c r="AM107" s="938"/>
      <c r="AN107" s="938"/>
      <c r="AO107" s="938"/>
      <c r="AP107" s="938"/>
      <c r="AQ107" s="938"/>
      <c r="AR107" s="938"/>
      <c r="AS107" s="938"/>
      <c r="AT107" s="938"/>
      <c r="AU107" s="938"/>
      <c r="AV107" s="938"/>
      <c r="AW107" s="938"/>
      <c r="AX107" s="938"/>
      <c r="AY107" s="938"/>
      <c r="AZ107" s="938"/>
      <c r="BA107" s="938"/>
      <c r="BB107" s="938"/>
      <c r="BC107" s="938"/>
      <c r="BD107" s="938"/>
      <c r="BE107" s="938"/>
      <c r="BF107" s="938"/>
      <c r="BG107" s="938"/>
      <c r="BH107" s="938"/>
      <c r="BI107" s="938"/>
      <c r="BJ107" s="938"/>
      <c r="BK107" s="938"/>
      <c r="BL107" s="938"/>
      <c r="BM107" s="938"/>
      <c r="BN107" s="938"/>
      <c r="BO107" s="938"/>
      <c r="BP107" s="938"/>
      <c r="BQ107" s="938"/>
      <c r="BR107" s="938"/>
      <c r="BS107" s="938"/>
      <c r="BT107" s="938"/>
    </row>
    <row r="108" spans="1:72" x14ac:dyDescent="0.25">
      <c r="A108" s="938" t="s">
        <v>611</v>
      </c>
      <c r="B108" s="938">
        <v>9.19</v>
      </c>
      <c r="C108" s="938">
        <v>14.49</v>
      </c>
      <c r="D108" s="938">
        <v>8.86</v>
      </c>
      <c r="E108" s="938">
        <v>10.210000000000001</v>
      </c>
      <c r="F108" s="938">
        <v>10.32</v>
      </c>
      <c r="G108" s="938">
        <v>11.5</v>
      </c>
      <c r="H108" s="938">
        <v>12.44</v>
      </c>
      <c r="I108" s="938">
        <v>13.18</v>
      </c>
      <c r="J108" s="938">
        <v>13.58</v>
      </c>
      <c r="K108" s="938">
        <v>13.9</v>
      </c>
      <c r="L108" s="938">
        <v>14.43</v>
      </c>
      <c r="M108" s="938">
        <v>14.81</v>
      </c>
      <c r="N108" s="938">
        <v>14.97</v>
      </c>
      <c r="O108" s="938">
        <v>14.99</v>
      </c>
      <c r="P108" s="938">
        <v>15.23</v>
      </c>
      <c r="Q108" s="938">
        <v>15.34</v>
      </c>
      <c r="R108" s="938">
        <v>15.55</v>
      </c>
      <c r="S108" s="938">
        <v>15.75</v>
      </c>
      <c r="T108" s="938">
        <v>15.93</v>
      </c>
      <c r="U108" s="938">
        <v>15.98</v>
      </c>
      <c r="V108" s="938">
        <v>16.27</v>
      </c>
      <c r="W108" s="938">
        <v>16.5</v>
      </c>
      <c r="X108" s="938">
        <v>16.8</v>
      </c>
      <c r="Y108" s="938">
        <v>17.100000000000001</v>
      </c>
      <c r="Z108" s="938">
        <v>17.420000000000002</v>
      </c>
      <c r="AA108" s="938">
        <v>17.690000000000001</v>
      </c>
      <c r="AB108" s="938">
        <v>17.93</v>
      </c>
      <c r="AC108" s="938">
        <v>18.239999999999998</v>
      </c>
      <c r="AD108" s="938">
        <v>18.600000000000001</v>
      </c>
      <c r="AE108" s="977">
        <v>8.9999999999999993E-3</v>
      </c>
      <c r="AF108" s="938"/>
      <c r="AG108" s="938"/>
      <c r="AH108" s="938"/>
      <c r="AI108" s="938"/>
      <c r="AJ108" s="938"/>
      <c r="AK108" s="938"/>
      <c r="AL108" s="938"/>
      <c r="AM108" s="938"/>
      <c r="AN108" s="938"/>
      <c r="AO108" s="938"/>
      <c r="AP108" s="938"/>
      <c r="AQ108" s="938"/>
      <c r="AR108" s="938"/>
      <c r="AS108" s="938"/>
      <c r="AT108" s="938"/>
      <c r="AU108" s="938"/>
      <c r="AV108" s="938"/>
      <c r="AW108" s="938"/>
      <c r="AX108" s="938"/>
      <c r="AY108" s="938"/>
      <c r="AZ108" s="938"/>
      <c r="BA108" s="938"/>
      <c r="BB108" s="938"/>
      <c r="BC108" s="938"/>
      <c r="BD108" s="938"/>
      <c r="BE108" s="938"/>
      <c r="BF108" s="938"/>
      <c r="BG108" s="938"/>
      <c r="BH108" s="938"/>
      <c r="BI108" s="938"/>
      <c r="BJ108" s="938"/>
      <c r="BK108" s="938"/>
      <c r="BL108" s="938"/>
      <c r="BM108" s="938"/>
      <c r="BN108" s="938"/>
      <c r="BO108" s="938"/>
      <c r="BP108" s="938"/>
      <c r="BQ108" s="938"/>
      <c r="BR108" s="938"/>
      <c r="BS108" s="938"/>
      <c r="BT108" s="938"/>
    </row>
    <row r="109" spans="1:72" x14ac:dyDescent="0.25">
      <c r="A109" s="938" t="s">
        <v>622</v>
      </c>
      <c r="B109" s="938">
        <v>13.84</v>
      </c>
      <c r="C109" s="938">
        <v>15.96</v>
      </c>
      <c r="D109" s="938">
        <v>11.36</v>
      </c>
      <c r="E109" s="938">
        <v>12</v>
      </c>
      <c r="F109" s="938">
        <v>13.09</v>
      </c>
      <c r="G109" s="938">
        <v>13.49</v>
      </c>
      <c r="H109" s="938">
        <v>13.36</v>
      </c>
      <c r="I109" s="938">
        <v>13.25</v>
      </c>
      <c r="J109" s="938">
        <v>13.37</v>
      </c>
      <c r="K109" s="938">
        <v>13.41</v>
      </c>
      <c r="L109" s="938">
        <v>13.38</v>
      </c>
      <c r="M109" s="938">
        <v>13.37</v>
      </c>
      <c r="N109" s="938">
        <v>13.38</v>
      </c>
      <c r="O109" s="938">
        <v>13.44</v>
      </c>
      <c r="P109" s="938">
        <v>13.46</v>
      </c>
      <c r="Q109" s="938">
        <v>13.58</v>
      </c>
      <c r="R109" s="938">
        <v>13.54</v>
      </c>
      <c r="S109" s="938">
        <v>13.41</v>
      </c>
      <c r="T109" s="938">
        <v>13.43</v>
      </c>
      <c r="U109" s="938">
        <v>13.54</v>
      </c>
      <c r="V109" s="938">
        <v>13.65</v>
      </c>
      <c r="W109" s="938">
        <v>13.83</v>
      </c>
      <c r="X109" s="938">
        <v>14</v>
      </c>
      <c r="Y109" s="938">
        <v>14.19</v>
      </c>
      <c r="Z109" s="938">
        <v>14.46</v>
      </c>
      <c r="AA109" s="938">
        <v>14.54</v>
      </c>
      <c r="AB109" s="938">
        <v>14.55</v>
      </c>
      <c r="AC109" s="938">
        <v>14.7</v>
      </c>
      <c r="AD109" s="938">
        <v>14.78</v>
      </c>
      <c r="AE109" s="977">
        <v>-3.0000000000000001E-3</v>
      </c>
      <c r="AF109" s="938"/>
      <c r="AG109" s="938"/>
      <c r="AH109" s="938"/>
      <c r="AI109" s="938"/>
      <c r="AJ109" s="938"/>
      <c r="AK109" s="938"/>
      <c r="AL109" s="938"/>
      <c r="AM109" s="938"/>
      <c r="AN109" s="938"/>
      <c r="AO109" s="938"/>
      <c r="AP109" s="938"/>
      <c r="AQ109" s="938"/>
      <c r="AR109" s="938"/>
      <c r="AS109" s="938"/>
      <c r="AT109" s="938"/>
      <c r="AU109" s="938"/>
      <c r="AV109" s="938"/>
      <c r="AW109" s="938"/>
      <c r="AX109" s="938"/>
      <c r="AY109" s="938"/>
      <c r="AZ109" s="938"/>
      <c r="BA109" s="938"/>
      <c r="BB109" s="938"/>
      <c r="BC109" s="938"/>
      <c r="BD109" s="938"/>
      <c r="BE109" s="938"/>
      <c r="BF109" s="938"/>
      <c r="BG109" s="938"/>
      <c r="BH109" s="938"/>
      <c r="BI109" s="938"/>
      <c r="BJ109" s="938"/>
      <c r="BK109" s="938"/>
      <c r="BL109" s="938"/>
      <c r="BM109" s="938"/>
      <c r="BN109" s="938"/>
      <c r="BO109" s="938"/>
      <c r="BP109" s="938"/>
      <c r="BQ109" s="938"/>
      <c r="BR109" s="938"/>
      <c r="BS109" s="938"/>
      <c r="BT109" s="938"/>
    </row>
    <row r="110" spans="1:72" x14ac:dyDescent="0.25">
      <c r="A110" s="938" t="s">
        <v>479</v>
      </c>
      <c r="B110" s="938">
        <v>32.03</v>
      </c>
      <c r="C110" s="938">
        <v>33.729999999999997</v>
      </c>
      <c r="D110" s="938">
        <v>32.299999999999997</v>
      </c>
      <c r="E110" s="938">
        <v>30.29</v>
      </c>
      <c r="F110" s="938">
        <v>27.63</v>
      </c>
      <c r="G110" s="938">
        <v>29.66</v>
      </c>
      <c r="H110" s="938">
        <v>29.72</v>
      </c>
      <c r="I110" s="938">
        <v>29.07</v>
      </c>
      <c r="J110" s="938">
        <v>28.79</v>
      </c>
      <c r="K110" s="938">
        <v>29.01</v>
      </c>
      <c r="L110" s="938">
        <v>29.04</v>
      </c>
      <c r="M110" s="938">
        <v>28.87</v>
      </c>
      <c r="N110" s="938">
        <v>28.59</v>
      </c>
      <c r="O110" s="938">
        <v>28.55</v>
      </c>
      <c r="P110" s="938">
        <v>28.54</v>
      </c>
      <c r="Q110" s="938">
        <v>28.43</v>
      </c>
      <c r="R110" s="938">
        <v>28.48</v>
      </c>
      <c r="S110" s="938">
        <v>28.64</v>
      </c>
      <c r="T110" s="938">
        <v>28.63</v>
      </c>
      <c r="U110" s="938">
        <v>28.88</v>
      </c>
      <c r="V110" s="938">
        <v>29.32</v>
      </c>
      <c r="W110" s="938">
        <v>29.79</v>
      </c>
      <c r="X110" s="938">
        <v>30.51</v>
      </c>
      <c r="Y110" s="938">
        <v>31.01</v>
      </c>
      <c r="Z110" s="938">
        <v>31.61</v>
      </c>
      <c r="AA110" s="938">
        <v>32.15</v>
      </c>
      <c r="AB110" s="938">
        <v>32.47</v>
      </c>
      <c r="AC110" s="938">
        <v>32.89</v>
      </c>
      <c r="AD110" s="938">
        <v>33.26</v>
      </c>
      <c r="AE110" s="977">
        <v>-1E-3</v>
      </c>
      <c r="AF110" s="938"/>
      <c r="AG110" s="938"/>
      <c r="AH110" s="938"/>
      <c r="AI110" s="938"/>
      <c r="AJ110" s="938"/>
      <c r="AK110" s="938"/>
      <c r="AL110" s="938"/>
      <c r="AM110" s="938"/>
      <c r="AN110" s="938"/>
      <c r="AO110" s="938"/>
      <c r="AP110" s="938"/>
      <c r="AQ110" s="938"/>
      <c r="AR110" s="938"/>
      <c r="AS110" s="938"/>
      <c r="AT110" s="938"/>
      <c r="AU110" s="938"/>
      <c r="AV110" s="938"/>
      <c r="AW110" s="938"/>
      <c r="AX110" s="938"/>
      <c r="AY110" s="938"/>
      <c r="AZ110" s="938"/>
      <c r="BA110" s="938"/>
      <c r="BB110" s="938"/>
      <c r="BC110" s="938"/>
      <c r="BD110" s="938"/>
      <c r="BE110" s="938"/>
      <c r="BF110" s="938"/>
      <c r="BG110" s="938"/>
      <c r="BH110" s="938"/>
      <c r="BI110" s="938"/>
      <c r="BJ110" s="938"/>
      <c r="BK110" s="938"/>
      <c r="BL110" s="938"/>
      <c r="BM110" s="938"/>
      <c r="BN110" s="938"/>
      <c r="BO110" s="938"/>
      <c r="BP110" s="938"/>
      <c r="BQ110" s="938"/>
      <c r="BR110" s="938"/>
      <c r="BS110" s="938"/>
      <c r="BT110" s="938"/>
    </row>
    <row r="111" spans="1:72" x14ac:dyDescent="0.25">
      <c r="A111" s="938"/>
      <c r="B111" s="938"/>
      <c r="C111" s="938"/>
      <c r="D111" s="938"/>
      <c r="E111" s="938"/>
      <c r="F111" s="938"/>
      <c r="G111" s="938"/>
      <c r="H111" s="938"/>
      <c r="I111" s="938"/>
      <c r="J111" s="938"/>
      <c r="K111" s="938"/>
      <c r="L111" s="938"/>
      <c r="M111" s="938"/>
      <c r="N111" s="938"/>
      <c r="O111" s="938"/>
      <c r="P111" s="938"/>
      <c r="Q111" s="938"/>
      <c r="R111" s="938"/>
      <c r="S111" s="938"/>
      <c r="T111" s="938"/>
      <c r="U111" s="938"/>
      <c r="V111" s="938"/>
      <c r="W111" s="938"/>
      <c r="X111" s="938"/>
      <c r="Y111" s="938"/>
      <c r="Z111" s="938"/>
      <c r="AA111" s="938"/>
      <c r="AB111" s="938"/>
      <c r="AC111" s="938"/>
      <c r="AD111" s="938"/>
      <c r="AE111" s="938"/>
      <c r="AF111" s="938"/>
      <c r="AG111" s="938"/>
      <c r="AH111" s="938"/>
      <c r="AI111" s="938"/>
      <c r="AJ111" s="938"/>
      <c r="AK111" s="938"/>
      <c r="AL111" s="938"/>
      <c r="AM111" s="938"/>
      <c r="AN111" s="938"/>
      <c r="AO111" s="938"/>
      <c r="AP111" s="938"/>
      <c r="AQ111" s="938"/>
      <c r="AR111" s="938"/>
      <c r="AS111" s="938"/>
      <c r="AT111" s="938"/>
      <c r="AU111" s="938"/>
      <c r="AV111" s="938"/>
      <c r="AW111" s="938"/>
      <c r="AX111" s="938"/>
      <c r="AY111" s="938"/>
      <c r="AZ111" s="938"/>
      <c r="BA111" s="938"/>
      <c r="BB111" s="938"/>
      <c r="BC111" s="938"/>
      <c r="BD111" s="938"/>
      <c r="BE111" s="938"/>
      <c r="BF111" s="938"/>
      <c r="BG111" s="938"/>
      <c r="BH111" s="938"/>
      <c r="BI111" s="938"/>
      <c r="BJ111" s="938"/>
      <c r="BK111" s="938"/>
      <c r="BL111" s="938"/>
      <c r="BM111" s="938"/>
      <c r="BN111" s="938"/>
      <c r="BO111" s="938"/>
      <c r="BP111" s="938"/>
      <c r="BQ111" s="938"/>
      <c r="BR111" s="938"/>
      <c r="BS111" s="938"/>
      <c r="BT111" s="938"/>
    </row>
    <row r="112" spans="1:72" x14ac:dyDescent="0.25">
      <c r="A112" s="938" t="s">
        <v>623</v>
      </c>
      <c r="B112" s="938"/>
      <c r="C112" s="938"/>
      <c r="D112" s="938"/>
      <c r="E112" s="938"/>
      <c r="F112" s="938"/>
      <c r="G112" s="938"/>
      <c r="H112" s="938"/>
      <c r="I112" s="938"/>
      <c r="J112" s="938"/>
      <c r="K112" s="938"/>
      <c r="L112" s="938"/>
      <c r="M112" s="938"/>
      <c r="N112" s="938"/>
      <c r="O112" s="938"/>
      <c r="P112" s="938"/>
      <c r="Q112" s="938"/>
      <c r="R112" s="938"/>
      <c r="S112" s="938"/>
      <c r="T112" s="938"/>
      <c r="U112" s="938"/>
      <c r="V112" s="938"/>
      <c r="W112" s="938"/>
      <c r="X112" s="938"/>
      <c r="Y112" s="938"/>
      <c r="Z112" s="938"/>
      <c r="AA112" s="938"/>
      <c r="AB112" s="938"/>
      <c r="AC112" s="938"/>
      <c r="AD112" s="938"/>
      <c r="AE112" s="938"/>
      <c r="AF112" s="938"/>
      <c r="AG112" s="938"/>
      <c r="AH112" s="938"/>
      <c r="AI112" s="938"/>
      <c r="AJ112" s="938"/>
      <c r="AK112" s="938"/>
      <c r="AL112" s="938"/>
      <c r="AM112" s="938"/>
      <c r="AN112" s="938"/>
      <c r="AO112" s="938"/>
      <c r="AP112" s="938"/>
      <c r="AQ112" s="938"/>
      <c r="AR112" s="938"/>
      <c r="AS112" s="938"/>
      <c r="AT112" s="938"/>
      <c r="AU112" s="938"/>
      <c r="AV112" s="938"/>
      <c r="AW112" s="938"/>
      <c r="AX112" s="938"/>
      <c r="AY112" s="938"/>
      <c r="AZ112" s="938"/>
      <c r="BA112" s="938"/>
      <c r="BB112" s="938"/>
      <c r="BC112" s="938"/>
      <c r="BD112" s="938"/>
      <c r="BE112" s="938"/>
      <c r="BF112" s="938"/>
      <c r="BG112" s="938"/>
      <c r="BH112" s="938"/>
      <c r="BI112" s="938"/>
      <c r="BJ112" s="938"/>
      <c r="BK112" s="938"/>
      <c r="BL112" s="938"/>
      <c r="BM112" s="938"/>
      <c r="BN112" s="938"/>
      <c r="BO112" s="938"/>
      <c r="BP112" s="938"/>
      <c r="BQ112" s="938"/>
      <c r="BR112" s="938"/>
      <c r="BS112" s="938"/>
      <c r="BT112" s="938"/>
    </row>
    <row r="113" spans="1:72" x14ac:dyDescent="0.25">
      <c r="A113" s="938" t="s">
        <v>610</v>
      </c>
      <c r="B113" s="938">
        <v>15.75</v>
      </c>
      <c r="C113" s="938">
        <v>19.37</v>
      </c>
      <c r="D113" s="938">
        <v>14.24</v>
      </c>
      <c r="E113" s="938">
        <v>13.91</v>
      </c>
      <c r="F113" s="938">
        <v>14.06</v>
      </c>
      <c r="G113" s="938">
        <v>15.2</v>
      </c>
      <c r="H113" s="938">
        <v>16.21</v>
      </c>
      <c r="I113" s="938">
        <v>16.89</v>
      </c>
      <c r="J113" s="938">
        <v>17.36</v>
      </c>
      <c r="K113" s="938">
        <v>18.22</v>
      </c>
      <c r="L113" s="938">
        <v>18.88</v>
      </c>
      <c r="M113" s="938">
        <v>19.510000000000002</v>
      </c>
      <c r="N113" s="938">
        <v>19.920000000000002</v>
      </c>
      <c r="O113" s="938">
        <v>20.25</v>
      </c>
      <c r="P113" s="938">
        <v>20.399999999999999</v>
      </c>
      <c r="Q113" s="938">
        <v>20.58</v>
      </c>
      <c r="R113" s="938">
        <v>20.89</v>
      </c>
      <c r="S113" s="938">
        <v>21.07</v>
      </c>
      <c r="T113" s="938">
        <v>21.35</v>
      </c>
      <c r="U113" s="938">
        <v>21.6</v>
      </c>
      <c r="V113" s="938">
        <v>21.83</v>
      </c>
      <c r="W113" s="938">
        <v>22.14</v>
      </c>
      <c r="X113" s="938">
        <v>22.54</v>
      </c>
      <c r="Y113" s="938">
        <v>22.71</v>
      </c>
      <c r="Z113" s="938">
        <v>23.14</v>
      </c>
      <c r="AA113" s="938">
        <v>23.54</v>
      </c>
      <c r="AB113" s="938">
        <v>23.87</v>
      </c>
      <c r="AC113" s="938">
        <v>24.28</v>
      </c>
      <c r="AD113" s="938">
        <v>24.7</v>
      </c>
      <c r="AE113" s="977">
        <v>8.9999999999999993E-3</v>
      </c>
      <c r="AF113" s="938"/>
      <c r="AG113" s="938"/>
      <c r="AH113" s="938"/>
      <c r="AI113" s="938"/>
      <c r="AJ113" s="938"/>
      <c r="AK113" s="938"/>
      <c r="AL113" s="938"/>
      <c r="AM113" s="938"/>
      <c r="AN113" s="938"/>
      <c r="AO113" s="938"/>
      <c r="AP113" s="938"/>
      <c r="AQ113" s="938"/>
      <c r="AR113" s="938"/>
      <c r="AS113" s="938"/>
      <c r="AT113" s="938"/>
      <c r="AU113" s="938"/>
      <c r="AV113" s="938"/>
      <c r="AW113" s="938"/>
      <c r="AX113" s="938"/>
      <c r="AY113" s="938"/>
      <c r="AZ113" s="938"/>
      <c r="BA113" s="938"/>
      <c r="BB113" s="938"/>
      <c r="BC113" s="938"/>
      <c r="BD113" s="938"/>
      <c r="BE113" s="938"/>
      <c r="BF113" s="938"/>
      <c r="BG113" s="938"/>
      <c r="BH113" s="938"/>
      <c r="BI113" s="938"/>
      <c r="BJ113" s="938"/>
      <c r="BK113" s="938"/>
      <c r="BL113" s="938"/>
      <c r="BM113" s="938"/>
      <c r="BN113" s="938"/>
      <c r="BO113" s="938"/>
      <c r="BP113" s="938"/>
      <c r="BQ113" s="938"/>
      <c r="BR113" s="938"/>
      <c r="BS113" s="938"/>
      <c r="BT113" s="938"/>
    </row>
    <row r="114" spans="1:72" x14ac:dyDescent="0.25">
      <c r="A114" s="938" t="s">
        <v>611</v>
      </c>
      <c r="B114" s="938">
        <v>9.0399999999999991</v>
      </c>
      <c r="C114" s="938">
        <v>14.56</v>
      </c>
      <c r="D114" s="938">
        <v>8.7799999999999994</v>
      </c>
      <c r="E114" s="938">
        <v>12</v>
      </c>
      <c r="F114" s="938">
        <v>12.17</v>
      </c>
      <c r="G114" s="938">
        <v>13.34</v>
      </c>
      <c r="H114" s="938">
        <v>14.37</v>
      </c>
      <c r="I114" s="938">
        <v>15.11</v>
      </c>
      <c r="J114" s="938">
        <v>15.53</v>
      </c>
      <c r="K114" s="938">
        <v>15.93</v>
      </c>
      <c r="L114" s="938">
        <v>16.45</v>
      </c>
      <c r="M114" s="938">
        <v>16.89</v>
      </c>
      <c r="N114" s="938">
        <v>17.14</v>
      </c>
      <c r="O114" s="938">
        <v>17.22</v>
      </c>
      <c r="P114" s="938">
        <v>17.47</v>
      </c>
      <c r="Q114" s="938">
        <v>17.63</v>
      </c>
      <c r="R114" s="938">
        <v>17.850000000000001</v>
      </c>
      <c r="S114" s="938">
        <v>18.079999999999998</v>
      </c>
      <c r="T114" s="938">
        <v>18.3</v>
      </c>
      <c r="U114" s="938">
        <v>18.38</v>
      </c>
      <c r="V114" s="938">
        <v>18.68</v>
      </c>
      <c r="W114" s="938">
        <v>18.940000000000001</v>
      </c>
      <c r="X114" s="938">
        <v>19.23</v>
      </c>
      <c r="Y114" s="938">
        <v>19.55</v>
      </c>
      <c r="Z114" s="938">
        <v>19.899999999999999</v>
      </c>
      <c r="AA114" s="938">
        <v>20.190000000000001</v>
      </c>
      <c r="AB114" s="938">
        <v>20.43</v>
      </c>
      <c r="AC114" s="938">
        <v>20.77</v>
      </c>
      <c r="AD114" s="938">
        <v>21.12</v>
      </c>
      <c r="AE114" s="977">
        <v>1.4E-2</v>
      </c>
      <c r="AF114" s="938"/>
      <c r="AG114" s="938"/>
      <c r="AH114" s="938"/>
      <c r="AI114" s="938"/>
      <c r="AJ114" s="938"/>
      <c r="AK114" s="938"/>
      <c r="AL114" s="938"/>
      <c r="AM114" s="938"/>
      <c r="AN114" s="938"/>
      <c r="AO114" s="938"/>
      <c r="AP114" s="938"/>
      <c r="AQ114" s="938"/>
      <c r="AR114" s="938"/>
      <c r="AS114" s="938"/>
      <c r="AT114" s="938"/>
      <c r="AU114" s="938"/>
      <c r="AV114" s="938"/>
      <c r="AW114" s="938"/>
      <c r="AX114" s="938"/>
      <c r="AY114" s="938"/>
      <c r="AZ114" s="938"/>
      <c r="BA114" s="938"/>
      <c r="BB114" s="938"/>
      <c r="BC114" s="938"/>
      <c r="BD114" s="938"/>
      <c r="BE114" s="938"/>
      <c r="BF114" s="938"/>
      <c r="BG114" s="938"/>
      <c r="BH114" s="938"/>
      <c r="BI114" s="938"/>
      <c r="BJ114" s="938"/>
      <c r="BK114" s="938"/>
      <c r="BL114" s="938"/>
      <c r="BM114" s="938"/>
      <c r="BN114" s="938"/>
      <c r="BO114" s="938"/>
      <c r="BP114" s="938"/>
      <c r="BQ114" s="938"/>
      <c r="BR114" s="938"/>
      <c r="BS114" s="938"/>
      <c r="BT114" s="938"/>
    </row>
    <row r="115" spans="1:72" x14ac:dyDescent="0.25">
      <c r="A115" s="938" t="s">
        <v>510</v>
      </c>
      <c r="B115" s="938">
        <v>7.26</v>
      </c>
      <c r="C115" s="938">
        <v>9.09</v>
      </c>
      <c r="D115" s="938">
        <v>4.1399999999999997</v>
      </c>
      <c r="E115" s="938">
        <v>4.8499999999999996</v>
      </c>
      <c r="F115" s="938">
        <v>5.82</v>
      </c>
      <c r="G115" s="938">
        <v>6.17</v>
      </c>
      <c r="H115" s="938">
        <v>5.94</v>
      </c>
      <c r="I115" s="938">
        <v>5.9</v>
      </c>
      <c r="J115" s="938">
        <v>6.08</v>
      </c>
      <c r="K115" s="938">
        <v>6.16</v>
      </c>
      <c r="L115" s="938">
        <v>6.17</v>
      </c>
      <c r="M115" s="938">
        <v>6.22</v>
      </c>
      <c r="N115" s="938">
        <v>6.29</v>
      </c>
      <c r="O115" s="938">
        <v>6.42</v>
      </c>
      <c r="P115" s="938">
        <v>6.52</v>
      </c>
      <c r="Q115" s="938">
        <v>6.69</v>
      </c>
      <c r="R115" s="938">
        <v>6.74</v>
      </c>
      <c r="S115" s="938">
        <v>6.7</v>
      </c>
      <c r="T115" s="938">
        <v>6.75</v>
      </c>
      <c r="U115" s="938">
        <v>6.91</v>
      </c>
      <c r="V115" s="938">
        <v>7.05</v>
      </c>
      <c r="W115" s="938">
        <v>7.27</v>
      </c>
      <c r="X115" s="938">
        <v>7.51</v>
      </c>
      <c r="Y115" s="938">
        <v>7.73</v>
      </c>
      <c r="Z115" s="938">
        <v>8.02</v>
      </c>
      <c r="AA115" s="938">
        <v>8.14</v>
      </c>
      <c r="AB115" s="938">
        <v>8.17</v>
      </c>
      <c r="AC115" s="938">
        <v>8.35</v>
      </c>
      <c r="AD115" s="938">
        <v>8.4600000000000009</v>
      </c>
      <c r="AE115" s="977">
        <v>-3.0000000000000001E-3</v>
      </c>
      <c r="AF115" s="938"/>
      <c r="AG115" s="938"/>
      <c r="AH115" s="938"/>
      <c r="AI115" s="938"/>
      <c r="AJ115" s="938"/>
      <c r="AK115" s="938"/>
      <c r="AL115" s="938"/>
      <c r="AM115" s="938"/>
      <c r="AN115" s="938"/>
      <c r="AO115" s="938"/>
      <c r="AP115" s="938"/>
      <c r="AQ115" s="938"/>
      <c r="AR115" s="938"/>
      <c r="AS115" s="938"/>
      <c r="AT115" s="938"/>
      <c r="AU115" s="938"/>
      <c r="AV115" s="938"/>
      <c r="AW115" s="938"/>
      <c r="AX115" s="938"/>
      <c r="AY115" s="938"/>
      <c r="AZ115" s="938"/>
      <c r="BA115" s="938"/>
      <c r="BB115" s="938"/>
      <c r="BC115" s="938"/>
      <c r="BD115" s="938"/>
      <c r="BE115" s="938"/>
      <c r="BF115" s="938"/>
      <c r="BG115" s="938"/>
      <c r="BH115" s="938"/>
      <c r="BI115" s="938"/>
      <c r="BJ115" s="938"/>
      <c r="BK115" s="938"/>
      <c r="BL115" s="938"/>
      <c r="BM115" s="938"/>
      <c r="BN115" s="938"/>
      <c r="BO115" s="938"/>
      <c r="BP115" s="938"/>
      <c r="BQ115" s="938"/>
      <c r="BR115" s="938"/>
      <c r="BS115" s="938"/>
      <c r="BT115" s="938"/>
    </row>
    <row r="116" spans="1:72" x14ac:dyDescent="0.25">
      <c r="A116" s="938" t="s">
        <v>624</v>
      </c>
      <c r="B116" s="938">
        <v>1.8</v>
      </c>
      <c r="C116" s="938">
        <v>2.0499999999999998</v>
      </c>
      <c r="D116" s="938">
        <v>2.15</v>
      </c>
      <c r="E116" s="938">
        <v>1.99</v>
      </c>
      <c r="F116" s="938">
        <v>1.98</v>
      </c>
      <c r="G116" s="938">
        <v>1.99</v>
      </c>
      <c r="H116" s="938">
        <v>1.99</v>
      </c>
      <c r="I116" s="938">
        <v>1.99</v>
      </c>
      <c r="J116" s="938">
        <v>2.0099999999999998</v>
      </c>
      <c r="K116" s="938">
        <v>1.99</v>
      </c>
      <c r="L116" s="938">
        <v>2</v>
      </c>
      <c r="M116" s="938">
        <v>1.99</v>
      </c>
      <c r="N116" s="938">
        <v>1.99</v>
      </c>
      <c r="O116" s="938">
        <v>1.98</v>
      </c>
      <c r="P116" s="938">
        <v>1.98</v>
      </c>
      <c r="Q116" s="938">
        <v>1.99</v>
      </c>
      <c r="R116" s="938">
        <v>1.99</v>
      </c>
      <c r="S116" s="938">
        <v>1.99</v>
      </c>
      <c r="T116" s="938">
        <v>1.99</v>
      </c>
      <c r="U116" s="938">
        <v>2</v>
      </c>
      <c r="V116" s="938">
        <v>2</v>
      </c>
      <c r="W116" s="938">
        <v>2.0099999999999998</v>
      </c>
      <c r="X116" s="938">
        <v>2.02</v>
      </c>
      <c r="Y116" s="938">
        <v>2.0299999999999998</v>
      </c>
      <c r="Z116" s="938">
        <v>2.04</v>
      </c>
      <c r="AA116" s="938">
        <v>2.0499999999999998</v>
      </c>
      <c r="AB116" s="938">
        <v>2.06</v>
      </c>
      <c r="AC116" s="938">
        <v>2.0699999999999998</v>
      </c>
      <c r="AD116" s="938">
        <v>2.09</v>
      </c>
      <c r="AE116" s="977">
        <v>1E-3</v>
      </c>
      <c r="AF116" s="938"/>
      <c r="AG116" s="938"/>
      <c r="AH116" s="938"/>
      <c r="AI116" s="938"/>
      <c r="AJ116" s="938"/>
      <c r="AK116" s="938"/>
      <c r="AL116" s="938"/>
      <c r="AM116" s="938"/>
      <c r="AN116" s="938"/>
      <c r="AO116" s="938"/>
      <c r="AP116" s="938"/>
      <c r="AQ116" s="938"/>
      <c r="AR116" s="938"/>
      <c r="AS116" s="938"/>
      <c r="AT116" s="938"/>
      <c r="AU116" s="938"/>
      <c r="AV116" s="938"/>
      <c r="AW116" s="938"/>
      <c r="AX116" s="938"/>
      <c r="AY116" s="938"/>
      <c r="AZ116" s="938"/>
      <c r="BA116" s="938"/>
      <c r="BB116" s="938"/>
      <c r="BC116" s="938"/>
      <c r="BD116" s="938"/>
      <c r="BE116" s="938"/>
      <c r="BF116" s="938"/>
      <c r="BG116" s="938"/>
      <c r="BH116" s="938"/>
      <c r="BI116" s="938"/>
      <c r="BJ116" s="938"/>
      <c r="BK116" s="938"/>
      <c r="BL116" s="938"/>
      <c r="BM116" s="938"/>
      <c r="BN116" s="938"/>
      <c r="BO116" s="938"/>
      <c r="BP116" s="938"/>
      <c r="BQ116" s="938"/>
      <c r="BR116" s="938"/>
      <c r="BS116" s="938"/>
      <c r="BT116" s="938"/>
    </row>
    <row r="117" spans="1:72" x14ac:dyDescent="0.25">
      <c r="A117" s="938"/>
      <c r="B117" s="938"/>
      <c r="C117" s="938"/>
      <c r="D117" s="938"/>
      <c r="E117" s="938"/>
      <c r="F117" s="938"/>
      <c r="G117" s="938"/>
      <c r="H117" s="938"/>
      <c r="I117" s="938"/>
      <c r="J117" s="938"/>
      <c r="K117" s="938"/>
      <c r="L117" s="938"/>
      <c r="M117" s="938"/>
      <c r="N117" s="938"/>
      <c r="O117" s="938"/>
      <c r="P117" s="938"/>
      <c r="Q117" s="938"/>
      <c r="R117" s="938"/>
      <c r="S117" s="938"/>
      <c r="T117" s="938"/>
      <c r="U117" s="938"/>
      <c r="V117" s="938"/>
      <c r="W117" s="938"/>
      <c r="X117" s="938"/>
      <c r="Y117" s="938"/>
      <c r="Z117" s="938"/>
      <c r="AA117" s="938"/>
      <c r="AB117" s="938"/>
      <c r="AC117" s="938"/>
      <c r="AD117" s="938"/>
      <c r="AE117" s="938"/>
      <c r="AF117" s="938"/>
      <c r="AG117" s="938"/>
      <c r="AH117" s="938"/>
      <c r="AI117" s="938"/>
      <c r="AJ117" s="938"/>
      <c r="AK117" s="938"/>
      <c r="AL117" s="938"/>
      <c r="AM117" s="938"/>
      <c r="AN117" s="938"/>
      <c r="AO117" s="938"/>
      <c r="AP117" s="938"/>
      <c r="AQ117" s="938"/>
      <c r="AR117" s="938"/>
      <c r="AS117" s="938"/>
      <c r="AT117" s="938"/>
      <c r="AU117" s="938"/>
      <c r="AV117" s="938"/>
      <c r="AW117" s="938"/>
      <c r="AX117" s="938"/>
      <c r="AY117" s="938"/>
      <c r="AZ117" s="938"/>
      <c r="BA117" s="938"/>
      <c r="BB117" s="938"/>
      <c r="BC117" s="938"/>
      <c r="BD117" s="938"/>
      <c r="BE117" s="938"/>
      <c r="BF117" s="938"/>
      <c r="BG117" s="938"/>
      <c r="BH117" s="938"/>
      <c r="BI117" s="938"/>
      <c r="BJ117" s="938"/>
      <c r="BK117" s="938"/>
      <c r="BL117" s="938"/>
      <c r="BM117" s="938"/>
      <c r="BN117" s="938"/>
      <c r="BO117" s="938"/>
      <c r="BP117" s="938"/>
      <c r="BQ117" s="938"/>
      <c r="BR117" s="938"/>
      <c r="BS117" s="938"/>
      <c r="BT117" s="938"/>
    </row>
    <row r="118" spans="1:72" x14ac:dyDescent="0.25">
      <c r="A118" s="938" t="s">
        <v>625</v>
      </c>
      <c r="B118" s="938"/>
      <c r="C118" s="938"/>
      <c r="D118" s="938"/>
      <c r="E118" s="938"/>
      <c r="F118" s="938"/>
      <c r="G118" s="938"/>
      <c r="H118" s="938"/>
      <c r="I118" s="938"/>
      <c r="J118" s="938"/>
      <c r="K118" s="938"/>
      <c r="L118" s="938"/>
      <c r="M118" s="938"/>
      <c r="N118" s="938"/>
      <c r="O118" s="938"/>
      <c r="P118" s="938"/>
      <c r="Q118" s="938"/>
      <c r="R118" s="938"/>
      <c r="S118" s="938"/>
      <c r="T118" s="938"/>
      <c r="U118" s="938"/>
      <c r="V118" s="938"/>
      <c r="W118" s="938"/>
      <c r="X118" s="938"/>
      <c r="Y118" s="938"/>
      <c r="Z118" s="938"/>
      <c r="AA118" s="938"/>
      <c r="AB118" s="938"/>
      <c r="AC118" s="938"/>
      <c r="AD118" s="938"/>
      <c r="AE118" s="938"/>
      <c r="AF118" s="938"/>
      <c r="AG118" s="938"/>
      <c r="AH118" s="938"/>
      <c r="AI118" s="938"/>
      <c r="AJ118" s="938"/>
      <c r="AK118" s="938"/>
      <c r="AL118" s="938"/>
      <c r="AM118" s="938"/>
      <c r="AN118" s="938"/>
      <c r="AO118" s="938"/>
      <c r="AP118" s="938"/>
      <c r="AQ118" s="938"/>
      <c r="AR118" s="938"/>
      <c r="AS118" s="938"/>
      <c r="AT118" s="938"/>
      <c r="AU118" s="938"/>
      <c r="AV118" s="938"/>
      <c r="AW118" s="938"/>
      <c r="AX118" s="938"/>
      <c r="AY118" s="938"/>
      <c r="AZ118" s="938"/>
      <c r="BA118" s="938"/>
      <c r="BB118" s="938"/>
      <c r="BC118" s="938"/>
      <c r="BD118" s="938"/>
      <c r="BE118" s="938"/>
      <c r="BF118" s="938"/>
      <c r="BG118" s="938"/>
      <c r="BH118" s="938"/>
      <c r="BI118" s="938"/>
      <c r="BJ118" s="938"/>
      <c r="BK118" s="938"/>
      <c r="BL118" s="938"/>
      <c r="BM118" s="938"/>
      <c r="BN118" s="938"/>
      <c r="BO118" s="938"/>
      <c r="BP118" s="938"/>
      <c r="BQ118" s="938"/>
      <c r="BR118" s="938"/>
      <c r="BS118" s="938"/>
      <c r="BT118" s="938"/>
    </row>
    <row r="119" spans="1:72" x14ac:dyDescent="0.25">
      <c r="A119" s="938" t="s">
        <v>609</v>
      </c>
      <c r="B119" s="938">
        <v>18.940000000000001</v>
      </c>
      <c r="C119" s="938">
        <v>20.190000000000001</v>
      </c>
      <c r="D119" s="938">
        <v>18.36</v>
      </c>
      <c r="E119" s="938">
        <v>16.850000000000001</v>
      </c>
      <c r="F119" s="938">
        <v>16.87</v>
      </c>
      <c r="G119" s="938">
        <v>17.87</v>
      </c>
      <c r="H119" s="938">
        <v>18.97</v>
      </c>
      <c r="I119" s="938">
        <v>19.82</v>
      </c>
      <c r="J119" s="938">
        <v>20.3</v>
      </c>
      <c r="K119" s="938">
        <v>20.84</v>
      </c>
      <c r="L119" s="938">
        <v>21.26</v>
      </c>
      <c r="M119" s="938">
        <v>21.71</v>
      </c>
      <c r="N119" s="938">
        <v>21.93</v>
      </c>
      <c r="O119" s="938">
        <v>22.15</v>
      </c>
      <c r="P119" s="938">
        <v>22.36</v>
      </c>
      <c r="Q119" s="938">
        <v>22.56</v>
      </c>
      <c r="R119" s="938">
        <v>22.83</v>
      </c>
      <c r="S119" s="938">
        <v>23.09</v>
      </c>
      <c r="T119" s="938">
        <v>23.34</v>
      </c>
      <c r="U119" s="938">
        <v>23.49</v>
      </c>
      <c r="V119" s="938">
        <v>23.75</v>
      </c>
      <c r="W119" s="938">
        <v>24</v>
      </c>
      <c r="X119" s="938">
        <v>24.34</v>
      </c>
      <c r="Y119" s="938">
        <v>24.55</v>
      </c>
      <c r="Z119" s="938">
        <v>24.91</v>
      </c>
      <c r="AA119" s="938">
        <v>25.25</v>
      </c>
      <c r="AB119" s="938">
        <v>25.63</v>
      </c>
      <c r="AC119" s="938">
        <v>25.99</v>
      </c>
      <c r="AD119" s="938">
        <v>26.37</v>
      </c>
      <c r="AE119" s="977">
        <v>0.01</v>
      </c>
      <c r="AF119" s="938"/>
      <c r="AG119" s="938"/>
      <c r="AH119" s="938"/>
      <c r="AI119" s="938"/>
      <c r="AJ119" s="938"/>
      <c r="AK119" s="938"/>
      <c r="AL119" s="938"/>
      <c r="AM119" s="938"/>
      <c r="AN119" s="938"/>
      <c r="AO119" s="938"/>
      <c r="AP119" s="938"/>
      <c r="AQ119" s="938"/>
      <c r="AR119" s="938"/>
      <c r="AS119" s="938"/>
      <c r="AT119" s="938"/>
      <c r="AU119" s="938"/>
      <c r="AV119" s="938"/>
      <c r="AW119" s="938"/>
      <c r="AX119" s="938"/>
      <c r="AY119" s="938"/>
      <c r="AZ119" s="938"/>
      <c r="BA119" s="938"/>
      <c r="BB119" s="938"/>
      <c r="BC119" s="938"/>
      <c r="BD119" s="938"/>
      <c r="BE119" s="938"/>
      <c r="BF119" s="938"/>
      <c r="BG119" s="938"/>
      <c r="BH119" s="938"/>
      <c r="BI119" s="938"/>
      <c r="BJ119" s="938"/>
      <c r="BK119" s="938"/>
      <c r="BL119" s="938"/>
      <c r="BM119" s="938"/>
      <c r="BN119" s="938"/>
      <c r="BO119" s="938"/>
      <c r="BP119" s="938"/>
      <c r="BQ119" s="938"/>
      <c r="BR119" s="938"/>
      <c r="BS119" s="938"/>
      <c r="BT119" s="938"/>
    </row>
    <row r="120" spans="1:72" x14ac:dyDescent="0.25">
      <c r="A120" s="938" t="s">
        <v>618</v>
      </c>
      <c r="B120" s="938">
        <v>27.43</v>
      </c>
      <c r="C120" s="938">
        <v>26.93</v>
      </c>
      <c r="D120" s="938">
        <v>23.29</v>
      </c>
      <c r="E120" s="938">
        <v>20.64</v>
      </c>
      <c r="F120" s="938">
        <v>20.97</v>
      </c>
      <c r="G120" s="938">
        <v>22.13</v>
      </c>
      <c r="H120" s="938">
        <v>24.21</v>
      </c>
      <c r="I120" s="938">
        <v>25.23</v>
      </c>
      <c r="J120" s="938">
        <v>25.55</v>
      </c>
      <c r="K120" s="938">
        <v>25.08</v>
      </c>
      <c r="L120" s="938">
        <v>25.9</v>
      </c>
      <c r="M120" s="938">
        <v>26.54</v>
      </c>
      <c r="N120" s="938">
        <v>26.68</v>
      </c>
      <c r="O120" s="938">
        <v>26.95</v>
      </c>
      <c r="P120" s="938">
        <v>27.32</v>
      </c>
      <c r="Q120" s="938">
        <v>27.82</v>
      </c>
      <c r="R120" s="938">
        <v>28.31</v>
      </c>
      <c r="S120" s="938">
        <v>28.55</v>
      </c>
      <c r="T120" s="938">
        <v>28.86</v>
      </c>
      <c r="U120" s="938">
        <v>29.22</v>
      </c>
      <c r="V120" s="938">
        <v>29.49</v>
      </c>
      <c r="W120" s="938">
        <v>30.03</v>
      </c>
      <c r="X120" s="938">
        <v>30.44</v>
      </c>
      <c r="Y120" s="938">
        <v>30.64</v>
      </c>
      <c r="Z120" s="938">
        <v>30.86</v>
      </c>
      <c r="AA120" s="938">
        <v>31.29</v>
      </c>
      <c r="AB120" s="938">
        <v>31.49</v>
      </c>
      <c r="AC120" s="938">
        <v>31.77</v>
      </c>
      <c r="AD120" s="938">
        <v>32.229999999999997</v>
      </c>
      <c r="AE120" s="977">
        <v>7.0000000000000001E-3</v>
      </c>
      <c r="AF120" s="938"/>
      <c r="AG120" s="938"/>
      <c r="AH120" s="938"/>
      <c r="AI120" s="938"/>
      <c r="AJ120" s="938"/>
      <c r="AK120" s="938"/>
      <c r="AL120" s="938"/>
      <c r="AM120" s="938"/>
      <c r="AN120" s="938"/>
      <c r="AO120" s="938"/>
      <c r="AP120" s="938"/>
      <c r="AQ120" s="938"/>
      <c r="AR120" s="938"/>
      <c r="AS120" s="938"/>
      <c r="AT120" s="938"/>
      <c r="AU120" s="938"/>
      <c r="AV120" s="938"/>
      <c r="AW120" s="938"/>
      <c r="AX120" s="938"/>
      <c r="AY120" s="938"/>
      <c r="AZ120" s="938"/>
      <c r="BA120" s="938"/>
      <c r="BB120" s="938"/>
      <c r="BC120" s="938"/>
      <c r="BD120" s="938"/>
      <c r="BE120" s="938"/>
      <c r="BF120" s="938"/>
      <c r="BG120" s="938"/>
      <c r="BH120" s="938"/>
      <c r="BI120" s="938"/>
      <c r="BJ120" s="938"/>
      <c r="BK120" s="938"/>
      <c r="BL120" s="938"/>
      <c r="BM120" s="938"/>
      <c r="BN120" s="938"/>
      <c r="BO120" s="938"/>
      <c r="BP120" s="938"/>
      <c r="BQ120" s="938"/>
      <c r="BR120" s="938"/>
      <c r="BS120" s="938"/>
      <c r="BT120" s="938"/>
    </row>
    <row r="121" spans="1:72" x14ac:dyDescent="0.25">
      <c r="A121" s="938" t="s">
        <v>619</v>
      </c>
      <c r="B121" s="938">
        <v>23.55</v>
      </c>
      <c r="C121" s="938">
        <v>26.54</v>
      </c>
      <c r="D121" s="938">
        <v>19.149999999999999</v>
      </c>
      <c r="E121" s="938">
        <v>20.55</v>
      </c>
      <c r="F121" s="938">
        <v>20.88</v>
      </c>
      <c r="G121" s="938">
        <v>22.03</v>
      </c>
      <c r="H121" s="938">
        <v>24.01</v>
      </c>
      <c r="I121" s="938">
        <v>24.94</v>
      </c>
      <c r="J121" s="938">
        <v>25.36</v>
      </c>
      <c r="K121" s="938">
        <v>25.93</v>
      </c>
      <c r="L121" s="938">
        <v>26.46</v>
      </c>
      <c r="M121" s="938">
        <v>26.89</v>
      </c>
      <c r="N121" s="938">
        <v>27.2</v>
      </c>
      <c r="O121" s="938">
        <v>27.59</v>
      </c>
      <c r="P121" s="938">
        <v>27.82</v>
      </c>
      <c r="Q121" s="938">
        <v>28.17</v>
      </c>
      <c r="R121" s="938">
        <v>28.41</v>
      </c>
      <c r="S121" s="938">
        <v>28.54</v>
      </c>
      <c r="T121" s="938">
        <v>28.87</v>
      </c>
      <c r="U121" s="938">
        <v>29.18</v>
      </c>
      <c r="V121" s="938">
        <v>29.47</v>
      </c>
      <c r="W121" s="938">
        <v>29.9</v>
      </c>
      <c r="X121" s="938">
        <v>30.27</v>
      </c>
      <c r="Y121" s="938">
        <v>30.41</v>
      </c>
      <c r="Z121" s="938">
        <v>30.76</v>
      </c>
      <c r="AA121" s="938">
        <v>31.16</v>
      </c>
      <c r="AB121" s="938">
        <v>31.43</v>
      </c>
      <c r="AC121" s="938">
        <v>31.81</v>
      </c>
      <c r="AD121" s="938">
        <v>32.32</v>
      </c>
      <c r="AE121" s="977">
        <v>7.0000000000000001E-3</v>
      </c>
      <c r="AF121" s="938"/>
      <c r="AG121" s="938"/>
      <c r="AH121" s="938"/>
      <c r="AI121" s="938"/>
      <c r="AJ121" s="938"/>
      <c r="AK121" s="938"/>
      <c r="AL121" s="938"/>
      <c r="AM121" s="938"/>
      <c r="AN121" s="938"/>
      <c r="AO121" s="938"/>
      <c r="AP121" s="938"/>
      <c r="AQ121" s="938"/>
      <c r="AR121" s="938"/>
      <c r="AS121" s="938"/>
      <c r="AT121" s="938"/>
      <c r="AU121" s="938"/>
      <c r="AV121" s="938"/>
      <c r="AW121" s="938"/>
      <c r="AX121" s="938"/>
      <c r="AY121" s="938"/>
      <c r="AZ121" s="938"/>
      <c r="BA121" s="938"/>
      <c r="BB121" s="938"/>
      <c r="BC121" s="938"/>
      <c r="BD121" s="938"/>
      <c r="BE121" s="938"/>
      <c r="BF121" s="938"/>
      <c r="BG121" s="938"/>
      <c r="BH121" s="938"/>
      <c r="BI121" s="938"/>
      <c r="BJ121" s="938"/>
      <c r="BK121" s="938"/>
      <c r="BL121" s="938"/>
      <c r="BM121" s="938"/>
      <c r="BN121" s="938"/>
      <c r="BO121" s="938"/>
      <c r="BP121" s="938"/>
      <c r="BQ121" s="938"/>
      <c r="BR121" s="938"/>
      <c r="BS121" s="938"/>
      <c r="BT121" s="938"/>
    </row>
    <row r="122" spans="1:72" x14ac:dyDescent="0.25">
      <c r="A122" s="938" t="s">
        <v>626</v>
      </c>
      <c r="B122" s="938">
        <v>15.77</v>
      </c>
      <c r="C122" s="938">
        <v>22.71</v>
      </c>
      <c r="D122" s="938">
        <v>12.73</v>
      </c>
      <c r="E122" s="938">
        <v>14.79</v>
      </c>
      <c r="F122" s="938">
        <v>15.16</v>
      </c>
      <c r="G122" s="938">
        <v>16.54</v>
      </c>
      <c r="H122" s="938">
        <v>17.690000000000001</v>
      </c>
      <c r="I122" s="938">
        <v>18.46</v>
      </c>
      <c r="J122" s="938">
        <v>19.04</v>
      </c>
      <c r="K122" s="938">
        <v>19.760000000000002</v>
      </c>
      <c r="L122" s="938">
        <v>20.41</v>
      </c>
      <c r="M122" s="938">
        <v>20.97</v>
      </c>
      <c r="N122" s="938">
        <v>21.35</v>
      </c>
      <c r="O122" s="938">
        <v>21.69</v>
      </c>
      <c r="P122" s="938">
        <v>21.85</v>
      </c>
      <c r="Q122" s="938">
        <v>22.09</v>
      </c>
      <c r="R122" s="938">
        <v>22.41</v>
      </c>
      <c r="S122" s="938">
        <v>22.61</v>
      </c>
      <c r="T122" s="938">
        <v>22.92</v>
      </c>
      <c r="U122" s="938">
        <v>23.19</v>
      </c>
      <c r="V122" s="938">
        <v>23.48</v>
      </c>
      <c r="W122" s="938">
        <v>23.9</v>
      </c>
      <c r="X122" s="938">
        <v>24.26</v>
      </c>
      <c r="Y122" s="938">
        <v>24.51</v>
      </c>
      <c r="Z122" s="938">
        <v>24.9</v>
      </c>
      <c r="AA122" s="938">
        <v>25.3</v>
      </c>
      <c r="AB122" s="938">
        <v>25.64</v>
      </c>
      <c r="AC122" s="938">
        <v>26.05</v>
      </c>
      <c r="AD122" s="938">
        <v>26.48</v>
      </c>
      <c r="AE122" s="977">
        <v>6.0000000000000001E-3</v>
      </c>
      <c r="AF122" s="938"/>
      <c r="AG122" s="938"/>
      <c r="AH122" s="938"/>
      <c r="AI122" s="938"/>
      <c r="AJ122" s="938"/>
      <c r="AK122" s="938"/>
      <c r="AL122" s="938"/>
      <c r="AM122" s="938"/>
      <c r="AN122" s="938"/>
      <c r="AO122" s="938"/>
      <c r="AP122" s="938"/>
      <c r="AQ122" s="938"/>
      <c r="AR122" s="938"/>
      <c r="AS122" s="938"/>
      <c r="AT122" s="938"/>
      <c r="AU122" s="938"/>
      <c r="AV122" s="938"/>
      <c r="AW122" s="938"/>
      <c r="AX122" s="938"/>
      <c r="AY122" s="938"/>
      <c r="AZ122" s="938"/>
      <c r="BA122" s="938"/>
      <c r="BB122" s="938"/>
      <c r="BC122" s="938"/>
      <c r="BD122" s="938"/>
      <c r="BE122" s="938"/>
      <c r="BF122" s="938"/>
      <c r="BG122" s="938"/>
      <c r="BH122" s="938"/>
      <c r="BI122" s="938"/>
      <c r="BJ122" s="938"/>
      <c r="BK122" s="938"/>
      <c r="BL122" s="938"/>
      <c r="BM122" s="938"/>
      <c r="BN122" s="938"/>
      <c r="BO122" s="938"/>
      <c r="BP122" s="938"/>
      <c r="BQ122" s="938"/>
      <c r="BR122" s="938"/>
      <c r="BS122" s="938"/>
      <c r="BT122" s="938"/>
    </row>
    <row r="123" spans="1:72" x14ac:dyDescent="0.25">
      <c r="A123" s="938" t="s">
        <v>610</v>
      </c>
      <c r="B123" s="938">
        <v>20.71</v>
      </c>
      <c r="C123" s="938">
        <v>26.27</v>
      </c>
      <c r="D123" s="938">
        <v>17.46</v>
      </c>
      <c r="E123" s="938">
        <v>17.73</v>
      </c>
      <c r="F123" s="938">
        <v>18.149999999999999</v>
      </c>
      <c r="G123" s="938">
        <v>19.45</v>
      </c>
      <c r="H123" s="938">
        <v>20.62</v>
      </c>
      <c r="I123" s="938">
        <v>21.35</v>
      </c>
      <c r="J123" s="938">
        <v>22.03</v>
      </c>
      <c r="K123" s="938">
        <v>22.8</v>
      </c>
      <c r="L123" s="938">
        <v>23.45</v>
      </c>
      <c r="M123" s="938">
        <v>24.07</v>
      </c>
      <c r="N123" s="938">
        <v>24.47</v>
      </c>
      <c r="O123" s="938">
        <v>24.79</v>
      </c>
      <c r="P123" s="938">
        <v>24.99</v>
      </c>
      <c r="Q123" s="938">
        <v>25.32</v>
      </c>
      <c r="R123" s="938">
        <v>25.5</v>
      </c>
      <c r="S123" s="938">
        <v>25.59</v>
      </c>
      <c r="T123" s="938">
        <v>25.89</v>
      </c>
      <c r="U123" s="938">
        <v>26.12</v>
      </c>
      <c r="V123" s="938">
        <v>26.38</v>
      </c>
      <c r="W123" s="938">
        <v>26.71</v>
      </c>
      <c r="X123" s="938">
        <v>27.11</v>
      </c>
      <c r="Y123" s="938">
        <v>27.29</v>
      </c>
      <c r="Z123" s="938">
        <v>27.73</v>
      </c>
      <c r="AA123" s="938">
        <v>28.13</v>
      </c>
      <c r="AB123" s="938">
        <v>28.46</v>
      </c>
      <c r="AC123" s="938">
        <v>28.87</v>
      </c>
      <c r="AD123" s="938">
        <v>29.34</v>
      </c>
      <c r="AE123" s="977">
        <v>4.0000000000000001E-3</v>
      </c>
      <c r="AF123" s="938"/>
      <c r="AG123" s="938"/>
      <c r="AH123" s="938"/>
      <c r="AI123" s="938"/>
      <c r="AJ123" s="938"/>
      <c r="AK123" s="938"/>
      <c r="AL123" s="938"/>
      <c r="AM123" s="938"/>
      <c r="AN123" s="938"/>
      <c r="AO123" s="938"/>
      <c r="AP123" s="938"/>
      <c r="AQ123" s="938"/>
      <c r="AR123" s="938"/>
      <c r="AS123" s="938"/>
      <c r="AT123" s="938"/>
      <c r="AU123" s="938"/>
      <c r="AV123" s="938"/>
      <c r="AW123" s="938"/>
      <c r="AX123" s="938"/>
      <c r="AY123" s="938"/>
      <c r="AZ123" s="938"/>
      <c r="BA123" s="938"/>
      <c r="BB123" s="938"/>
      <c r="BC123" s="938"/>
      <c r="BD123" s="938"/>
      <c r="BE123" s="938"/>
      <c r="BF123" s="938"/>
      <c r="BG123" s="938"/>
      <c r="BH123" s="938"/>
      <c r="BI123" s="938"/>
      <c r="BJ123" s="938"/>
      <c r="BK123" s="938"/>
      <c r="BL123" s="938"/>
      <c r="BM123" s="938"/>
      <c r="BN123" s="938"/>
      <c r="BO123" s="938"/>
      <c r="BP123" s="938"/>
      <c r="BQ123" s="938"/>
      <c r="BR123" s="938"/>
      <c r="BS123" s="938"/>
      <c r="BT123" s="938"/>
    </row>
    <row r="124" spans="1:72" x14ac:dyDescent="0.25">
      <c r="A124" s="938" t="s">
        <v>611</v>
      </c>
      <c r="B124" s="938">
        <v>9.07</v>
      </c>
      <c r="C124" s="938">
        <v>14.77</v>
      </c>
      <c r="D124" s="938">
        <v>8.9600000000000009</v>
      </c>
      <c r="E124" s="938">
        <v>10.9</v>
      </c>
      <c r="F124" s="938">
        <v>11.01</v>
      </c>
      <c r="G124" s="938">
        <v>12.17</v>
      </c>
      <c r="H124" s="938">
        <v>13.13</v>
      </c>
      <c r="I124" s="938">
        <v>13.86</v>
      </c>
      <c r="J124" s="938">
        <v>14.26</v>
      </c>
      <c r="K124" s="938">
        <v>14.63</v>
      </c>
      <c r="L124" s="938">
        <v>15.14</v>
      </c>
      <c r="M124" s="938">
        <v>15.55</v>
      </c>
      <c r="N124" s="938">
        <v>15.76</v>
      </c>
      <c r="O124" s="938">
        <v>15.81</v>
      </c>
      <c r="P124" s="938">
        <v>16.05</v>
      </c>
      <c r="Q124" s="938">
        <v>16.190000000000001</v>
      </c>
      <c r="R124" s="938">
        <v>16.399999999999999</v>
      </c>
      <c r="S124" s="938">
        <v>16.600000000000001</v>
      </c>
      <c r="T124" s="938">
        <v>16.8</v>
      </c>
      <c r="U124" s="938">
        <v>16.850000000000001</v>
      </c>
      <c r="V124" s="938">
        <v>17.13</v>
      </c>
      <c r="W124" s="938">
        <v>17.37</v>
      </c>
      <c r="X124" s="938">
        <v>17.66</v>
      </c>
      <c r="Y124" s="938">
        <v>17.96</v>
      </c>
      <c r="Z124" s="938">
        <v>18.3</v>
      </c>
      <c r="AA124" s="938">
        <v>18.559999999999999</v>
      </c>
      <c r="AB124" s="938">
        <v>18.79</v>
      </c>
      <c r="AC124" s="938">
        <v>19.12</v>
      </c>
      <c r="AD124" s="938">
        <v>19.46</v>
      </c>
      <c r="AE124" s="977">
        <v>0.01</v>
      </c>
      <c r="AF124" s="938"/>
      <c r="AG124" s="938"/>
      <c r="AH124" s="938"/>
      <c r="AI124" s="938"/>
      <c r="AJ124" s="938"/>
      <c r="AK124" s="938"/>
      <c r="AL124" s="938"/>
      <c r="AM124" s="938"/>
      <c r="AN124" s="938"/>
      <c r="AO124" s="938"/>
      <c r="AP124" s="938"/>
      <c r="AQ124" s="938"/>
      <c r="AR124" s="938"/>
      <c r="AS124" s="938"/>
      <c r="AT124" s="938"/>
      <c r="AU124" s="938"/>
      <c r="AV124" s="938"/>
      <c r="AW124" s="938"/>
      <c r="AX124" s="938"/>
      <c r="AY124" s="938"/>
      <c r="AZ124" s="938"/>
      <c r="BA124" s="938"/>
      <c r="BB124" s="938"/>
      <c r="BC124" s="938"/>
      <c r="BD124" s="938"/>
      <c r="BE124" s="938"/>
      <c r="BF124" s="938"/>
      <c r="BG124" s="938"/>
      <c r="BH124" s="938"/>
      <c r="BI124" s="938"/>
      <c r="BJ124" s="938"/>
      <c r="BK124" s="938"/>
      <c r="BL124" s="938"/>
      <c r="BM124" s="938"/>
      <c r="BN124" s="938"/>
      <c r="BO124" s="938"/>
      <c r="BP124" s="938"/>
      <c r="BQ124" s="938"/>
      <c r="BR124" s="938"/>
      <c r="BS124" s="938"/>
      <c r="BT124" s="938"/>
    </row>
    <row r="125" spans="1:72" x14ac:dyDescent="0.25">
      <c r="A125" s="938" t="s">
        <v>510</v>
      </c>
      <c r="B125" s="938">
        <v>9.19</v>
      </c>
      <c r="C125" s="938">
        <v>10.53</v>
      </c>
      <c r="D125" s="938">
        <v>6.57</v>
      </c>
      <c r="E125" s="938">
        <v>6.87</v>
      </c>
      <c r="F125" s="938">
        <v>7.87</v>
      </c>
      <c r="G125" s="938">
        <v>8.1999999999999993</v>
      </c>
      <c r="H125" s="938">
        <v>8.0500000000000007</v>
      </c>
      <c r="I125" s="938">
        <v>8.02</v>
      </c>
      <c r="J125" s="938">
        <v>8.14</v>
      </c>
      <c r="K125" s="938">
        <v>8.2200000000000006</v>
      </c>
      <c r="L125" s="938">
        <v>8.2200000000000006</v>
      </c>
      <c r="M125" s="938">
        <v>8.27</v>
      </c>
      <c r="N125" s="938">
        <v>8.33</v>
      </c>
      <c r="O125" s="938">
        <v>8.44</v>
      </c>
      <c r="P125" s="938">
        <v>8.5500000000000007</v>
      </c>
      <c r="Q125" s="938">
        <v>8.73</v>
      </c>
      <c r="R125" s="938">
        <v>8.77</v>
      </c>
      <c r="S125" s="938">
        <v>8.68</v>
      </c>
      <c r="T125" s="938">
        <v>8.75</v>
      </c>
      <c r="U125" s="938">
        <v>8.89</v>
      </c>
      <c r="V125" s="938">
        <v>9.0399999999999991</v>
      </c>
      <c r="W125" s="938">
        <v>9.26</v>
      </c>
      <c r="X125" s="938">
        <v>9.49</v>
      </c>
      <c r="Y125" s="938">
        <v>9.74</v>
      </c>
      <c r="Z125" s="938">
        <v>10.050000000000001</v>
      </c>
      <c r="AA125" s="938">
        <v>10.17</v>
      </c>
      <c r="AB125" s="938">
        <v>10.210000000000001</v>
      </c>
      <c r="AC125" s="938">
        <v>10.4</v>
      </c>
      <c r="AD125" s="938">
        <v>10.54</v>
      </c>
      <c r="AE125" s="977">
        <v>0</v>
      </c>
      <c r="AF125" s="938"/>
      <c r="AG125" s="938"/>
      <c r="AH125" s="938"/>
      <c r="AI125" s="938"/>
      <c r="AJ125" s="938"/>
      <c r="AK125" s="938"/>
      <c r="AL125" s="938"/>
      <c r="AM125" s="938"/>
      <c r="AN125" s="938"/>
      <c r="AO125" s="938"/>
      <c r="AP125" s="938"/>
      <c r="AQ125" s="938"/>
      <c r="AR125" s="938"/>
      <c r="AS125" s="938"/>
      <c r="AT125" s="938"/>
      <c r="AU125" s="938"/>
      <c r="AV125" s="938"/>
      <c r="AW125" s="938"/>
      <c r="AX125" s="938"/>
      <c r="AY125" s="938"/>
      <c r="AZ125" s="938"/>
      <c r="BA125" s="938"/>
      <c r="BB125" s="938"/>
      <c r="BC125" s="938"/>
      <c r="BD125" s="938"/>
      <c r="BE125" s="938"/>
      <c r="BF125" s="938"/>
      <c r="BG125" s="938"/>
      <c r="BH125" s="938"/>
      <c r="BI125" s="938"/>
      <c r="BJ125" s="938"/>
      <c r="BK125" s="938"/>
      <c r="BL125" s="938"/>
      <c r="BM125" s="938"/>
      <c r="BN125" s="938"/>
      <c r="BO125" s="938"/>
      <c r="BP125" s="938"/>
      <c r="BQ125" s="938"/>
      <c r="BR125" s="938"/>
      <c r="BS125" s="938"/>
      <c r="BT125" s="938"/>
    </row>
    <row r="126" spans="1:72" x14ac:dyDescent="0.25">
      <c r="A126" s="938" t="s">
        <v>614</v>
      </c>
      <c r="B126" s="938">
        <v>3.69</v>
      </c>
      <c r="C126" s="938">
        <v>4.49</v>
      </c>
      <c r="D126" s="938">
        <v>4.72</v>
      </c>
      <c r="E126" s="938">
        <v>4.8</v>
      </c>
      <c r="F126" s="938">
        <v>4.8600000000000003</v>
      </c>
      <c r="G126" s="938">
        <v>5.0199999999999996</v>
      </c>
      <c r="H126" s="938">
        <v>5.05</v>
      </c>
      <c r="I126" s="938">
        <v>5.08</v>
      </c>
      <c r="J126" s="938">
        <v>5.08</v>
      </c>
      <c r="K126" s="938">
        <v>5.09</v>
      </c>
      <c r="L126" s="938">
        <v>5.16</v>
      </c>
      <c r="M126" s="938">
        <v>5.22</v>
      </c>
      <c r="N126" s="938">
        <v>5.29</v>
      </c>
      <c r="O126" s="938">
        <v>5.32</v>
      </c>
      <c r="P126" s="938">
        <v>5.35</v>
      </c>
      <c r="Q126" s="938">
        <v>5.36</v>
      </c>
      <c r="R126" s="938">
        <v>5.35</v>
      </c>
      <c r="S126" s="938">
        <v>5.32</v>
      </c>
      <c r="T126" s="938">
        <v>5.24</v>
      </c>
      <c r="U126" s="938">
        <v>5.16</v>
      </c>
      <c r="V126" s="938">
        <v>5.14</v>
      </c>
      <c r="W126" s="938">
        <v>5.14</v>
      </c>
      <c r="X126" s="938">
        <v>5.1100000000000003</v>
      </c>
      <c r="Y126" s="938">
        <v>5.1100000000000003</v>
      </c>
      <c r="Z126" s="938">
        <v>5.09</v>
      </c>
      <c r="AA126" s="938">
        <v>5.08</v>
      </c>
      <c r="AB126" s="938">
        <v>5.08</v>
      </c>
      <c r="AC126" s="938">
        <v>5.0599999999999996</v>
      </c>
      <c r="AD126" s="938">
        <v>5.0599999999999996</v>
      </c>
      <c r="AE126" s="977">
        <v>4.0000000000000001E-3</v>
      </c>
      <c r="AF126" s="938"/>
      <c r="AG126" s="938"/>
      <c r="AH126" s="938"/>
      <c r="AI126" s="938"/>
      <c r="AJ126" s="938"/>
      <c r="AK126" s="938"/>
      <c r="AL126" s="938"/>
      <c r="AM126" s="938"/>
      <c r="AN126" s="938"/>
      <c r="AO126" s="938"/>
      <c r="AP126" s="938"/>
      <c r="AQ126" s="938"/>
      <c r="AR126" s="938"/>
      <c r="AS126" s="938"/>
      <c r="AT126" s="938"/>
      <c r="AU126" s="938"/>
      <c r="AV126" s="938"/>
      <c r="AW126" s="938"/>
      <c r="AX126" s="938"/>
      <c r="AY126" s="938"/>
      <c r="AZ126" s="938"/>
      <c r="BA126" s="938"/>
      <c r="BB126" s="938"/>
      <c r="BC126" s="938"/>
      <c r="BD126" s="938"/>
      <c r="BE126" s="938"/>
      <c r="BF126" s="938"/>
      <c r="BG126" s="938"/>
      <c r="BH126" s="938"/>
      <c r="BI126" s="938"/>
      <c r="BJ126" s="938"/>
      <c r="BK126" s="938"/>
      <c r="BL126" s="938"/>
      <c r="BM126" s="938"/>
      <c r="BN126" s="938"/>
      <c r="BO126" s="938"/>
      <c r="BP126" s="938"/>
      <c r="BQ126" s="938"/>
      <c r="BR126" s="938"/>
      <c r="BS126" s="938"/>
      <c r="BT126" s="938"/>
    </row>
    <row r="127" spans="1:72" x14ac:dyDescent="0.25">
      <c r="A127" s="938" t="s">
        <v>627</v>
      </c>
      <c r="B127" s="938">
        <v>1.84</v>
      </c>
      <c r="C127" s="938">
        <v>2.1</v>
      </c>
      <c r="D127" s="938">
        <v>2.19</v>
      </c>
      <c r="E127" s="938">
        <v>2.0299999999999998</v>
      </c>
      <c r="F127" s="938">
        <v>2.02</v>
      </c>
      <c r="G127" s="938">
        <v>2.0299999999999998</v>
      </c>
      <c r="H127" s="938">
        <v>2.0299999999999998</v>
      </c>
      <c r="I127" s="938">
        <v>2.0299999999999998</v>
      </c>
      <c r="J127" s="938">
        <v>2.0499999999999998</v>
      </c>
      <c r="K127" s="938">
        <v>2.0299999999999998</v>
      </c>
      <c r="L127" s="938">
        <v>2.04</v>
      </c>
      <c r="M127" s="938">
        <v>2.0299999999999998</v>
      </c>
      <c r="N127" s="938">
        <v>2.02</v>
      </c>
      <c r="O127" s="938">
        <v>2.02</v>
      </c>
      <c r="P127" s="938">
        <v>2.02</v>
      </c>
      <c r="Q127" s="938">
        <v>2.0299999999999998</v>
      </c>
      <c r="R127" s="938">
        <v>2.02</v>
      </c>
      <c r="S127" s="938">
        <v>2.02</v>
      </c>
      <c r="T127" s="938">
        <v>2.02</v>
      </c>
      <c r="U127" s="938">
        <v>2.0299999999999998</v>
      </c>
      <c r="V127" s="938">
        <v>2.0299999999999998</v>
      </c>
      <c r="W127" s="938">
        <v>2.04</v>
      </c>
      <c r="X127" s="938">
        <v>2.0499999999999998</v>
      </c>
      <c r="Y127" s="938">
        <v>2.06</v>
      </c>
      <c r="Z127" s="938">
        <v>2.0699999999999998</v>
      </c>
      <c r="AA127" s="938">
        <v>2.08</v>
      </c>
      <c r="AB127" s="938">
        <v>2.09</v>
      </c>
      <c r="AC127" s="938">
        <v>2.1</v>
      </c>
      <c r="AD127" s="938">
        <v>2.12</v>
      </c>
      <c r="AE127" s="977">
        <v>0</v>
      </c>
      <c r="AF127" s="938"/>
      <c r="AG127" s="938"/>
      <c r="AH127" s="938"/>
      <c r="AI127" s="938"/>
      <c r="AJ127" s="938"/>
      <c r="AK127" s="938"/>
      <c r="AL127" s="938"/>
      <c r="AM127" s="938"/>
      <c r="AN127" s="938"/>
      <c r="AO127" s="938"/>
      <c r="AP127" s="938"/>
      <c r="AQ127" s="938"/>
      <c r="AR127" s="938"/>
      <c r="AS127" s="938"/>
      <c r="AT127" s="938"/>
      <c r="AU127" s="938"/>
      <c r="AV127" s="938"/>
      <c r="AW127" s="938"/>
      <c r="AX127" s="938"/>
      <c r="AY127" s="938"/>
      <c r="AZ127" s="938"/>
      <c r="BA127" s="938"/>
      <c r="BB127" s="938"/>
      <c r="BC127" s="938"/>
      <c r="BD127" s="938"/>
      <c r="BE127" s="938"/>
      <c r="BF127" s="938"/>
      <c r="BG127" s="938"/>
      <c r="BH127" s="938"/>
      <c r="BI127" s="938"/>
      <c r="BJ127" s="938"/>
      <c r="BK127" s="938"/>
      <c r="BL127" s="938"/>
      <c r="BM127" s="938"/>
      <c r="BN127" s="938"/>
      <c r="BO127" s="938"/>
      <c r="BP127" s="938"/>
      <c r="BQ127" s="938"/>
      <c r="BR127" s="938"/>
      <c r="BS127" s="938"/>
      <c r="BT127" s="938"/>
    </row>
    <row r="128" spans="1:72" x14ac:dyDescent="0.25">
      <c r="A128" s="938" t="s">
        <v>616</v>
      </c>
      <c r="B128" s="938" t="s">
        <v>788</v>
      </c>
      <c r="C128" s="938" t="s">
        <v>788</v>
      </c>
      <c r="D128" s="938" t="s">
        <v>788</v>
      </c>
      <c r="E128" s="938" t="s">
        <v>788</v>
      </c>
      <c r="F128" s="938">
        <v>1.26</v>
      </c>
      <c r="G128" s="938">
        <v>1.04</v>
      </c>
      <c r="H128" s="938">
        <v>1.04</v>
      </c>
      <c r="I128" s="938">
        <v>1.41</v>
      </c>
      <c r="J128" s="938">
        <v>1.42</v>
      </c>
      <c r="K128" s="938">
        <v>1.46</v>
      </c>
      <c r="L128" s="938">
        <v>1.48</v>
      </c>
      <c r="M128" s="938">
        <v>1.48</v>
      </c>
      <c r="N128" s="938">
        <v>1.47</v>
      </c>
      <c r="O128" s="938">
        <v>1.46</v>
      </c>
      <c r="P128" s="938">
        <v>1.49</v>
      </c>
      <c r="Q128" s="938">
        <v>1.5</v>
      </c>
      <c r="R128" s="938">
        <v>1.52</v>
      </c>
      <c r="S128" s="938">
        <v>1.49</v>
      </c>
      <c r="T128" s="938">
        <v>1.49</v>
      </c>
      <c r="U128" s="938">
        <v>1.47</v>
      </c>
      <c r="V128" s="938">
        <v>1.46</v>
      </c>
      <c r="W128" s="938">
        <v>1.45</v>
      </c>
      <c r="X128" s="938">
        <v>1.44</v>
      </c>
      <c r="Y128" s="938">
        <v>1.44</v>
      </c>
      <c r="Z128" s="938">
        <v>1.44</v>
      </c>
      <c r="AA128" s="938">
        <v>1.44</v>
      </c>
      <c r="AB128" s="938">
        <v>1.46</v>
      </c>
      <c r="AC128" s="938">
        <v>1.48</v>
      </c>
      <c r="AD128" s="938">
        <v>1.51</v>
      </c>
      <c r="AE128" s="938" t="s">
        <v>788</v>
      </c>
      <c r="AF128" s="938"/>
      <c r="AG128" s="938"/>
      <c r="AH128" s="938"/>
      <c r="AI128" s="938"/>
      <c r="AJ128" s="938"/>
      <c r="AK128" s="938"/>
      <c r="AL128" s="938"/>
      <c r="AM128" s="938"/>
      <c r="AN128" s="938"/>
      <c r="AO128" s="938"/>
      <c r="AP128" s="938"/>
      <c r="AQ128" s="938"/>
      <c r="AR128" s="938"/>
      <c r="AS128" s="938"/>
      <c r="AT128" s="938"/>
      <c r="AU128" s="938"/>
      <c r="AV128" s="938"/>
      <c r="AW128" s="938"/>
      <c r="AX128" s="938"/>
      <c r="AY128" s="938"/>
      <c r="AZ128" s="938"/>
      <c r="BA128" s="938"/>
      <c r="BB128" s="938"/>
      <c r="BC128" s="938"/>
      <c r="BD128" s="938"/>
      <c r="BE128" s="938"/>
      <c r="BF128" s="938"/>
      <c r="BG128" s="938"/>
      <c r="BH128" s="938"/>
      <c r="BI128" s="938"/>
      <c r="BJ128" s="938"/>
      <c r="BK128" s="938"/>
      <c r="BL128" s="938"/>
      <c r="BM128" s="938"/>
      <c r="BN128" s="938"/>
      <c r="BO128" s="938"/>
      <c r="BP128" s="938"/>
      <c r="BQ128" s="938"/>
      <c r="BR128" s="938"/>
      <c r="BS128" s="938"/>
      <c r="BT128" s="938"/>
    </row>
    <row r="129" spans="1:72" x14ac:dyDescent="0.25">
      <c r="A129" s="938" t="s">
        <v>479</v>
      </c>
      <c r="B129" s="938">
        <v>27.25</v>
      </c>
      <c r="C129" s="938">
        <v>28.81</v>
      </c>
      <c r="D129" s="938">
        <v>28.07</v>
      </c>
      <c r="E129" s="938">
        <v>26.77</v>
      </c>
      <c r="F129" s="938">
        <v>25.2</v>
      </c>
      <c r="G129" s="938">
        <v>26.1</v>
      </c>
      <c r="H129" s="938">
        <v>26.17</v>
      </c>
      <c r="I129" s="938">
        <v>25.97</v>
      </c>
      <c r="J129" s="938">
        <v>25.95</v>
      </c>
      <c r="K129" s="938">
        <v>26.2</v>
      </c>
      <c r="L129" s="938">
        <v>26.36</v>
      </c>
      <c r="M129" s="938">
        <v>26.37</v>
      </c>
      <c r="N129" s="938">
        <v>26.31</v>
      </c>
      <c r="O129" s="938">
        <v>26.51</v>
      </c>
      <c r="P129" s="938">
        <v>26.7</v>
      </c>
      <c r="Q129" s="938">
        <v>26.84</v>
      </c>
      <c r="R129" s="938">
        <v>27.04</v>
      </c>
      <c r="S129" s="938">
        <v>27.19</v>
      </c>
      <c r="T129" s="938">
        <v>27.17</v>
      </c>
      <c r="U129" s="938">
        <v>27.33</v>
      </c>
      <c r="V129" s="938">
        <v>27.53</v>
      </c>
      <c r="W129" s="938">
        <v>27.74</v>
      </c>
      <c r="X129" s="938">
        <v>28.16</v>
      </c>
      <c r="Y129" s="938">
        <v>28.49</v>
      </c>
      <c r="Z129" s="938">
        <v>28.86</v>
      </c>
      <c r="AA129" s="938">
        <v>29.21</v>
      </c>
      <c r="AB129" s="938">
        <v>29.38</v>
      </c>
      <c r="AC129" s="938">
        <v>29.64</v>
      </c>
      <c r="AD129" s="938">
        <v>29.87</v>
      </c>
      <c r="AE129" s="977">
        <v>1E-3</v>
      </c>
      <c r="AF129" s="938"/>
      <c r="AG129" s="938"/>
      <c r="AH129" s="938"/>
      <c r="AI129" s="938"/>
      <c r="AJ129" s="938"/>
      <c r="AK129" s="938"/>
      <c r="AL129" s="938"/>
      <c r="AM129" s="938"/>
      <c r="AN129" s="938"/>
      <c r="AO129" s="938"/>
      <c r="AP129" s="938"/>
      <c r="AQ129" s="938"/>
      <c r="AR129" s="938"/>
      <c r="AS129" s="938"/>
      <c r="AT129" s="938"/>
      <c r="AU129" s="938"/>
      <c r="AV129" s="938"/>
      <c r="AW129" s="938"/>
      <c r="AX129" s="938"/>
      <c r="AY129" s="938"/>
      <c r="AZ129" s="938"/>
      <c r="BA129" s="938"/>
      <c r="BB129" s="938"/>
      <c r="BC129" s="938"/>
      <c r="BD129" s="938"/>
      <c r="BE129" s="938"/>
      <c r="BF129" s="938"/>
      <c r="BG129" s="938"/>
      <c r="BH129" s="938"/>
      <c r="BI129" s="938"/>
      <c r="BJ129" s="938"/>
      <c r="BK129" s="938"/>
      <c r="BL129" s="938"/>
      <c r="BM129" s="938"/>
      <c r="BN129" s="938"/>
      <c r="BO129" s="938"/>
      <c r="BP129" s="938"/>
      <c r="BQ129" s="938"/>
      <c r="BR129" s="938"/>
      <c r="BS129" s="938"/>
      <c r="BT129" s="938"/>
    </row>
    <row r="130" spans="1:72" x14ac:dyDescent="0.25">
      <c r="A130" s="938"/>
      <c r="B130" s="938"/>
      <c r="C130" s="938"/>
      <c r="D130" s="938"/>
      <c r="E130" s="938"/>
      <c r="F130" s="938"/>
      <c r="G130" s="938"/>
      <c r="H130" s="938"/>
      <c r="I130" s="938"/>
      <c r="J130" s="938"/>
      <c r="K130" s="938"/>
      <c r="L130" s="938"/>
      <c r="M130" s="938"/>
      <c r="N130" s="938"/>
      <c r="O130" s="938"/>
      <c r="P130" s="938"/>
      <c r="Q130" s="938"/>
      <c r="R130" s="938"/>
      <c r="S130" s="938"/>
      <c r="T130" s="938"/>
      <c r="U130" s="938"/>
      <c r="V130" s="938"/>
      <c r="W130" s="938"/>
      <c r="X130" s="938"/>
      <c r="Y130" s="938"/>
      <c r="Z130" s="938"/>
      <c r="AA130" s="938"/>
      <c r="AB130" s="938"/>
      <c r="AC130" s="938"/>
      <c r="AD130" s="938"/>
      <c r="AE130" s="938"/>
      <c r="AF130" s="938"/>
      <c r="AG130" s="938"/>
      <c r="AH130" s="938"/>
      <c r="AI130" s="938"/>
      <c r="AJ130" s="938"/>
      <c r="AK130" s="938"/>
      <c r="AL130" s="938"/>
      <c r="AM130" s="938"/>
      <c r="AN130" s="938"/>
      <c r="AO130" s="938"/>
      <c r="AP130" s="938"/>
      <c r="AQ130" s="938"/>
      <c r="AR130" s="938"/>
      <c r="AS130" s="938"/>
      <c r="AT130" s="938"/>
      <c r="AU130" s="938"/>
      <c r="AV130" s="938"/>
      <c r="AW130" s="938"/>
      <c r="AX130" s="938"/>
      <c r="AY130" s="938"/>
      <c r="AZ130" s="938"/>
      <c r="BA130" s="938"/>
      <c r="BB130" s="938"/>
      <c r="BC130" s="938"/>
      <c r="BD130" s="938"/>
      <c r="BE130" s="938"/>
      <c r="BF130" s="938"/>
      <c r="BG130" s="938"/>
      <c r="BH130" s="938"/>
      <c r="BI130" s="938"/>
      <c r="BJ130" s="938"/>
      <c r="BK130" s="938"/>
      <c r="BL130" s="938"/>
      <c r="BM130" s="938"/>
      <c r="BN130" s="938"/>
      <c r="BO130" s="938"/>
      <c r="BP130" s="938"/>
      <c r="BQ130" s="938"/>
      <c r="BR130" s="938"/>
      <c r="BS130" s="938"/>
      <c r="BT130" s="938"/>
    </row>
    <row r="131" spans="1:72" x14ac:dyDescent="0.25">
      <c r="A131" s="938" t="s">
        <v>513</v>
      </c>
      <c r="B131" s="938"/>
      <c r="C131" s="938"/>
      <c r="D131" s="938"/>
      <c r="E131" s="938"/>
      <c r="F131" s="938"/>
      <c r="G131" s="938"/>
      <c r="H131" s="938"/>
      <c r="I131" s="938"/>
      <c r="J131" s="938"/>
      <c r="K131" s="938"/>
      <c r="L131" s="938"/>
      <c r="M131" s="938"/>
      <c r="N131" s="938"/>
      <c r="O131" s="938"/>
      <c r="P131" s="938"/>
      <c r="Q131" s="938"/>
      <c r="R131" s="938"/>
      <c r="S131" s="938"/>
      <c r="T131" s="938"/>
      <c r="U131" s="938"/>
      <c r="V131" s="938"/>
      <c r="W131" s="938"/>
      <c r="X131" s="938"/>
      <c r="Y131" s="938"/>
      <c r="Z131" s="938"/>
      <c r="AA131" s="938"/>
      <c r="AB131" s="938"/>
      <c r="AC131" s="938"/>
      <c r="AD131" s="938"/>
      <c r="AE131" s="938"/>
      <c r="AF131" s="938"/>
      <c r="AG131" s="938"/>
      <c r="AH131" s="938"/>
      <c r="AI131" s="938"/>
      <c r="AJ131" s="938"/>
      <c r="AK131" s="938"/>
      <c r="AL131" s="938"/>
      <c r="AM131" s="938"/>
      <c r="AN131" s="938"/>
      <c r="AO131" s="938"/>
      <c r="AP131" s="938"/>
      <c r="AQ131" s="938"/>
      <c r="AR131" s="938"/>
      <c r="AS131" s="938"/>
      <c r="AT131" s="938"/>
      <c r="AU131" s="938"/>
      <c r="AV131" s="938"/>
      <c r="AW131" s="938"/>
      <c r="AX131" s="938"/>
      <c r="AY131" s="938"/>
      <c r="AZ131" s="938"/>
      <c r="BA131" s="938"/>
      <c r="BB131" s="938"/>
      <c r="BC131" s="938"/>
      <c r="BD131" s="938"/>
      <c r="BE131" s="938"/>
      <c r="BF131" s="938"/>
      <c r="BG131" s="938"/>
      <c r="BH131" s="938"/>
      <c r="BI131" s="938"/>
      <c r="BJ131" s="938"/>
      <c r="BK131" s="938"/>
      <c r="BL131" s="938"/>
      <c r="BM131" s="938"/>
      <c r="BN131" s="938"/>
      <c r="BO131" s="938"/>
      <c r="BP131" s="938"/>
      <c r="BQ131" s="938"/>
      <c r="BR131" s="938"/>
      <c r="BS131" s="938"/>
      <c r="BT131" s="938"/>
    </row>
    <row r="132" spans="1:72" x14ac:dyDescent="0.25">
      <c r="A132" s="938" t="s">
        <v>789</v>
      </c>
      <c r="B132" s="938"/>
      <c r="C132" s="938"/>
      <c r="D132" s="938"/>
      <c r="E132" s="938"/>
      <c r="F132" s="938"/>
      <c r="G132" s="938"/>
      <c r="H132" s="938"/>
      <c r="I132" s="938"/>
      <c r="J132" s="938"/>
      <c r="K132" s="938"/>
      <c r="L132" s="938"/>
      <c r="M132" s="938"/>
      <c r="N132" s="938"/>
      <c r="O132" s="938"/>
      <c r="P132" s="938"/>
      <c r="Q132" s="938"/>
      <c r="R132" s="938"/>
      <c r="S132" s="938"/>
      <c r="T132" s="938"/>
      <c r="U132" s="938"/>
      <c r="V132" s="938"/>
      <c r="W132" s="938"/>
      <c r="X132" s="938"/>
      <c r="Y132" s="938"/>
      <c r="Z132" s="938"/>
      <c r="AA132" s="938"/>
      <c r="AB132" s="938"/>
      <c r="AC132" s="938"/>
      <c r="AD132" s="938"/>
      <c r="AE132" s="938"/>
      <c r="AF132" s="938"/>
      <c r="AG132" s="938"/>
      <c r="AH132" s="938"/>
      <c r="AI132" s="938"/>
      <c r="AJ132" s="938"/>
      <c r="AK132" s="938"/>
      <c r="AL132" s="938"/>
      <c r="AM132" s="938"/>
      <c r="AN132" s="938"/>
      <c r="AO132" s="938"/>
      <c r="AP132" s="938"/>
      <c r="AQ132" s="938"/>
      <c r="AR132" s="938"/>
      <c r="AS132" s="938"/>
      <c r="AT132" s="938"/>
      <c r="AU132" s="938"/>
      <c r="AV132" s="938"/>
      <c r="AW132" s="938"/>
      <c r="AX132" s="938"/>
      <c r="AY132" s="938"/>
      <c r="AZ132" s="938"/>
      <c r="BA132" s="938"/>
      <c r="BB132" s="938"/>
      <c r="BC132" s="938"/>
      <c r="BD132" s="938"/>
      <c r="BE132" s="938"/>
      <c r="BF132" s="938"/>
      <c r="BG132" s="938"/>
      <c r="BH132" s="938"/>
      <c r="BI132" s="938"/>
      <c r="BJ132" s="938"/>
      <c r="BK132" s="938"/>
      <c r="BL132" s="938"/>
      <c r="BM132" s="938"/>
      <c r="BN132" s="938"/>
      <c r="BO132" s="938"/>
      <c r="BP132" s="938"/>
      <c r="BQ132" s="938"/>
      <c r="BR132" s="938"/>
      <c r="BS132" s="938"/>
      <c r="BT132" s="938"/>
    </row>
    <row r="133" spans="1:72" x14ac:dyDescent="0.25">
      <c r="A133" s="938" t="s">
        <v>473</v>
      </c>
      <c r="B133" s="938">
        <v>241.67</v>
      </c>
      <c r="C133" s="938">
        <v>254.66</v>
      </c>
      <c r="D133" s="938">
        <v>231.65</v>
      </c>
      <c r="E133" s="938">
        <v>223.76</v>
      </c>
      <c r="F133" s="938">
        <v>222.61</v>
      </c>
      <c r="G133" s="938">
        <v>230.62</v>
      </c>
      <c r="H133" s="938">
        <v>228.9</v>
      </c>
      <c r="I133" s="938">
        <v>229.4</v>
      </c>
      <c r="J133" s="938">
        <v>230.89</v>
      </c>
      <c r="K133" s="938">
        <v>234.53</v>
      </c>
      <c r="L133" s="938">
        <v>236.76</v>
      </c>
      <c r="M133" s="938">
        <v>239.14</v>
      </c>
      <c r="N133" s="938">
        <v>241.36</v>
      </c>
      <c r="O133" s="938">
        <v>245.14</v>
      </c>
      <c r="P133" s="938">
        <v>247.96</v>
      </c>
      <c r="Q133" s="938">
        <v>251.14</v>
      </c>
      <c r="R133" s="938">
        <v>253.92</v>
      </c>
      <c r="S133" s="938">
        <v>256.67</v>
      </c>
      <c r="T133" s="938">
        <v>258.7</v>
      </c>
      <c r="U133" s="938">
        <v>262.54000000000002</v>
      </c>
      <c r="V133" s="938">
        <v>266.58999999999997</v>
      </c>
      <c r="W133" s="938">
        <v>271.26</v>
      </c>
      <c r="X133" s="938">
        <v>275.8</v>
      </c>
      <c r="Y133" s="938">
        <v>280.39999999999998</v>
      </c>
      <c r="Z133" s="938">
        <v>285.83</v>
      </c>
      <c r="AA133" s="938">
        <v>290.58999999999997</v>
      </c>
      <c r="AB133" s="938">
        <v>292.89999999999998</v>
      </c>
      <c r="AC133" s="938">
        <v>297.16000000000003</v>
      </c>
      <c r="AD133" s="938">
        <v>301.11</v>
      </c>
      <c r="AE133" s="977">
        <v>6.0000000000000001E-3</v>
      </c>
      <c r="AF133" s="938"/>
      <c r="AG133" s="938"/>
      <c r="AH133" s="938"/>
      <c r="AI133" s="938"/>
      <c r="AJ133" s="938"/>
      <c r="AK133" s="938"/>
      <c r="AL133" s="938"/>
      <c r="AM133" s="938"/>
      <c r="AN133" s="938"/>
      <c r="AO133" s="938"/>
      <c r="AP133" s="938"/>
      <c r="AQ133" s="938"/>
      <c r="AR133" s="938"/>
      <c r="AS133" s="938"/>
      <c r="AT133" s="938"/>
      <c r="AU133" s="938"/>
      <c r="AV133" s="938"/>
      <c r="AW133" s="938"/>
      <c r="AX133" s="938"/>
      <c r="AY133" s="938"/>
      <c r="AZ133" s="938"/>
      <c r="BA133" s="938"/>
      <c r="BB133" s="938"/>
      <c r="BC133" s="938"/>
      <c r="BD133" s="938"/>
      <c r="BE133" s="938"/>
      <c r="BF133" s="938"/>
      <c r="BG133" s="938"/>
      <c r="BH133" s="938"/>
      <c r="BI133" s="938"/>
      <c r="BJ133" s="938"/>
      <c r="BK133" s="938"/>
      <c r="BL133" s="938"/>
      <c r="BM133" s="938"/>
      <c r="BN133" s="938"/>
      <c r="BO133" s="938"/>
      <c r="BP133" s="938"/>
      <c r="BQ133" s="938"/>
      <c r="BR133" s="938"/>
      <c r="BS133" s="938"/>
      <c r="BT133" s="938"/>
    </row>
    <row r="134" spans="1:72" x14ac:dyDescent="0.25">
      <c r="A134" s="938" t="s">
        <v>480</v>
      </c>
      <c r="B134" s="938">
        <v>176.61</v>
      </c>
      <c r="C134" s="938">
        <v>191.19</v>
      </c>
      <c r="D134" s="938">
        <v>168.7</v>
      </c>
      <c r="E134" s="938">
        <v>163.43</v>
      </c>
      <c r="F134" s="938">
        <v>163.69</v>
      </c>
      <c r="G134" s="938">
        <v>172.64</v>
      </c>
      <c r="H134" s="938">
        <v>173.85</v>
      </c>
      <c r="I134" s="938">
        <v>174.18</v>
      </c>
      <c r="J134" s="938">
        <v>176.9</v>
      </c>
      <c r="K134" s="938">
        <v>180.82</v>
      </c>
      <c r="L134" s="938">
        <v>184.11</v>
      </c>
      <c r="M134" s="938">
        <v>186.86</v>
      </c>
      <c r="N134" s="938">
        <v>189.36</v>
      </c>
      <c r="O134" s="938">
        <v>193.15</v>
      </c>
      <c r="P134" s="938">
        <v>196.83</v>
      </c>
      <c r="Q134" s="938">
        <v>200.4</v>
      </c>
      <c r="R134" s="938">
        <v>204.1</v>
      </c>
      <c r="S134" s="938">
        <v>207.27</v>
      </c>
      <c r="T134" s="938">
        <v>210.07</v>
      </c>
      <c r="U134" s="938">
        <v>214.23</v>
      </c>
      <c r="V134" s="938">
        <v>218.63</v>
      </c>
      <c r="W134" s="938">
        <v>223.34</v>
      </c>
      <c r="X134" s="938">
        <v>229.36</v>
      </c>
      <c r="Y134" s="938">
        <v>234.79</v>
      </c>
      <c r="Z134" s="938">
        <v>240.94</v>
      </c>
      <c r="AA134" s="938">
        <v>246.37</v>
      </c>
      <c r="AB134" s="938">
        <v>250.61</v>
      </c>
      <c r="AC134" s="938">
        <v>256.01</v>
      </c>
      <c r="AD134" s="938">
        <v>261.07</v>
      </c>
      <c r="AE134" s="977">
        <v>1.2E-2</v>
      </c>
      <c r="AF134" s="938"/>
      <c r="AG134" s="938"/>
      <c r="AH134" s="938"/>
      <c r="AI134" s="938"/>
      <c r="AJ134" s="938"/>
      <c r="AK134" s="938"/>
      <c r="AL134" s="938"/>
      <c r="AM134" s="938"/>
      <c r="AN134" s="938"/>
      <c r="AO134" s="938"/>
      <c r="AP134" s="938"/>
      <c r="AQ134" s="938"/>
      <c r="AR134" s="938"/>
      <c r="AS134" s="938"/>
      <c r="AT134" s="938"/>
      <c r="AU134" s="938"/>
      <c r="AV134" s="938"/>
      <c r="AW134" s="938"/>
      <c r="AX134" s="938"/>
      <c r="AY134" s="938"/>
      <c r="AZ134" s="938"/>
      <c r="BA134" s="938"/>
      <c r="BB134" s="938"/>
      <c r="BC134" s="938"/>
      <c r="BD134" s="938"/>
      <c r="BE134" s="938"/>
      <c r="BF134" s="938"/>
      <c r="BG134" s="938"/>
      <c r="BH134" s="938"/>
      <c r="BI134" s="938"/>
      <c r="BJ134" s="938"/>
      <c r="BK134" s="938"/>
      <c r="BL134" s="938"/>
      <c r="BM134" s="938"/>
      <c r="BN134" s="938"/>
      <c r="BO134" s="938"/>
      <c r="BP134" s="938"/>
      <c r="BQ134" s="938"/>
      <c r="BR134" s="938"/>
      <c r="BS134" s="938"/>
      <c r="BT134" s="938"/>
    </row>
    <row r="135" spans="1:72" x14ac:dyDescent="0.25">
      <c r="A135" s="938" t="s">
        <v>515</v>
      </c>
      <c r="B135" s="938">
        <v>219.69</v>
      </c>
      <c r="C135" s="938">
        <v>244.81</v>
      </c>
      <c r="D135" s="938">
        <v>175.42</v>
      </c>
      <c r="E135" s="938">
        <v>163.24</v>
      </c>
      <c r="F135" s="938">
        <v>173.51</v>
      </c>
      <c r="G135" s="938">
        <v>191.66</v>
      </c>
      <c r="H135" s="938">
        <v>201.52</v>
      </c>
      <c r="I135" s="938">
        <v>207.49</v>
      </c>
      <c r="J135" s="938">
        <v>213.14</v>
      </c>
      <c r="K135" s="938">
        <v>218.86</v>
      </c>
      <c r="L135" s="938">
        <v>223.15</v>
      </c>
      <c r="M135" s="938">
        <v>228.05</v>
      </c>
      <c r="N135" s="938">
        <v>231.33</v>
      </c>
      <c r="O135" s="938">
        <v>234.86</v>
      </c>
      <c r="P135" s="938">
        <v>236.42</v>
      </c>
      <c r="Q135" s="938">
        <v>237.67</v>
      </c>
      <c r="R135" s="938">
        <v>239.07</v>
      </c>
      <c r="S135" s="938">
        <v>240.3</v>
      </c>
      <c r="T135" s="938">
        <v>241.75</v>
      </c>
      <c r="U135" s="938">
        <v>242.96</v>
      </c>
      <c r="V135" s="938">
        <v>245.17</v>
      </c>
      <c r="W135" s="938">
        <v>247.67</v>
      </c>
      <c r="X135" s="938">
        <v>250.95</v>
      </c>
      <c r="Y135" s="938">
        <v>253.51</v>
      </c>
      <c r="Z135" s="938">
        <v>257.7</v>
      </c>
      <c r="AA135" s="938">
        <v>259.55</v>
      </c>
      <c r="AB135" s="938">
        <v>261.58</v>
      </c>
      <c r="AC135" s="938">
        <v>265.05</v>
      </c>
      <c r="AD135" s="938">
        <v>267.18</v>
      </c>
      <c r="AE135" s="977">
        <v>3.0000000000000001E-3</v>
      </c>
      <c r="AF135" s="938"/>
      <c r="AG135" s="938"/>
      <c r="AH135" s="938"/>
      <c r="AI135" s="938"/>
      <c r="AJ135" s="938"/>
      <c r="AK135" s="938"/>
      <c r="AL135" s="938"/>
      <c r="AM135" s="938"/>
      <c r="AN135" s="938"/>
      <c r="AO135" s="938"/>
      <c r="AP135" s="938"/>
      <c r="AQ135" s="938"/>
      <c r="AR135" s="938"/>
      <c r="AS135" s="938"/>
      <c r="AT135" s="938"/>
      <c r="AU135" s="938"/>
      <c r="AV135" s="938"/>
      <c r="AW135" s="938"/>
      <c r="AX135" s="938"/>
      <c r="AY135" s="938"/>
      <c r="AZ135" s="938"/>
      <c r="BA135" s="938"/>
      <c r="BB135" s="938"/>
      <c r="BC135" s="938"/>
      <c r="BD135" s="938"/>
      <c r="BE135" s="938"/>
      <c r="BF135" s="938"/>
      <c r="BG135" s="938"/>
      <c r="BH135" s="938"/>
      <c r="BI135" s="938"/>
      <c r="BJ135" s="938"/>
      <c r="BK135" s="938"/>
      <c r="BL135" s="938"/>
      <c r="BM135" s="938"/>
      <c r="BN135" s="938"/>
      <c r="BO135" s="938"/>
      <c r="BP135" s="938"/>
      <c r="BQ135" s="938"/>
      <c r="BR135" s="938"/>
      <c r="BS135" s="938"/>
      <c r="BT135" s="938"/>
    </row>
    <row r="136" spans="1:72" x14ac:dyDescent="0.25">
      <c r="A136" s="938" t="s">
        <v>487</v>
      </c>
      <c r="B136" s="938">
        <v>613.37</v>
      </c>
      <c r="C136" s="938">
        <v>705.86</v>
      </c>
      <c r="D136" s="938">
        <v>465.68</v>
      </c>
      <c r="E136" s="938">
        <v>508.22</v>
      </c>
      <c r="F136" s="938">
        <v>528.5</v>
      </c>
      <c r="G136" s="938">
        <v>567.33000000000004</v>
      </c>
      <c r="H136" s="938">
        <v>615.79</v>
      </c>
      <c r="I136" s="938">
        <v>640.91999999999996</v>
      </c>
      <c r="J136" s="938">
        <v>655.77</v>
      </c>
      <c r="K136" s="938">
        <v>671.91</v>
      </c>
      <c r="L136" s="938">
        <v>690.32</v>
      </c>
      <c r="M136" s="938">
        <v>704.34</v>
      </c>
      <c r="N136" s="938">
        <v>717.08</v>
      </c>
      <c r="O136" s="938">
        <v>729.77</v>
      </c>
      <c r="P136" s="938">
        <v>737.71</v>
      </c>
      <c r="Q136" s="938">
        <v>743.52</v>
      </c>
      <c r="R136" s="938">
        <v>757.24</v>
      </c>
      <c r="S136" s="938">
        <v>767.89</v>
      </c>
      <c r="T136" s="938">
        <v>782.71</v>
      </c>
      <c r="U136" s="938">
        <v>795.25</v>
      </c>
      <c r="V136" s="938">
        <v>808.06</v>
      </c>
      <c r="W136" s="938">
        <v>822.03</v>
      </c>
      <c r="X136" s="938">
        <v>834.45</v>
      </c>
      <c r="Y136" s="938">
        <v>846.64</v>
      </c>
      <c r="Z136" s="938">
        <v>856.24</v>
      </c>
      <c r="AA136" s="938">
        <v>869.12</v>
      </c>
      <c r="AB136" s="938">
        <v>883.55</v>
      </c>
      <c r="AC136" s="938">
        <v>894.05</v>
      </c>
      <c r="AD136" s="938">
        <v>908.01</v>
      </c>
      <c r="AE136" s="977">
        <v>8.9999999999999993E-3</v>
      </c>
      <c r="AF136" s="938"/>
      <c r="AG136" s="938"/>
      <c r="AH136" s="938"/>
      <c r="AI136" s="938"/>
      <c r="AJ136" s="938"/>
      <c r="AK136" s="938"/>
      <c r="AL136" s="938"/>
      <c r="AM136" s="938"/>
      <c r="AN136" s="938"/>
      <c r="AO136" s="938"/>
      <c r="AP136" s="938"/>
      <c r="AQ136" s="938"/>
      <c r="AR136" s="938"/>
      <c r="AS136" s="938"/>
      <c r="AT136" s="938"/>
      <c r="AU136" s="938"/>
      <c r="AV136" s="938"/>
      <c r="AW136" s="938"/>
      <c r="AX136" s="938"/>
      <c r="AY136" s="938"/>
      <c r="AZ136" s="938"/>
      <c r="BA136" s="938"/>
      <c r="BB136" s="938"/>
      <c r="BC136" s="938"/>
      <c r="BD136" s="938"/>
      <c r="BE136" s="938"/>
      <c r="BF136" s="938"/>
      <c r="BG136" s="938"/>
      <c r="BH136" s="938"/>
      <c r="BI136" s="938"/>
      <c r="BJ136" s="938"/>
      <c r="BK136" s="938"/>
      <c r="BL136" s="938"/>
      <c r="BM136" s="938"/>
      <c r="BN136" s="938"/>
      <c r="BO136" s="938"/>
      <c r="BP136" s="938"/>
      <c r="BQ136" s="938"/>
      <c r="BR136" s="938"/>
      <c r="BS136" s="938"/>
      <c r="BT136" s="938"/>
    </row>
    <row r="137" spans="1:72" x14ac:dyDescent="0.25">
      <c r="A137" s="938" t="s">
        <v>516</v>
      </c>
      <c r="B137" s="938">
        <v>1251.3499999999999</v>
      </c>
      <c r="C137" s="938">
        <v>1396.52</v>
      </c>
      <c r="D137" s="938">
        <v>1041.45</v>
      </c>
      <c r="E137" s="938">
        <v>1058.6500000000001</v>
      </c>
      <c r="F137" s="938">
        <v>1088.31</v>
      </c>
      <c r="G137" s="938">
        <v>1162.25</v>
      </c>
      <c r="H137" s="938">
        <v>1220.05</v>
      </c>
      <c r="I137" s="938">
        <v>1251.99</v>
      </c>
      <c r="J137" s="938">
        <v>1276.69</v>
      </c>
      <c r="K137" s="938">
        <v>1306.1199999999999</v>
      </c>
      <c r="L137" s="938">
        <v>1334.33</v>
      </c>
      <c r="M137" s="938">
        <v>1358.39</v>
      </c>
      <c r="N137" s="938">
        <v>1379.14</v>
      </c>
      <c r="O137" s="938">
        <v>1402.91</v>
      </c>
      <c r="P137" s="938">
        <v>1418.92</v>
      </c>
      <c r="Q137" s="938">
        <v>1432.73</v>
      </c>
      <c r="R137" s="938">
        <v>1454.32</v>
      </c>
      <c r="S137" s="938">
        <v>1472.13</v>
      </c>
      <c r="T137" s="938">
        <v>1493.23</v>
      </c>
      <c r="U137" s="938">
        <v>1514.98</v>
      </c>
      <c r="V137" s="938">
        <v>1538.45</v>
      </c>
      <c r="W137" s="938">
        <v>1564.3</v>
      </c>
      <c r="X137" s="938">
        <v>1590.55</v>
      </c>
      <c r="Y137" s="938">
        <v>1615.34</v>
      </c>
      <c r="Z137" s="938">
        <v>1640.71</v>
      </c>
      <c r="AA137" s="938">
        <v>1665.62</v>
      </c>
      <c r="AB137" s="938">
        <v>1688.65</v>
      </c>
      <c r="AC137" s="938">
        <v>1712.28</v>
      </c>
      <c r="AD137" s="938">
        <v>1737.37</v>
      </c>
      <c r="AE137" s="977">
        <v>8.0000000000000002E-3</v>
      </c>
      <c r="AF137" s="938"/>
      <c r="AG137" s="938"/>
      <c r="AH137" s="938"/>
      <c r="AI137" s="938"/>
      <c r="AJ137" s="938"/>
      <c r="AK137" s="938"/>
      <c r="AL137" s="938"/>
      <c r="AM137" s="938"/>
      <c r="AN137" s="938"/>
      <c r="AO137" s="938"/>
      <c r="AP137" s="938"/>
      <c r="AQ137" s="938"/>
      <c r="AR137" s="938"/>
      <c r="AS137" s="938"/>
      <c r="AT137" s="938"/>
      <c r="AU137" s="938"/>
      <c r="AV137" s="938"/>
      <c r="AW137" s="938"/>
      <c r="AX137" s="938"/>
      <c r="AY137" s="938"/>
      <c r="AZ137" s="938"/>
      <c r="BA137" s="938"/>
      <c r="BB137" s="938"/>
      <c r="BC137" s="938"/>
      <c r="BD137" s="938"/>
      <c r="BE137" s="938"/>
      <c r="BF137" s="938"/>
      <c r="BG137" s="938"/>
      <c r="BH137" s="938"/>
      <c r="BI137" s="938"/>
      <c r="BJ137" s="938"/>
      <c r="BK137" s="938"/>
      <c r="BL137" s="938"/>
      <c r="BM137" s="938"/>
      <c r="BN137" s="938"/>
      <c r="BO137" s="938"/>
      <c r="BP137" s="938"/>
      <c r="BQ137" s="938"/>
      <c r="BR137" s="938"/>
      <c r="BS137" s="938"/>
      <c r="BT137" s="938"/>
    </row>
    <row r="138" spans="1:72" x14ac:dyDescent="0.25">
      <c r="A138" s="938" t="s">
        <v>629</v>
      </c>
      <c r="B138" s="938">
        <v>0.05</v>
      </c>
      <c r="C138" s="938">
        <v>0.17</v>
      </c>
      <c r="D138" s="938">
        <v>0.04</v>
      </c>
      <c r="E138" s="938">
        <v>0.09</v>
      </c>
      <c r="F138" s="938">
        <v>0.11</v>
      </c>
      <c r="G138" s="938">
        <v>0.13</v>
      </c>
      <c r="H138" s="938">
        <v>0.15</v>
      </c>
      <c r="I138" s="938">
        <v>0.17</v>
      </c>
      <c r="J138" s="938">
        <v>0.21</v>
      </c>
      <c r="K138" s="938">
        <v>2.34</v>
      </c>
      <c r="L138" s="938">
        <v>3.15</v>
      </c>
      <c r="M138" s="938">
        <v>4</v>
      </c>
      <c r="N138" s="938">
        <v>5.31</v>
      </c>
      <c r="O138" s="938">
        <v>7.12</v>
      </c>
      <c r="P138" s="938">
        <v>9.59</v>
      </c>
      <c r="Q138" s="938">
        <v>17.39</v>
      </c>
      <c r="R138" s="938">
        <v>15.56</v>
      </c>
      <c r="S138" s="938">
        <v>14.53</v>
      </c>
      <c r="T138" s="938">
        <v>15.06</v>
      </c>
      <c r="U138" s="938">
        <v>16.98</v>
      </c>
      <c r="V138" s="938">
        <v>18.95</v>
      </c>
      <c r="W138" s="938">
        <v>20.57</v>
      </c>
      <c r="X138" s="938">
        <v>23.66</v>
      </c>
      <c r="Y138" s="938">
        <v>25.05</v>
      </c>
      <c r="Z138" s="938">
        <v>31.91</v>
      </c>
      <c r="AA138" s="938">
        <v>36.74</v>
      </c>
      <c r="AB138" s="938">
        <v>40.74</v>
      </c>
      <c r="AC138" s="938">
        <v>48.35</v>
      </c>
      <c r="AD138" s="938">
        <v>56.42</v>
      </c>
      <c r="AE138" s="977">
        <v>0.24099999999999999</v>
      </c>
      <c r="AF138" s="938"/>
      <c r="AG138" s="938"/>
      <c r="AH138" s="938"/>
      <c r="AI138" s="938"/>
      <c r="AJ138" s="938"/>
      <c r="AK138" s="938"/>
      <c r="AL138" s="938"/>
      <c r="AM138" s="938"/>
      <c r="AN138" s="938"/>
      <c r="AO138" s="938"/>
      <c r="AP138" s="938"/>
      <c r="AQ138" s="938"/>
      <c r="AR138" s="938"/>
      <c r="AS138" s="938"/>
      <c r="AT138" s="938"/>
      <c r="AU138" s="938"/>
      <c r="AV138" s="938"/>
      <c r="AW138" s="938"/>
      <c r="AX138" s="938"/>
      <c r="AY138" s="938"/>
      <c r="AZ138" s="938"/>
      <c r="BA138" s="938"/>
      <c r="BB138" s="938"/>
      <c r="BC138" s="938"/>
      <c r="BD138" s="938"/>
      <c r="BE138" s="938"/>
      <c r="BF138" s="938"/>
      <c r="BG138" s="938"/>
      <c r="BH138" s="938"/>
      <c r="BI138" s="938"/>
      <c r="BJ138" s="938"/>
      <c r="BK138" s="938"/>
      <c r="BL138" s="938"/>
      <c r="BM138" s="938"/>
      <c r="BN138" s="938"/>
      <c r="BO138" s="938"/>
      <c r="BP138" s="938"/>
      <c r="BQ138" s="938"/>
      <c r="BR138" s="938"/>
      <c r="BS138" s="938"/>
      <c r="BT138" s="938"/>
    </row>
    <row r="139" spans="1:72" x14ac:dyDescent="0.25">
      <c r="A139" s="938" t="s">
        <v>518</v>
      </c>
      <c r="B139" s="938">
        <v>1251.3900000000001</v>
      </c>
      <c r="C139" s="938">
        <v>1396.69</v>
      </c>
      <c r="D139" s="938">
        <v>1041.49</v>
      </c>
      <c r="E139" s="938">
        <v>1058.74</v>
      </c>
      <c r="F139" s="938">
        <v>1088.42</v>
      </c>
      <c r="G139" s="938">
        <v>1162.3699999999999</v>
      </c>
      <c r="H139" s="938">
        <v>1220.2</v>
      </c>
      <c r="I139" s="938">
        <v>1252.1600000000001</v>
      </c>
      <c r="J139" s="938">
        <v>1276.9000000000001</v>
      </c>
      <c r="K139" s="938">
        <v>1308.46</v>
      </c>
      <c r="L139" s="938">
        <v>1337.48</v>
      </c>
      <c r="M139" s="938">
        <v>1362.4</v>
      </c>
      <c r="N139" s="938">
        <v>1384.44</v>
      </c>
      <c r="O139" s="938">
        <v>1410.03</v>
      </c>
      <c r="P139" s="938">
        <v>1428.51</v>
      </c>
      <c r="Q139" s="938">
        <v>1450.12</v>
      </c>
      <c r="R139" s="938">
        <v>1469.88</v>
      </c>
      <c r="S139" s="938">
        <v>1486.66</v>
      </c>
      <c r="T139" s="938">
        <v>1508.29</v>
      </c>
      <c r="U139" s="938">
        <v>1531.96</v>
      </c>
      <c r="V139" s="938">
        <v>1557.41</v>
      </c>
      <c r="W139" s="938">
        <v>1584.86</v>
      </c>
      <c r="X139" s="938">
        <v>1614.21</v>
      </c>
      <c r="Y139" s="938">
        <v>1640.39</v>
      </c>
      <c r="Z139" s="938">
        <v>1672.62</v>
      </c>
      <c r="AA139" s="938">
        <v>1702.37</v>
      </c>
      <c r="AB139" s="938">
        <v>1729.39</v>
      </c>
      <c r="AC139" s="938">
        <v>1760.62</v>
      </c>
      <c r="AD139" s="938">
        <v>1793.79</v>
      </c>
      <c r="AE139" s="977">
        <v>8.9999999999999993E-3</v>
      </c>
      <c r="AF139" s="938"/>
      <c r="AG139" s="938"/>
      <c r="AH139" s="938"/>
      <c r="AI139" s="938"/>
      <c r="AJ139" s="938"/>
      <c r="AK139" s="938"/>
      <c r="AL139" s="938"/>
      <c r="AM139" s="938"/>
      <c r="AN139" s="938"/>
      <c r="AO139" s="938"/>
      <c r="AP139" s="938"/>
      <c r="AQ139" s="938"/>
      <c r="AR139" s="938"/>
      <c r="AS139" s="938"/>
      <c r="AT139" s="938"/>
      <c r="AU139" s="938"/>
      <c r="AV139" s="938"/>
      <c r="AW139" s="938"/>
      <c r="AX139" s="938"/>
      <c r="AY139" s="938"/>
      <c r="AZ139" s="938"/>
      <c r="BA139" s="938"/>
      <c r="BB139" s="938"/>
      <c r="BC139" s="938"/>
      <c r="BD139" s="938"/>
      <c r="BE139" s="938"/>
      <c r="BF139" s="938"/>
      <c r="BG139" s="938"/>
      <c r="BH139" s="938"/>
      <c r="BI139" s="938"/>
      <c r="BJ139" s="938"/>
      <c r="BK139" s="938"/>
      <c r="BL139" s="938"/>
      <c r="BM139" s="938"/>
      <c r="BN139" s="938"/>
      <c r="BO139" s="938"/>
      <c r="BP139" s="938"/>
      <c r="BQ139" s="938"/>
      <c r="BR139" s="938"/>
      <c r="BS139" s="938"/>
      <c r="BT139" s="938"/>
    </row>
    <row r="140" spans="1:72" x14ac:dyDescent="0.25">
      <c r="A140" s="938"/>
      <c r="B140" s="938"/>
      <c r="C140" s="938"/>
      <c r="D140" s="938"/>
      <c r="E140" s="938"/>
      <c r="F140" s="938"/>
      <c r="G140" s="938"/>
      <c r="H140" s="938"/>
      <c r="I140" s="938"/>
      <c r="J140" s="938"/>
      <c r="K140" s="938"/>
      <c r="L140" s="938"/>
      <c r="M140" s="938"/>
      <c r="N140" s="938"/>
      <c r="O140" s="938"/>
      <c r="P140" s="938"/>
      <c r="Q140" s="938"/>
      <c r="R140" s="938"/>
      <c r="S140" s="938"/>
      <c r="T140" s="938"/>
      <c r="U140" s="938"/>
      <c r="V140" s="938"/>
      <c r="W140" s="938"/>
      <c r="X140" s="938"/>
      <c r="Y140" s="938"/>
      <c r="Z140" s="938"/>
      <c r="AA140" s="938"/>
      <c r="AB140" s="938"/>
      <c r="AC140" s="938"/>
      <c r="AD140" s="938"/>
      <c r="AE140" s="938"/>
      <c r="AF140" s="938"/>
      <c r="AG140" s="938"/>
      <c r="AH140" s="938"/>
      <c r="AI140" s="938"/>
      <c r="AJ140" s="938"/>
      <c r="AK140" s="938"/>
      <c r="AL140" s="938"/>
      <c r="AM140" s="938"/>
      <c r="AN140" s="938"/>
      <c r="AO140" s="938"/>
      <c r="AP140" s="938"/>
      <c r="AQ140" s="938"/>
      <c r="AR140" s="938"/>
      <c r="AS140" s="938"/>
      <c r="AT140" s="938"/>
      <c r="AU140" s="938"/>
      <c r="AV140" s="938"/>
      <c r="AW140" s="938"/>
      <c r="AX140" s="938"/>
      <c r="AY140" s="938"/>
      <c r="AZ140" s="938"/>
      <c r="BA140" s="938"/>
      <c r="BB140" s="938"/>
      <c r="BC140" s="938"/>
      <c r="BD140" s="938"/>
      <c r="BE140" s="938"/>
      <c r="BF140" s="938"/>
      <c r="BG140" s="938"/>
      <c r="BH140" s="938"/>
      <c r="BI140" s="938"/>
      <c r="BJ140" s="938"/>
      <c r="BK140" s="938"/>
      <c r="BL140" s="938"/>
      <c r="BM140" s="938"/>
      <c r="BN140" s="938"/>
      <c r="BO140" s="938"/>
      <c r="BP140" s="938"/>
      <c r="BQ140" s="938"/>
      <c r="BR140" s="938"/>
      <c r="BS140" s="938"/>
      <c r="BT140" s="938"/>
    </row>
    <row r="141" spans="1:72" x14ac:dyDescent="0.25">
      <c r="A141" s="938"/>
      <c r="B141" s="938"/>
      <c r="C141" s="938"/>
      <c r="D141" s="938"/>
      <c r="E141" s="938"/>
      <c r="F141" s="938"/>
      <c r="G141" s="938"/>
      <c r="H141" s="938"/>
      <c r="I141" s="938"/>
      <c r="J141" s="938"/>
      <c r="K141" s="938"/>
      <c r="L141" s="938"/>
      <c r="M141" s="938"/>
      <c r="N141" s="938"/>
      <c r="O141" s="938"/>
      <c r="P141" s="938"/>
      <c r="Q141" s="938"/>
      <c r="R141" s="938"/>
      <c r="S141" s="938"/>
      <c r="T141" s="938"/>
      <c r="U141" s="938"/>
      <c r="V141" s="938"/>
      <c r="W141" s="938"/>
      <c r="X141" s="938"/>
      <c r="Y141" s="938"/>
      <c r="Z141" s="938"/>
      <c r="AA141" s="938"/>
      <c r="AB141" s="938"/>
      <c r="AC141" s="938"/>
      <c r="AD141" s="938"/>
      <c r="AE141" s="938"/>
      <c r="AF141" s="938"/>
      <c r="AG141" s="938"/>
      <c r="AH141" s="938"/>
      <c r="AI141" s="938"/>
      <c r="AJ141" s="938"/>
      <c r="AK141" s="938"/>
      <c r="AL141" s="938"/>
      <c r="AM141" s="938"/>
      <c r="AN141" s="938"/>
      <c r="AO141" s="938"/>
      <c r="AP141" s="938"/>
      <c r="AQ141" s="938"/>
      <c r="AR141" s="938"/>
      <c r="AS141" s="938"/>
      <c r="AT141" s="938"/>
      <c r="AU141" s="938"/>
      <c r="AV141" s="938"/>
      <c r="AW141" s="938"/>
      <c r="AX141" s="938"/>
      <c r="AY141" s="938"/>
      <c r="AZ141" s="938"/>
      <c r="BA141" s="938"/>
      <c r="BB141" s="938"/>
      <c r="BC141" s="938"/>
      <c r="BD141" s="938"/>
      <c r="BE141" s="938"/>
      <c r="BF141" s="938"/>
      <c r="BG141" s="938"/>
      <c r="BH141" s="938"/>
      <c r="BI141" s="938"/>
      <c r="BJ141" s="938"/>
      <c r="BK141" s="938"/>
      <c r="BL141" s="938"/>
      <c r="BM141" s="938"/>
      <c r="BN141" s="938"/>
      <c r="BO141" s="938"/>
      <c r="BP141" s="938"/>
      <c r="BQ141" s="938"/>
      <c r="BR141" s="938"/>
      <c r="BS141" s="938"/>
      <c r="BT141" s="938"/>
    </row>
    <row r="142" spans="1:72" x14ac:dyDescent="0.25">
      <c r="A142" s="938" t="s">
        <v>726</v>
      </c>
      <c r="B142" s="938"/>
      <c r="C142" s="938"/>
      <c r="D142" s="938"/>
      <c r="E142" s="938"/>
      <c r="F142" s="938"/>
      <c r="G142" s="938"/>
      <c r="H142" s="938"/>
      <c r="I142" s="938"/>
      <c r="J142" s="938"/>
      <c r="K142" s="938"/>
      <c r="L142" s="938"/>
      <c r="M142" s="938"/>
      <c r="N142" s="938"/>
      <c r="O142" s="938"/>
      <c r="P142" s="938"/>
      <c r="Q142" s="938"/>
      <c r="R142" s="938"/>
      <c r="S142" s="938"/>
      <c r="T142" s="938"/>
      <c r="U142" s="938"/>
      <c r="V142" s="938"/>
      <c r="W142" s="938"/>
      <c r="X142" s="938"/>
      <c r="Y142" s="938"/>
      <c r="Z142" s="938"/>
      <c r="AA142" s="938"/>
      <c r="AB142" s="938"/>
      <c r="AC142" s="938"/>
      <c r="AD142" s="938"/>
      <c r="AE142" s="938"/>
      <c r="AF142" s="938"/>
      <c r="AG142" s="938"/>
      <c r="AH142" s="938"/>
      <c r="AI142" s="938"/>
      <c r="AJ142" s="938"/>
      <c r="AK142" s="938"/>
      <c r="AL142" s="938"/>
      <c r="AM142" s="938"/>
      <c r="AN142" s="938"/>
      <c r="AO142" s="938"/>
      <c r="AP142" s="938"/>
      <c r="AQ142" s="938"/>
      <c r="AR142" s="938"/>
      <c r="AS142" s="938"/>
      <c r="AT142" s="938"/>
      <c r="AU142" s="938"/>
      <c r="AV142" s="938"/>
      <c r="AW142" s="938"/>
      <c r="AX142" s="938"/>
      <c r="AY142" s="938"/>
      <c r="AZ142" s="938"/>
      <c r="BA142" s="938"/>
      <c r="BB142" s="938"/>
      <c r="BC142" s="938"/>
      <c r="BD142" s="938"/>
      <c r="BE142" s="938"/>
      <c r="BF142" s="938"/>
      <c r="BG142" s="938"/>
      <c r="BH142" s="938"/>
      <c r="BI142" s="938"/>
      <c r="BJ142" s="938"/>
      <c r="BK142" s="938"/>
      <c r="BL142" s="938"/>
      <c r="BM142" s="938"/>
      <c r="BN142" s="938"/>
      <c r="BO142" s="938"/>
      <c r="BP142" s="938"/>
      <c r="BQ142" s="938"/>
      <c r="BR142" s="938"/>
      <c r="BS142" s="938"/>
      <c r="BT142" s="938"/>
    </row>
    <row r="143" spans="1:72" x14ac:dyDescent="0.25">
      <c r="A143" s="938" t="s">
        <v>473</v>
      </c>
      <c r="B143" s="938"/>
      <c r="C143" s="938"/>
      <c r="D143" s="938"/>
      <c r="E143" s="938"/>
      <c r="F143" s="938"/>
      <c r="G143" s="938"/>
      <c r="H143" s="938"/>
      <c r="I143" s="938"/>
      <c r="J143" s="938"/>
      <c r="K143" s="938"/>
      <c r="L143" s="938"/>
      <c r="M143" s="938"/>
      <c r="N143" s="938"/>
      <c r="O143" s="938"/>
      <c r="P143" s="938"/>
      <c r="Q143" s="938"/>
      <c r="R143" s="938"/>
      <c r="S143" s="938"/>
      <c r="T143" s="938"/>
      <c r="U143" s="938"/>
      <c r="V143" s="938"/>
      <c r="W143" s="938"/>
      <c r="X143" s="938"/>
      <c r="Y143" s="938"/>
      <c r="Z143" s="938"/>
      <c r="AA143" s="938"/>
      <c r="AB143" s="938"/>
      <c r="AC143" s="938"/>
      <c r="AD143" s="938"/>
      <c r="AE143" s="938"/>
      <c r="AF143" s="938"/>
      <c r="AG143" s="938"/>
      <c r="AH143" s="938"/>
      <c r="AI143" s="938"/>
      <c r="AJ143" s="938"/>
      <c r="AK143" s="938"/>
      <c r="AL143" s="938"/>
      <c r="AM143" s="938"/>
      <c r="AN143" s="938"/>
      <c r="AO143" s="938"/>
      <c r="AP143" s="938"/>
      <c r="AQ143" s="938"/>
      <c r="AR143" s="938"/>
      <c r="AS143" s="938"/>
      <c r="AT143" s="938"/>
      <c r="AU143" s="938"/>
      <c r="AV143" s="938"/>
      <c r="AW143" s="938"/>
      <c r="AX143" s="938"/>
      <c r="AY143" s="938"/>
      <c r="AZ143" s="938"/>
      <c r="BA143" s="938"/>
      <c r="BB143" s="938"/>
      <c r="BC143" s="938"/>
      <c r="BD143" s="938"/>
      <c r="BE143" s="938"/>
      <c r="BF143" s="938"/>
      <c r="BG143" s="938"/>
      <c r="BH143" s="938"/>
      <c r="BI143" s="938"/>
      <c r="BJ143" s="938"/>
      <c r="BK143" s="938"/>
      <c r="BL143" s="938"/>
      <c r="BM143" s="938"/>
      <c r="BN143" s="938"/>
      <c r="BO143" s="938"/>
      <c r="BP143" s="938"/>
      <c r="BQ143" s="938"/>
      <c r="BR143" s="938"/>
      <c r="BS143" s="938"/>
      <c r="BT143" s="938"/>
    </row>
    <row r="144" spans="1:72" x14ac:dyDescent="0.25">
      <c r="A144" s="938" t="s">
        <v>609</v>
      </c>
      <c r="B144" s="938">
        <v>25.67</v>
      </c>
      <c r="C144" s="938">
        <v>29.35</v>
      </c>
      <c r="D144" s="938">
        <v>25.28</v>
      </c>
      <c r="E144" s="938">
        <v>24.73</v>
      </c>
      <c r="F144" s="938">
        <v>25.15</v>
      </c>
      <c r="G144" s="938">
        <v>26.73</v>
      </c>
      <c r="H144" s="938">
        <v>28.51</v>
      </c>
      <c r="I144" s="938">
        <v>30.06</v>
      </c>
      <c r="J144" s="938">
        <v>31.23</v>
      </c>
      <c r="K144" s="938">
        <v>32.520000000000003</v>
      </c>
      <c r="L144" s="938">
        <v>33.75</v>
      </c>
      <c r="M144" s="938">
        <v>35.06</v>
      </c>
      <c r="N144" s="938">
        <v>36.020000000000003</v>
      </c>
      <c r="O144" s="938">
        <v>37.020000000000003</v>
      </c>
      <c r="P144" s="938">
        <v>38.1</v>
      </c>
      <c r="Q144" s="938">
        <v>39.200000000000003</v>
      </c>
      <c r="R144" s="938">
        <v>40.409999999999997</v>
      </c>
      <c r="S144" s="938">
        <v>41.61</v>
      </c>
      <c r="T144" s="938">
        <v>42.82</v>
      </c>
      <c r="U144" s="938">
        <v>43.92</v>
      </c>
      <c r="V144" s="938">
        <v>45.24</v>
      </c>
      <c r="W144" s="938">
        <v>46.58</v>
      </c>
      <c r="X144" s="938">
        <v>48.12</v>
      </c>
      <c r="Y144" s="938">
        <v>49.52</v>
      </c>
      <c r="Z144" s="938">
        <v>51.18</v>
      </c>
      <c r="AA144" s="938">
        <v>52.85</v>
      </c>
      <c r="AB144" s="938">
        <v>54.62</v>
      </c>
      <c r="AC144" s="938">
        <v>56.39</v>
      </c>
      <c r="AD144" s="938">
        <v>58.23</v>
      </c>
      <c r="AE144" s="977">
        <v>2.5999999999999999E-2</v>
      </c>
      <c r="AF144" s="938"/>
      <c r="AG144" s="938"/>
      <c r="AH144" s="938"/>
      <c r="AI144" s="938"/>
      <c r="AJ144" s="938"/>
      <c r="AK144" s="938"/>
      <c r="AL144" s="938"/>
      <c r="AM144" s="938"/>
      <c r="AN144" s="938"/>
      <c r="AO144" s="938"/>
      <c r="AP144" s="938"/>
      <c r="AQ144" s="938"/>
      <c r="AR144" s="938"/>
      <c r="AS144" s="938"/>
      <c r="AT144" s="938"/>
      <c r="AU144" s="938"/>
      <c r="AV144" s="938"/>
      <c r="AW144" s="938"/>
      <c r="AX144" s="938"/>
      <c r="AY144" s="938"/>
      <c r="AZ144" s="938"/>
      <c r="BA144" s="938"/>
      <c r="BB144" s="938"/>
      <c r="BC144" s="938"/>
      <c r="BD144" s="938"/>
      <c r="BE144" s="938"/>
      <c r="BF144" s="938"/>
      <c r="BG144" s="938"/>
      <c r="BH144" s="938"/>
      <c r="BI144" s="938"/>
      <c r="BJ144" s="938"/>
      <c r="BK144" s="938"/>
      <c r="BL144" s="938"/>
      <c r="BM144" s="938"/>
      <c r="BN144" s="938"/>
      <c r="BO144" s="938"/>
      <c r="BP144" s="938"/>
      <c r="BQ144" s="938"/>
      <c r="BR144" s="938"/>
      <c r="BS144" s="938"/>
      <c r="BT144" s="938"/>
    </row>
    <row r="145" spans="1:72" x14ac:dyDescent="0.25">
      <c r="A145" s="938" t="s">
        <v>610</v>
      </c>
      <c r="B145" s="938">
        <v>19.86</v>
      </c>
      <c r="C145" s="938">
        <v>24.47</v>
      </c>
      <c r="D145" s="938">
        <v>18.260000000000002</v>
      </c>
      <c r="E145" s="938">
        <v>18.100000000000001</v>
      </c>
      <c r="F145" s="938">
        <v>18.489999999999998</v>
      </c>
      <c r="G145" s="938">
        <v>19.940000000000001</v>
      </c>
      <c r="H145" s="938">
        <v>21.4</v>
      </c>
      <c r="I145" s="938">
        <v>22.55</v>
      </c>
      <c r="J145" s="938">
        <v>23.49</v>
      </c>
      <c r="K145" s="938">
        <v>24.96</v>
      </c>
      <c r="L145" s="938">
        <v>26.17</v>
      </c>
      <c r="M145" s="938">
        <v>27.44</v>
      </c>
      <c r="N145" s="938">
        <v>28.46</v>
      </c>
      <c r="O145" s="938">
        <v>29.45</v>
      </c>
      <c r="P145" s="938">
        <v>30.25</v>
      </c>
      <c r="Q145" s="938">
        <v>31.17</v>
      </c>
      <c r="R145" s="938">
        <v>32.25</v>
      </c>
      <c r="S145" s="938">
        <v>33.17</v>
      </c>
      <c r="T145" s="938">
        <v>34.24</v>
      </c>
      <c r="U145" s="938">
        <v>35.33</v>
      </c>
      <c r="V145" s="938">
        <v>36.380000000000003</v>
      </c>
      <c r="W145" s="938">
        <v>37.630000000000003</v>
      </c>
      <c r="X145" s="938">
        <v>39.049999999999997</v>
      </c>
      <c r="Y145" s="938">
        <v>40.159999999999997</v>
      </c>
      <c r="Z145" s="938">
        <v>41.73</v>
      </c>
      <c r="AA145" s="938">
        <v>43.3</v>
      </c>
      <c r="AB145" s="938">
        <v>44.82</v>
      </c>
      <c r="AC145" s="938">
        <v>46.47</v>
      </c>
      <c r="AD145" s="938">
        <v>48.16</v>
      </c>
      <c r="AE145" s="977">
        <v>2.5000000000000001E-2</v>
      </c>
      <c r="AF145" s="938"/>
      <c r="AG145" s="938"/>
      <c r="AH145" s="938"/>
      <c r="AI145" s="938"/>
      <c r="AJ145" s="938"/>
      <c r="AK145" s="938"/>
      <c r="AL145" s="938"/>
      <c r="AM145" s="938"/>
      <c r="AN145" s="938"/>
      <c r="AO145" s="938"/>
      <c r="AP145" s="938"/>
      <c r="AQ145" s="938"/>
      <c r="AR145" s="938"/>
      <c r="AS145" s="938"/>
      <c r="AT145" s="938"/>
      <c r="AU145" s="938"/>
      <c r="AV145" s="938"/>
      <c r="AW145" s="938"/>
      <c r="AX145" s="938"/>
      <c r="AY145" s="938"/>
      <c r="AZ145" s="938"/>
      <c r="BA145" s="938"/>
      <c r="BB145" s="938"/>
      <c r="BC145" s="938"/>
      <c r="BD145" s="938"/>
      <c r="BE145" s="938"/>
      <c r="BF145" s="938"/>
      <c r="BG145" s="938"/>
      <c r="BH145" s="938"/>
      <c r="BI145" s="938"/>
      <c r="BJ145" s="938"/>
      <c r="BK145" s="938"/>
      <c r="BL145" s="938"/>
      <c r="BM145" s="938"/>
      <c r="BN145" s="938"/>
      <c r="BO145" s="938"/>
      <c r="BP145" s="938"/>
      <c r="BQ145" s="938"/>
      <c r="BR145" s="938"/>
      <c r="BS145" s="938"/>
      <c r="BT145" s="938"/>
    </row>
    <row r="146" spans="1:72" x14ac:dyDescent="0.25">
      <c r="A146" s="938" t="s">
        <v>510</v>
      </c>
      <c r="B146" s="938">
        <v>12.66</v>
      </c>
      <c r="C146" s="938">
        <v>13.48</v>
      </c>
      <c r="D146" s="938">
        <v>11.57</v>
      </c>
      <c r="E146" s="938">
        <v>11.22</v>
      </c>
      <c r="F146" s="938">
        <v>12.29</v>
      </c>
      <c r="G146" s="938">
        <v>12.56</v>
      </c>
      <c r="H146" s="938">
        <v>12.36</v>
      </c>
      <c r="I146" s="938">
        <v>12.51</v>
      </c>
      <c r="J146" s="938">
        <v>12.88</v>
      </c>
      <c r="K146" s="938">
        <v>13.22</v>
      </c>
      <c r="L146" s="938">
        <v>13.5</v>
      </c>
      <c r="M146" s="938">
        <v>13.83</v>
      </c>
      <c r="N146" s="938">
        <v>14.18</v>
      </c>
      <c r="O146" s="938">
        <v>14.61</v>
      </c>
      <c r="P146" s="938">
        <v>15.06</v>
      </c>
      <c r="Q146" s="938">
        <v>15.64</v>
      </c>
      <c r="R146" s="938">
        <v>16.010000000000002</v>
      </c>
      <c r="S146" s="938">
        <v>16.22</v>
      </c>
      <c r="T146" s="938">
        <v>16.68</v>
      </c>
      <c r="U146" s="938">
        <v>17.260000000000002</v>
      </c>
      <c r="V146" s="938">
        <v>17.91</v>
      </c>
      <c r="W146" s="938">
        <v>18.649999999999999</v>
      </c>
      <c r="X146" s="938">
        <v>19.440000000000001</v>
      </c>
      <c r="Y146" s="938">
        <v>20.29</v>
      </c>
      <c r="Z146" s="938">
        <v>21.26</v>
      </c>
      <c r="AA146" s="938">
        <v>21.98</v>
      </c>
      <c r="AB146" s="938">
        <v>22.61</v>
      </c>
      <c r="AC146" s="938">
        <v>23.44</v>
      </c>
      <c r="AD146" s="938">
        <v>24.2</v>
      </c>
      <c r="AE146" s="977">
        <v>2.1999999999999999E-2</v>
      </c>
      <c r="AF146" s="938"/>
      <c r="AG146" s="938"/>
      <c r="AH146" s="938"/>
      <c r="AI146" s="938"/>
      <c r="AJ146" s="938"/>
      <c r="AK146" s="938"/>
      <c r="AL146" s="938"/>
      <c r="AM146" s="938"/>
      <c r="AN146" s="938"/>
      <c r="AO146" s="938"/>
      <c r="AP146" s="938"/>
      <c r="AQ146" s="938"/>
      <c r="AR146" s="938"/>
      <c r="AS146" s="938"/>
      <c r="AT146" s="938"/>
      <c r="AU146" s="938"/>
      <c r="AV146" s="938"/>
      <c r="AW146" s="938"/>
      <c r="AX146" s="938"/>
      <c r="AY146" s="938"/>
      <c r="AZ146" s="938"/>
      <c r="BA146" s="938"/>
      <c r="BB146" s="938"/>
      <c r="BC146" s="938"/>
      <c r="BD146" s="938"/>
      <c r="BE146" s="938"/>
      <c r="BF146" s="938"/>
      <c r="BG146" s="938"/>
      <c r="BH146" s="938"/>
      <c r="BI146" s="938"/>
      <c r="BJ146" s="938"/>
      <c r="BK146" s="938"/>
      <c r="BL146" s="938"/>
      <c r="BM146" s="938"/>
      <c r="BN146" s="938"/>
      <c r="BO146" s="938"/>
      <c r="BP146" s="938"/>
      <c r="BQ146" s="938"/>
      <c r="BR146" s="938"/>
      <c r="BS146" s="938"/>
      <c r="BT146" s="938"/>
    </row>
    <row r="147" spans="1:72" x14ac:dyDescent="0.25">
      <c r="A147" s="938" t="s">
        <v>479</v>
      </c>
      <c r="B147" s="938">
        <v>31.12</v>
      </c>
      <c r="C147" s="938">
        <v>33.29</v>
      </c>
      <c r="D147" s="938">
        <v>32.83</v>
      </c>
      <c r="E147" s="938">
        <v>31.88</v>
      </c>
      <c r="F147" s="938">
        <v>31.21</v>
      </c>
      <c r="G147" s="938">
        <v>32.9</v>
      </c>
      <c r="H147" s="938">
        <v>33.9</v>
      </c>
      <c r="I147" s="938">
        <v>34.5</v>
      </c>
      <c r="J147" s="938">
        <v>35.020000000000003</v>
      </c>
      <c r="K147" s="938">
        <v>35.89</v>
      </c>
      <c r="L147" s="938">
        <v>36.74</v>
      </c>
      <c r="M147" s="938">
        <v>37.39</v>
      </c>
      <c r="N147" s="938">
        <v>37.97</v>
      </c>
      <c r="O147" s="938">
        <v>38.92</v>
      </c>
      <c r="P147" s="938">
        <v>39.950000000000003</v>
      </c>
      <c r="Q147" s="938">
        <v>40.92</v>
      </c>
      <c r="R147" s="938">
        <v>41.95</v>
      </c>
      <c r="S147" s="938">
        <v>42.94</v>
      </c>
      <c r="T147" s="938">
        <v>43.78</v>
      </c>
      <c r="U147" s="938">
        <v>44.88</v>
      </c>
      <c r="V147" s="938">
        <v>46.07</v>
      </c>
      <c r="W147" s="938">
        <v>47.3</v>
      </c>
      <c r="X147" s="938">
        <v>48.93</v>
      </c>
      <c r="Y147" s="938">
        <v>50.5</v>
      </c>
      <c r="Z147" s="938">
        <v>52.16</v>
      </c>
      <c r="AA147" s="938">
        <v>53.81</v>
      </c>
      <c r="AB147" s="938">
        <v>55.2</v>
      </c>
      <c r="AC147" s="938">
        <v>56.77</v>
      </c>
      <c r="AD147" s="938">
        <v>58.33</v>
      </c>
      <c r="AE147" s="977">
        <v>2.1000000000000001E-2</v>
      </c>
      <c r="AF147" s="938"/>
      <c r="AG147" s="938"/>
      <c r="AH147" s="938"/>
      <c r="AI147" s="938"/>
      <c r="AJ147" s="938"/>
      <c r="AK147" s="938"/>
      <c r="AL147" s="938"/>
      <c r="AM147" s="938"/>
      <c r="AN147" s="938"/>
      <c r="AO147" s="938"/>
      <c r="AP147" s="938"/>
      <c r="AQ147" s="938"/>
      <c r="AR147" s="938"/>
      <c r="AS147" s="938"/>
      <c r="AT147" s="938"/>
      <c r="AU147" s="938"/>
      <c r="AV147" s="938"/>
      <c r="AW147" s="938"/>
      <c r="AX147" s="938"/>
      <c r="AY147" s="938"/>
      <c r="AZ147" s="938"/>
      <c r="BA147" s="938"/>
      <c r="BB147" s="938"/>
      <c r="BC147" s="938"/>
      <c r="BD147" s="938"/>
      <c r="BE147" s="938"/>
      <c r="BF147" s="938"/>
      <c r="BG147" s="938"/>
      <c r="BH147" s="938"/>
      <c r="BI147" s="938"/>
      <c r="BJ147" s="938"/>
      <c r="BK147" s="938"/>
      <c r="BL147" s="938"/>
      <c r="BM147" s="938"/>
      <c r="BN147" s="938"/>
      <c r="BO147" s="938"/>
      <c r="BP147" s="938"/>
      <c r="BQ147" s="938"/>
      <c r="BR147" s="938"/>
      <c r="BS147" s="938"/>
      <c r="BT147" s="938"/>
    </row>
    <row r="148" spans="1:72" x14ac:dyDescent="0.25">
      <c r="A148" s="938"/>
      <c r="B148" s="938"/>
      <c r="C148" s="938"/>
      <c r="D148" s="938"/>
      <c r="E148" s="938"/>
      <c r="F148" s="938"/>
      <c r="G148" s="938"/>
      <c r="H148" s="938"/>
      <c r="I148" s="938"/>
      <c r="J148" s="938"/>
      <c r="K148" s="938"/>
      <c r="L148" s="938"/>
      <c r="M148" s="938"/>
      <c r="N148" s="938"/>
      <c r="O148" s="938"/>
      <c r="P148" s="938"/>
      <c r="Q148" s="938"/>
      <c r="R148" s="938"/>
      <c r="S148" s="938"/>
      <c r="T148" s="938"/>
      <c r="U148" s="938"/>
      <c r="V148" s="938"/>
      <c r="W148" s="938"/>
      <c r="X148" s="938"/>
      <c r="Y148" s="938"/>
      <c r="Z148" s="938"/>
      <c r="AA148" s="938"/>
      <c r="AB148" s="938"/>
      <c r="AC148" s="938"/>
      <c r="AD148" s="938"/>
      <c r="AE148" s="938"/>
      <c r="AF148" s="938"/>
      <c r="AG148" s="938"/>
      <c r="AH148" s="938"/>
      <c r="AI148" s="938"/>
      <c r="AJ148" s="938"/>
      <c r="AK148" s="938"/>
      <c r="AL148" s="938"/>
      <c r="AM148" s="938"/>
      <c r="AN148" s="938"/>
      <c r="AO148" s="938"/>
      <c r="AP148" s="938"/>
      <c r="AQ148" s="938"/>
      <c r="AR148" s="938"/>
      <c r="AS148" s="938"/>
      <c r="AT148" s="938"/>
      <c r="AU148" s="938"/>
      <c r="AV148" s="938"/>
      <c r="AW148" s="938"/>
      <c r="AX148" s="938"/>
      <c r="AY148" s="938"/>
      <c r="AZ148" s="938"/>
      <c r="BA148" s="938"/>
      <c r="BB148" s="938"/>
      <c r="BC148" s="938"/>
      <c r="BD148" s="938"/>
      <c r="BE148" s="938"/>
      <c r="BF148" s="938"/>
      <c r="BG148" s="938"/>
      <c r="BH148" s="938"/>
      <c r="BI148" s="938"/>
      <c r="BJ148" s="938"/>
      <c r="BK148" s="938"/>
      <c r="BL148" s="938"/>
      <c r="BM148" s="938"/>
      <c r="BN148" s="938"/>
      <c r="BO148" s="938"/>
      <c r="BP148" s="938"/>
      <c r="BQ148" s="938"/>
      <c r="BR148" s="938"/>
      <c r="BS148" s="938"/>
      <c r="BT148" s="938"/>
    </row>
    <row r="149" spans="1:72" x14ac:dyDescent="0.25">
      <c r="A149" s="938" t="s">
        <v>480</v>
      </c>
      <c r="B149" s="938"/>
      <c r="C149" s="938"/>
      <c r="D149" s="938"/>
      <c r="E149" s="938"/>
      <c r="F149" s="938"/>
      <c r="G149" s="938"/>
      <c r="H149" s="938"/>
      <c r="I149" s="938"/>
      <c r="J149" s="938"/>
      <c r="K149" s="938"/>
      <c r="L149" s="938"/>
      <c r="M149" s="938"/>
      <c r="N149" s="938"/>
      <c r="O149" s="938"/>
      <c r="P149" s="938"/>
      <c r="Q149" s="938"/>
      <c r="R149" s="938"/>
      <c r="S149" s="938"/>
      <c r="T149" s="938"/>
      <c r="U149" s="938"/>
      <c r="V149" s="938"/>
      <c r="W149" s="938"/>
      <c r="X149" s="938"/>
      <c r="Y149" s="938"/>
      <c r="Z149" s="938"/>
      <c r="AA149" s="938"/>
      <c r="AB149" s="938"/>
      <c r="AC149" s="938"/>
      <c r="AD149" s="938"/>
      <c r="AE149" s="938"/>
      <c r="AF149" s="938"/>
      <c r="AG149" s="938"/>
      <c r="AH149" s="938"/>
      <c r="AI149" s="938"/>
      <c r="AJ149" s="938"/>
      <c r="AK149" s="938"/>
      <c r="AL149" s="938"/>
      <c r="AM149" s="938"/>
      <c r="AN149" s="938"/>
      <c r="AO149" s="938"/>
      <c r="AP149" s="938"/>
      <c r="AQ149" s="938"/>
      <c r="AR149" s="938"/>
      <c r="AS149" s="938"/>
      <c r="AT149" s="938"/>
      <c r="AU149" s="938"/>
      <c r="AV149" s="938"/>
      <c r="AW149" s="938"/>
      <c r="AX149" s="938"/>
      <c r="AY149" s="938"/>
      <c r="AZ149" s="938"/>
      <c r="BA149" s="938"/>
      <c r="BB149" s="938"/>
      <c r="BC149" s="938"/>
      <c r="BD149" s="938"/>
      <c r="BE149" s="938"/>
      <c r="BF149" s="938"/>
      <c r="BG149" s="938"/>
      <c r="BH149" s="938"/>
      <c r="BI149" s="938"/>
      <c r="BJ149" s="938"/>
      <c r="BK149" s="938"/>
      <c r="BL149" s="938"/>
      <c r="BM149" s="938"/>
      <c r="BN149" s="938"/>
      <c r="BO149" s="938"/>
      <c r="BP149" s="938"/>
      <c r="BQ149" s="938"/>
      <c r="BR149" s="938"/>
      <c r="BS149" s="938"/>
      <c r="BT149" s="938"/>
    </row>
    <row r="150" spans="1:72" x14ac:dyDescent="0.25">
      <c r="A150" s="938" t="s">
        <v>609</v>
      </c>
      <c r="B150" s="938">
        <v>20.2</v>
      </c>
      <c r="C150" s="938">
        <v>26.15</v>
      </c>
      <c r="D150" s="938">
        <v>20.12</v>
      </c>
      <c r="E150" s="938">
        <v>21.4</v>
      </c>
      <c r="F150" s="938">
        <v>21.77</v>
      </c>
      <c r="G150" s="938">
        <v>23.3</v>
      </c>
      <c r="H150" s="938">
        <v>25.02</v>
      </c>
      <c r="I150" s="938">
        <v>26.51</v>
      </c>
      <c r="J150" s="938">
        <v>27.61</v>
      </c>
      <c r="K150" s="938">
        <v>28.83</v>
      </c>
      <c r="L150" s="938">
        <v>29.98</v>
      </c>
      <c r="M150" s="938">
        <v>31.22</v>
      </c>
      <c r="N150" s="938">
        <v>32.11</v>
      </c>
      <c r="O150" s="938">
        <v>33.020000000000003</v>
      </c>
      <c r="P150" s="938">
        <v>34.01</v>
      </c>
      <c r="Q150" s="938">
        <v>35.020000000000003</v>
      </c>
      <c r="R150" s="938">
        <v>36.130000000000003</v>
      </c>
      <c r="S150" s="938">
        <v>37.24</v>
      </c>
      <c r="T150" s="938">
        <v>38.35</v>
      </c>
      <c r="U150" s="938">
        <v>39.36</v>
      </c>
      <c r="V150" s="938">
        <v>40.57</v>
      </c>
      <c r="W150" s="938">
        <v>41.81</v>
      </c>
      <c r="X150" s="938">
        <v>43.24</v>
      </c>
      <c r="Y150" s="938">
        <v>44.53</v>
      </c>
      <c r="Z150" s="938">
        <v>46.07</v>
      </c>
      <c r="AA150" s="938">
        <v>47.62</v>
      </c>
      <c r="AB150" s="938">
        <v>49.27</v>
      </c>
      <c r="AC150" s="938">
        <v>50.92</v>
      </c>
      <c r="AD150" s="938">
        <v>52.64</v>
      </c>
      <c r="AE150" s="977">
        <v>2.5999999999999999E-2</v>
      </c>
      <c r="AF150" s="938"/>
      <c r="AG150" s="938"/>
      <c r="AH150" s="938"/>
      <c r="AI150" s="938"/>
      <c r="AJ150" s="938"/>
      <c r="AK150" s="938"/>
      <c r="AL150" s="938"/>
      <c r="AM150" s="938"/>
      <c r="AN150" s="938"/>
      <c r="AO150" s="938"/>
      <c r="AP150" s="938"/>
      <c r="AQ150" s="938"/>
      <c r="AR150" s="938"/>
      <c r="AS150" s="938"/>
      <c r="AT150" s="938"/>
      <c r="AU150" s="938"/>
      <c r="AV150" s="938"/>
      <c r="AW150" s="938"/>
      <c r="AX150" s="938"/>
      <c r="AY150" s="938"/>
      <c r="AZ150" s="938"/>
      <c r="BA150" s="938"/>
      <c r="BB150" s="938"/>
      <c r="BC150" s="938"/>
      <c r="BD150" s="938"/>
      <c r="BE150" s="938"/>
      <c r="BF150" s="938"/>
      <c r="BG150" s="938"/>
      <c r="BH150" s="938"/>
      <c r="BI150" s="938"/>
      <c r="BJ150" s="938"/>
      <c r="BK150" s="938"/>
      <c r="BL150" s="938"/>
      <c r="BM150" s="938"/>
      <c r="BN150" s="938"/>
      <c r="BO150" s="938"/>
      <c r="BP150" s="938"/>
      <c r="BQ150" s="938"/>
      <c r="BR150" s="938"/>
      <c r="BS150" s="938"/>
      <c r="BT150" s="938"/>
    </row>
    <row r="151" spans="1:72" x14ac:dyDescent="0.25">
      <c r="A151" s="938" t="s">
        <v>610</v>
      </c>
      <c r="B151" s="938">
        <v>17.100000000000001</v>
      </c>
      <c r="C151" s="938">
        <v>21.5</v>
      </c>
      <c r="D151" s="938">
        <v>16.04</v>
      </c>
      <c r="E151" s="938">
        <v>15.27</v>
      </c>
      <c r="F151" s="938">
        <v>15.91</v>
      </c>
      <c r="G151" s="938">
        <v>17.34</v>
      </c>
      <c r="H151" s="938">
        <v>18.739999999999998</v>
      </c>
      <c r="I151" s="938">
        <v>19.850000000000001</v>
      </c>
      <c r="J151" s="938">
        <v>20.86</v>
      </c>
      <c r="K151" s="938">
        <v>22.18</v>
      </c>
      <c r="L151" s="938">
        <v>23.33</v>
      </c>
      <c r="M151" s="938">
        <v>24.52</v>
      </c>
      <c r="N151" s="938">
        <v>25.47</v>
      </c>
      <c r="O151" s="938">
        <v>26.39</v>
      </c>
      <c r="P151" s="938">
        <v>27.18</v>
      </c>
      <c r="Q151" s="938">
        <v>28.11</v>
      </c>
      <c r="R151" s="938">
        <v>29.04</v>
      </c>
      <c r="S151" s="938">
        <v>29.83</v>
      </c>
      <c r="T151" s="938">
        <v>30.83</v>
      </c>
      <c r="U151" s="938">
        <v>31.82</v>
      </c>
      <c r="V151" s="938">
        <v>32.83</v>
      </c>
      <c r="W151" s="938">
        <v>34.01</v>
      </c>
      <c r="X151" s="938">
        <v>35.340000000000003</v>
      </c>
      <c r="Y151" s="938">
        <v>36.380000000000003</v>
      </c>
      <c r="Z151" s="938">
        <v>37.86</v>
      </c>
      <c r="AA151" s="938">
        <v>39.340000000000003</v>
      </c>
      <c r="AB151" s="938">
        <v>40.74</v>
      </c>
      <c r="AC151" s="938">
        <v>42.29</v>
      </c>
      <c r="AD151" s="938">
        <v>43.92</v>
      </c>
      <c r="AE151" s="977">
        <v>2.7E-2</v>
      </c>
      <c r="AF151" s="938"/>
      <c r="AG151" s="938"/>
      <c r="AH151" s="938"/>
      <c r="AI151" s="938"/>
      <c r="AJ151" s="938"/>
      <c r="AK151" s="938"/>
      <c r="AL151" s="938"/>
      <c r="AM151" s="938"/>
      <c r="AN151" s="938"/>
      <c r="AO151" s="938"/>
      <c r="AP151" s="938"/>
      <c r="AQ151" s="938"/>
      <c r="AR151" s="938"/>
      <c r="AS151" s="938"/>
      <c r="AT151" s="938"/>
      <c r="AU151" s="938"/>
      <c r="AV151" s="938"/>
      <c r="AW151" s="938"/>
      <c r="AX151" s="938"/>
      <c r="AY151" s="938"/>
      <c r="AZ151" s="938"/>
      <c r="BA151" s="938"/>
      <c r="BB151" s="938"/>
      <c r="BC151" s="938"/>
      <c r="BD151" s="938"/>
      <c r="BE151" s="938"/>
      <c r="BF151" s="938"/>
      <c r="BG151" s="938"/>
      <c r="BH151" s="938"/>
      <c r="BI151" s="938"/>
      <c r="BJ151" s="938"/>
      <c r="BK151" s="938"/>
      <c r="BL151" s="938"/>
      <c r="BM151" s="938"/>
      <c r="BN151" s="938"/>
      <c r="BO151" s="938"/>
      <c r="BP151" s="938"/>
      <c r="BQ151" s="938"/>
      <c r="BR151" s="938"/>
      <c r="BS151" s="938"/>
      <c r="BT151" s="938"/>
    </row>
    <row r="152" spans="1:72" x14ac:dyDescent="0.25">
      <c r="A152" s="938" t="s">
        <v>723</v>
      </c>
      <c r="B152" s="938">
        <v>8.2100000000000009</v>
      </c>
      <c r="C152" s="938">
        <v>15.52</v>
      </c>
      <c r="D152" s="938">
        <v>9.41</v>
      </c>
      <c r="E152" s="938">
        <v>9.74</v>
      </c>
      <c r="F152" s="938">
        <v>10.050000000000001</v>
      </c>
      <c r="G152" s="938">
        <v>11.48</v>
      </c>
      <c r="H152" s="938">
        <v>12.9</v>
      </c>
      <c r="I152" s="938">
        <v>13.98</v>
      </c>
      <c r="J152" s="938">
        <v>14.63</v>
      </c>
      <c r="K152" s="938">
        <v>15.52</v>
      </c>
      <c r="L152" s="938">
        <v>16.37</v>
      </c>
      <c r="M152" s="938">
        <v>17.29</v>
      </c>
      <c r="N152" s="938">
        <v>18.29</v>
      </c>
      <c r="O152" s="938">
        <v>18.899999999999999</v>
      </c>
      <c r="P152" s="938">
        <v>19.57</v>
      </c>
      <c r="Q152" s="938">
        <v>20.27</v>
      </c>
      <c r="R152" s="938">
        <v>21.01</v>
      </c>
      <c r="S152" s="938">
        <v>21.73</v>
      </c>
      <c r="T152" s="938">
        <v>22.45</v>
      </c>
      <c r="U152" s="938">
        <v>23.04</v>
      </c>
      <c r="V152" s="938">
        <v>23.8</v>
      </c>
      <c r="W152" s="938">
        <v>24.66</v>
      </c>
      <c r="X152" s="938">
        <v>25.52</v>
      </c>
      <c r="Y152" s="938">
        <v>26.47</v>
      </c>
      <c r="Z152" s="938">
        <v>27.6</v>
      </c>
      <c r="AA152" s="938">
        <v>28.58</v>
      </c>
      <c r="AB152" s="938">
        <v>29.4</v>
      </c>
      <c r="AC152" s="938">
        <v>30.75</v>
      </c>
      <c r="AD152" s="938">
        <v>31.66</v>
      </c>
      <c r="AE152" s="977">
        <v>2.7E-2</v>
      </c>
      <c r="AF152" s="938"/>
      <c r="AG152" s="938"/>
      <c r="AH152" s="938"/>
      <c r="AI152" s="938"/>
      <c r="AJ152" s="938"/>
      <c r="AK152" s="938"/>
      <c r="AL152" s="938"/>
      <c r="AM152" s="938"/>
      <c r="AN152" s="938"/>
      <c r="AO152" s="938"/>
      <c r="AP152" s="938"/>
      <c r="AQ152" s="938"/>
      <c r="AR152" s="938"/>
      <c r="AS152" s="938"/>
      <c r="AT152" s="938"/>
      <c r="AU152" s="938"/>
      <c r="AV152" s="938"/>
      <c r="AW152" s="938"/>
      <c r="AX152" s="938"/>
      <c r="AY152" s="938"/>
      <c r="AZ152" s="938"/>
      <c r="BA152" s="938"/>
      <c r="BB152" s="938"/>
      <c r="BC152" s="938"/>
      <c r="BD152" s="938"/>
      <c r="BE152" s="938"/>
      <c r="BF152" s="938"/>
      <c r="BG152" s="938"/>
      <c r="BH152" s="938"/>
      <c r="BI152" s="938"/>
      <c r="BJ152" s="938"/>
      <c r="BK152" s="938"/>
      <c r="BL152" s="938"/>
      <c r="BM152" s="938"/>
      <c r="BN152" s="938"/>
      <c r="BO152" s="938"/>
      <c r="BP152" s="938"/>
      <c r="BQ152" s="938"/>
      <c r="BR152" s="938"/>
      <c r="BS152" s="938"/>
      <c r="BT152" s="938"/>
    </row>
    <row r="153" spans="1:72" x14ac:dyDescent="0.25">
      <c r="A153" s="938" t="s">
        <v>510</v>
      </c>
      <c r="B153" s="938">
        <v>10.96</v>
      </c>
      <c r="C153" s="938">
        <v>11.94</v>
      </c>
      <c r="D153" s="938">
        <v>9.18</v>
      </c>
      <c r="E153" s="938">
        <v>8.93</v>
      </c>
      <c r="F153" s="938">
        <v>10.15</v>
      </c>
      <c r="G153" s="938">
        <v>10.65</v>
      </c>
      <c r="H153" s="938">
        <v>10.68</v>
      </c>
      <c r="I153" s="938">
        <v>10.8</v>
      </c>
      <c r="J153" s="938">
        <v>11.14</v>
      </c>
      <c r="K153" s="938">
        <v>11.44</v>
      </c>
      <c r="L153" s="938">
        <v>11.67</v>
      </c>
      <c r="M153" s="938">
        <v>11.96</v>
      </c>
      <c r="N153" s="938">
        <v>12.27</v>
      </c>
      <c r="O153" s="938">
        <v>12.65</v>
      </c>
      <c r="P153" s="938">
        <v>13.05</v>
      </c>
      <c r="Q153" s="938">
        <v>13.58</v>
      </c>
      <c r="R153" s="938">
        <v>13.92</v>
      </c>
      <c r="S153" s="938">
        <v>14.13</v>
      </c>
      <c r="T153" s="938">
        <v>14.53</v>
      </c>
      <c r="U153" s="938">
        <v>15.05</v>
      </c>
      <c r="V153" s="938">
        <v>15.62</v>
      </c>
      <c r="W153" s="938">
        <v>16.3</v>
      </c>
      <c r="X153" s="938">
        <v>17.010000000000002</v>
      </c>
      <c r="Y153" s="938">
        <v>17.78</v>
      </c>
      <c r="Z153" s="938">
        <v>18.690000000000001</v>
      </c>
      <c r="AA153" s="938">
        <v>19.329999999999998</v>
      </c>
      <c r="AB153" s="938">
        <v>19.86</v>
      </c>
      <c r="AC153" s="938">
        <v>20.61</v>
      </c>
      <c r="AD153" s="938">
        <v>21.27</v>
      </c>
      <c r="AE153" s="977">
        <v>2.1999999999999999E-2</v>
      </c>
      <c r="AF153" s="938"/>
      <c r="AG153" s="938"/>
      <c r="AH153" s="938"/>
      <c r="AI153" s="938"/>
      <c r="AJ153" s="938"/>
      <c r="AK153" s="938"/>
      <c r="AL153" s="938"/>
      <c r="AM153" s="938"/>
      <c r="AN153" s="938"/>
      <c r="AO153" s="938"/>
      <c r="AP153" s="938"/>
      <c r="AQ153" s="938"/>
      <c r="AR153" s="938"/>
      <c r="AS153" s="938"/>
      <c r="AT153" s="938"/>
      <c r="AU153" s="938"/>
      <c r="AV153" s="938"/>
      <c r="AW153" s="938"/>
      <c r="AX153" s="938"/>
      <c r="AY153" s="938"/>
      <c r="AZ153" s="938"/>
      <c r="BA153" s="938"/>
      <c r="BB153" s="938"/>
      <c r="BC153" s="938"/>
      <c r="BD153" s="938"/>
      <c r="BE153" s="938"/>
      <c r="BF153" s="938"/>
      <c r="BG153" s="938"/>
      <c r="BH153" s="938"/>
      <c r="BI153" s="938"/>
      <c r="BJ153" s="938"/>
      <c r="BK153" s="938"/>
      <c r="BL153" s="938"/>
      <c r="BM153" s="938"/>
      <c r="BN153" s="938"/>
      <c r="BO153" s="938"/>
      <c r="BP153" s="938"/>
      <c r="BQ153" s="938"/>
      <c r="BR153" s="938"/>
      <c r="BS153" s="938"/>
      <c r="BT153" s="938"/>
    </row>
    <row r="154" spans="1:72" x14ac:dyDescent="0.25">
      <c r="A154" s="938" t="s">
        <v>479</v>
      </c>
      <c r="B154" s="938">
        <v>28.18</v>
      </c>
      <c r="C154" s="938">
        <v>30.47</v>
      </c>
      <c r="D154" s="938">
        <v>29.38</v>
      </c>
      <c r="E154" s="938">
        <v>28.19</v>
      </c>
      <c r="F154" s="938">
        <v>26.85</v>
      </c>
      <c r="G154" s="938">
        <v>28.28</v>
      </c>
      <c r="H154" s="938">
        <v>28.88</v>
      </c>
      <c r="I154" s="938">
        <v>29.09</v>
      </c>
      <c r="J154" s="938">
        <v>29.58</v>
      </c>
      <c r="K154" s="938">
        <v>30.41</v>
      </c>
      <c r="L154" s="938">
        <v>31.16</v>
      </c>
      <c r="M154" s="938">
        <v>31.75</v>
      </c>
      <c r="N154" s="938">
        <v>32.270000000000003</v>
      </c>
      <c r="O154" s="938">
        <v>33.15</v>
      </c>
      <c r="P154" s="938">
        <v>34.090000000000003</v>
      </c>
      <c r="Q154" s="938">
        <v>34.97</v>
      </c>
      <c r="R154" s="938">
        <v>35.99</v>
      </c>
      <c r="S154" s="938">
        <v>36.94</v>
      </c>
      <c r="T154" s="938">
        <v>37.619999999999997</v>
      </c>
      <c r="U154" s="938">
        <v>38.61</v>
      </c>
      <c r="V154" s="938">
        <v>39.68</v>
      </c>
      <c r="W154" s="938">
        <v>40.82</v>
      </c>
      <c r="X154" s="938">
        <v>42.33</v>
      </c>
      <c r="Y154" s="938">
        <v>43.75</v>
      </c>
      <c r="Z154" s="938">
        <v>45.32</v>
      </c>
      <c r="AA154" s="938">
        <v>46.89</v>
      </c>
      <c r="AB154" s="938">
        <v>48.18</v>
      </c>
      <c r="AC154" s="938">
        <v>49.63</v>
      </c>
      <c r="AD154" s="938">
        <v>51.04</v>
      </c>
      <c r="AE154" s="977">
        <v>1.9E-2</v>
      </c>
      <c r="AF154" s="938"/>
      <c r="AG154" s="938"/>
      <c r="AH154" s="938"/>
      <c r="AI154" s="938"/>
      <c r="AJ154" s="938"/>
      <c r="AK154" s="938"/>
      <c r="AL154" s="938"/>
      <c r="AM154" s="938"/>
      <c r="AN154" s="938"/>
      <c r="AO154" s="938"/>
      <c r="AP154" s="938"/>
      <c r="AQ154" s="938"/>
      <c r="AR154" s="938"/>
      <c r="AS154" s="938"/>
      <c r="AT154" s="938"/>
      <c r="AU154" s="938"/>
      <c r="AV154" s="938"/>
      <c r="AW154" s="938"/>
      <c r="AX154" s="938"/>
      <c r="AY154" s="938"/>
      <c r="AZ154" s="938"/>
      <c r="BA154" s="938"/>
      <c r="BB154" s="938"/>
      <c r="BC154" s="938"/>
      <c r="BD154" s="938"/>
      <c r="BE154" s="938"/>
      <c r="BF154" s="938"/>
      <c r="BG154" s="938"/>
      <c r="BH154" s="938"/>
      <c r="BI154" s="938"/>
      <c r="BJ154" s="938"/>
      <c r="BK154" s="938"/>
      <c r="BL154" s="938"/>
      <c r="BM154" s="938"/>
      <c r="BN154" s="938"/>
      <c r="BO154" s="938"/>
      <c r="BP154" s="938"/>
      <c r="BQ154" s="938"/>
      <c r="BR154" s="938"/>
      <c r="BS154" s="938"/>
      <c r="BT154" s="938"/>
    </row>
    <row r="155" spans="1:72" x14ac:dyDescent="0.25">
      <c r="A155" s="938"/>
      <c r="B155" s="938"/>
      <c r="C155" s="938"/>
      <c r="D155" s="938"/>
      <c r="E155" s="938"/>
      <c r="F155" s="938"/>
      <c r="G155" s="938"/>
      <c r="H155" s="938"/>
      <c r="I155" s="938"/>
      <c r="J155" s="938"/>
      <c r="K155" s="938"/>
      <c r="L155" s="938"/>
      <c r="M155" s="938"/>
      <c r="N155" s="938"/>
      <c r="O155" s="938"/>
      <c r="P155" s="938"/>
      <c r="Q155" s="938"/>
      <c r="R155" s="938"/>
      <c r="S155" s="938"/>
      <c r="T155" s="938"/>
      <c r="U155" s="938"/>
      <c r="V155" s="938"/>
      <c r="W155" s="938"/>
      <c r="X155" s="938"/>
      <c r="Y155" s="938"/>
      <c r="Z155" s="938"/>
      <c r="AA155" s="938"/>
      <c r="AB155" s="938"/>
      <c r="AC155" s="938"/>
      <c r="AD155" s="938"/>
      <c r="AE155" s="938"/>
      <c r="AF155" s="938"/>
      <c r="AG155" s="938"/>
      <c r="AH155" s="938"/>
      <c r="AI155" s="938"/>
      <c r="AJ155" s="938"/>
      <c r="AK155" s="938"/>
      <c r="AL155" s="938"/>
      <c r="AM155" s="938"/>
      <c r="AN155" s="938"/>
      <c r="AO155" s="938"/>
      <c r="AP155" s="938"/>
      <c r="AQ155" s="938"/>
      <c r="AR155" s="938"/>
      <c r="AS155" s="938"/>
      <c r="AT155" s="938"/>
      <c r="AU155" s="938"/>
      <c r="AV155" s="938"/>
      <c r="AW155" s="938"/>
      <c r="AX155" s="938"/>
      <c r="AY155" s="938"/>
      <c r="AZ155" s="938"/>
      <c r="BA155" s="938"/>
      <c r="BB155" s="938"/>
      <c r="BC155" s="938"/>
      <c r="BD155" s="938"/>
      <c r="BE155" s="938"/>
      <c r="BF155" s="938"/>
      <c r="BG155" s="938"/>
      <c r="BH155" s="938"/>
      <c r="BI155" s="938"/>
      <c r="BJ155" s="938"/>
      <c r="BK155" s="938"/>
      <c r="BL155" s="938"/>
      <c r="BM155" s="938"/>
      <c r="BN155" s="938"/>
      <c r="BO155" s="938"/>
      <c r="BP155" s="938"/>
      <c r="BQ155" s="938"/>
      <c r="BR155" s="938"/>
      <c r="BS155" s="938"/>
      <c r="BT155" s="938"/>
    </row>
    <row r="156" spans="1:72" x14ac:dyDescent="0.25">
      <c r="A156" s="938" t="s">
        <v>612</v>
      </c>
      <c r="B156" s="938"/>
      <c r="C156" s="938"/>
      <c r="D156" s="938"/>
      <c r="E156" s="938"/>
      <c r="F156" s="938"/>
      <c r="G156" s="938"/>
      <c r="H156" s="938"/>
      <c r="I156" s="938"/>
      <c r="J156" s="938"/>
      <c r="K156" s="938"/>
      <c r="L156" s="938"/>
      <c r="M156" s="938"/>
      <c r="N156" s="938"/>
      <c r="O156" s="938"/>
      <c r="P156" s="938"/>
      <c r="Q156" s="938"/>
      <c r="R156" s="938"/>
      <c r="S156" s="938"/>
      <c r="T156" s="938"/>
      <c r="U156" s="938"/>
      <c r="V156" s="938"/>
      <c r="W156" s="938"/>
      <c r="X156" s="938"/>
      <c r="Y156" s="938"/>
      <c r="Z156" s="938"/>
      <c r="AA156" s="938"/>
      <c r="AB156" s="938"/>
      <c r="AC156" s="938"/>
      <c r="AD156" s="938"/>
      <c r="AE156" s="938"/>
      <c r="AF156" s="938"/>
      <c r="AG156" s="938"/>
      <c r="AH156" s="938"/>
      <c r="AI156" s="938"/>
      <c r="AJ156" s="938"/>
      <c r="AK156" s="938"/>
      <c r="AL156" s="938"/>
      <c r="AM156" s="938"/>
      <c r="AN156" s="938"/>
      <c r="AO156" s="938"/>
      <c r="AP156" s="938"/>
      <c r="AQ156" s="938"/>
      <c r="AR156" s="938"/>
      <c r="AS156" s="938"/>
      <c r="AT156" s="938"/>
      <c r="AU156" s="938"/>
      <c r="AV156" s="938"/>
      <c r="AW156" s="938"/>
      <c r="AX156" s="938"/>
      <c r="AY156" s="938"/>
      <c r="AZ156" s="938"/>
      <c r="BA156" s="938"/>
      <c r="BB156" s="938"/>
      <c r="BC156" s="938"/>
      <c r="BD156" s="938"/>
      <c r="BE156" s="938"/>
      <c r="BF156" s="938"/>
      <c r="BG156" s="938"/>
      <c r="BH156" s="938"/>
      <c r="BI156" s="938"/>
      <c r="BJ156" s="938"/>
      <c r="BK156" s="938"/>
      <c r="BL156" s="938"/>
      <c r="BM156" s="938"/>
      <c r="BN156" s="938"/>
      <c r="BO156" s="938"/>
      <c r="BP156" s="938"/>
      <c r="BQ156" s="938"/>
      <c r="BR156" s="938"/>
      <c r="BS156" s="938"/>
      <c r="BT156" s="938"/>
    </row>
    <row r="157" spans="1:72" x14ac:dyDescent="0.25">
      <c r="A157" s="938" t="s">
        <v>609</v>
      </c>
      <c r="B157" s="938">
        <v>21.53</v>
      </c>
      <c r="C157" s="938">
        <v>24.2</v>
      </c>
      <c r="D157" s="938">
        <v>18.920000000000002</v>
      </c>
      <c r="E157" s="938">
        <v>18.920000000000002</v>
      </c>
      <c r="F157" s="938">
        <v>19.260000000000002</v>
      </c>
      <c r="G157" s="938">
        <v>20.76</v>
      </c>
      <c r="H157" s="938">
        <v>22.51</v>
      </c>
      <c r="I157" s="938">
        <v>24</v>
      </c>
      <c r="J157" s="938">
        <v>25.06</v>
      </c>
      <c r="K157" s="938">
        <v>26.38</v>
      </c>
      <c r="L157" s="938">
        <v>27.45</v>
      </c>
      <c r="M157" s="938">
        <v>28.6</v>
      </c>
      <c r="N157" s="938">
        <v>29.51</v>
      </c>
      <c r="O157" s="938">
        <v>30.38</v>
      </c>
      <c r="P157" s="938">
        <v>31.31</v>
      </c>
      <c r="Q157" s="938">
        <v>32.270000000000003</v>
      </c>
      <c r="R157" s="938">
        <v>33.340000000000003</v>
      </c>
      <c r="S157" s="938">
        <v>34.39</v>
      </c>
      <c r="T157" s="938">
        <v>35.450000000000003</v>
      </c>
      <c r="U157" s="938">
        <v>36.4</v>
      </c>
      <c r="V157" s="938">
        <v>37.549999999999997</v>
      </c>
      <c r="W157" s="938">
        <v>38.729999999999997</v>
      </c>
      <c r="X157" s="938">
        <v>40.1</v>
      </c>
      <c r="Y157" s="938">
        <v>41.33</v>
      </c>
      <c r="Z157" s="938">
        <v>42.81</v>
      </c>
      <c r="AA157" s="938">
        <v>44.29</v>
      </c>
      <c r="AB157" s="938">
        <v>45.9</v>
      </c>
      <c r="AC157" s="938">
        <v>47.5</v>
      </c>
      <c r="AD157" s="938">
        <v>49.15</v>
      </c>
      <c r="AE157" s="977">
        <v>2.7E-2</v>
      </c>
      <c r="AF157" s="938"/>
      <c r="AG157" s="938"/>
      <c r="AH157" s="938"/>
      <c r="AI157" s="938"/>
      <c r="AJ157" s="938"/>
      <c r="AK157" s="938"/>
      <c r="AL157" s="938"/>
      <c r="AM157" s="938"/>
      <c r="AN157" s="938"/>
      <c r="AO157" s="938"/>
      <c r="AP157" s="938"/>
      <c r="AQ157" s="938"/>
      <c r="AR157" s="938"/>
      <c r="AS157" s="938"/>
      <c r="AT157" s="938"/>
      <c r="AU157" s="938"/>
      <c r="AV157" s="938"/>
      <c r="AW157" s="938"/>
      <c r="AX157" s="938"/>
      <c r="AY157" s="938"/>
      <c r="AZ157" s="938"/>
      <c r="BA157" s="938"/>
      <c r="BB157" s="938"/>
      <c r="BC157" s="938"/>
      <c r="BD157" s="938"/>
      <c r="BE157" s="938"/>
      <c r="BF157" s="938"/>
      <c r="BG157" s="938"/>
      <c r="BH157" s="938"/>
      <c r="BI157" s="938"/>
      <c r="BJ157" s="938"/>
      <c r="BK157" s="938"/>
      <c r="BL157" s="938"/>
      <c r="BM157" s="938"/>
      <c r="BN157" s="938"/>
      <c r="BO157" s="938"/>
      <c r="BP157" s="938"/>
      <c r="BQ157" s="938"/>
      <c r="BR157" s="938"/>
      <c r="BS157" s="938"/>
      <c r="BT157" s="938"/>
    </row>
    <row r="158" spans="1:72" x14ac:dyDescent="0.25">
      <c r="A158" s="938" t="s">
        <v>610</v>
      </c>
      <c r="B158" s="938">
        <v>17.68</v>
      </c>
      <c r="C158" s="938">
        <v>22.31</v>
      </c>
      <c r="D158" s="938">
        <v>16.649999999999999</v>
      </c>
      <c r="E158" s="938">
        <v>14.82</v>
      </c>
      <c r="F158" s="938">
        <v>16.05</v>
      </c>
      <c r="G158" s="938">
        <v>17.52</v>
      </c>
      <c r="H158" s="938">
        <v>18.95</v>
      </c>
      <c r="I158" s="938">
        <v>20.07</v>
      </c>
      <c r="J158" s="938">
        <v>21.18</v>
      </c>
      <c r="K158" s="938">
        <v>22.46</v>
      </c>
      <c r="L158" s="938">
        <v>23.62</v>
      </c>
      <c r="M158" s="938">
        <v>24.81</v>
      </c>
      <c r="N158" s="938">
        <v>25.76</v>
      </c>
      <c r="O158" s="938">
        <v>26.68</v>
      </c>
      <c r="P158" s="938">
        <v>27.5</v>
      </c>
      <c r="Q158" s="938">
        <v>28.52</v>
      </c>
      <c r="R158" s="938">
        <v>29.39</v>
      </c>
      <c r="S158" s="938">
        <v>30.15</v>
      </c>
      <c r="T158" s="938">
        <v>31.18</v>
      </c>
      <c r="U158" s="938">
        <v>32.159999999999997</v>
      </c>
      <c r="V158" s="938">
        <v>33.21</v>
      </c>
      <c r="W158" s="938">
        <v>34.409999999999997</v>
      </c>
      <c r="X158" s="938">
        <v>35.770000000000003</v>
      </c>
      <c r="Y158" s="938">
        <v>36.83</v>
      </c>
      <c r="Z158" s="938">
        <v>38.33</v>
      </c>
      <c r="AA158" s="938">
        <v>39.83</v>
      </c>
      <c r="AB158" s="938">
        <v>41.25</v>
      </c>
      <c r="AC158" s="938">
        <v>42.82</v>
      </c>
      <c r="AD158" s="938">
        <v>44.51</v>
      </c>
      <c r="AE158" s="977">
        <v>2.5999999999999999E-2</v>
      </c>
      <c r="AF158" s="938"/>
      <c r="AG158" s="938"/>
      <c r="AH158" s="938"/>
      <c r="AI158" s="938"/>
      <c r="AJ158" s="938"/>
      <c r="AK158" s="938"/>
      <c r="AL158" s="938"/>
      <c r="AM158" s="938"/>
      <c r="AN158" s="938"/>
      <c r="AO158" s="938"/>
      <c r="AP158" s="938"/>
      <c r="AQ158" s="938"/>
      <c r="AR158" s="938"/>
      <c r="AS158" s="938"/>
      <c r="AT158" s="938"/>
      <c r="AU158" s="938"/>
      <c r="AV158" s="938"/>
      <c r="AW158" s="938"/>
      <c r="AX158" s="938"/>
      <c r="AY158" s="938"/>
      <c r="AZ158" s="938"/>
      <c r="BA158" s="938"/>
      <c r="BB158" s="938"/>
      <c r="BC158" s="938"/>
      <c r="BD158" s="938"/>
      <c r="BE158" s="938"/>
      <c r="BF158" s="938"/>
      <c r="BG158" s="938"/>
      <c r="BH158" s="938"/>
      <c r="BI158" s="938"/>
      <c r="BJ158" s="938"/>
      <c r="BK158" s="938"/>
      <c r="BL158" s="938"/>
      <c r="BM158" s="938"/>
      <c r="BN158" s="938"/>
      <c r="BO158" s="938"/>
      <c r="BP158" s="938"/>
      <c r="BQ158" s="938"/>
      <c r="BR158" s="938"/>
      <c r="BS158" s="938"/>
      <c r="BT158" s="938"/>
    </row>
    <row r="159" spans="1:72" x14ac:dyDescent="0.25">
      <c r="A159" s="938" t="s">
        <v>611</v>
      </c>
      <c r="B159" s="938">
        <v>8.65</v>
      </c>
      <c r="C159" s="938">
        <v>16.309999999999999</v>
      </c>
      <c r="D159" s="938">
        <v>9.89</v>
      </c>
      <c r="E159" s="938">
        <v>13.52</v>
      </c>
      <c r="F159" s="938">
        <v>13.82</v>
      </c>
      <c r="G159" s="938">
        <v>15.16</v>
      </c>
      <c r="H159" s="938">
        <v>16.489999999999998</v>
      </c>
      <c r="I159" s="938">
        <v>17.62</v>
      </c>
      <c r="J159" s="938">
        <v>18.350000000000001</v>
      </c>
      <c r="K159" s="938">
        <v>19.239999999999998</v>
      </c>
      <c r="L159" s="938">
        <v>20.059999999999999</v>
      </c>
      <c r="M159" s="938">
        <v>20.97</v>
      </c>
      <c r="N159" s="938">
        <v>21.68</v>
      </c>
      <c r="O159" s="938">
        <v>22.24</v>
      </c>
      <c r="P159" s="938">
        <v>23</v>
      </c>
      <c r="Q159" s="938">
        <v>23.74</v>
      </c>
      <c r="R159" s="938">
        <v>24.52</v>
      </c>
      <c r="S159" s="938">
        <v>25.31</v>
      </c>
      <c r="T159" s="938">
        <v>26.1</v>
      </c>
      <c r="U159" s="938">
        <v>26.74</v>
      </c>
      <c r="V159" s="938">
        <v>27.57</v>
      </c>
      <c r="W159" s="938">
        <v>28.51</v>
      </c>
      <c r="X159" s="938">
        <v>29.51</v>
      </c>
      <c r="Y159" s="938">
        <v>30.6</v>
      </c>
      <c r="Z159" s="938">
        <v>31.8</v>
      </c>
      <c r="AA159" s="938">
        <v>32.92</v>
      </c>
      <c r="AB159" s="938">
        <v>34.03</v>
      </c>
      <c r="AC159" s="938">
        <v>35.29</v>
      </c>
      <c r="AD159" s="938">
        <v>36.5</v>
      </c>
      <c r="AE159" s="977">
        <v>0.03</v>
      </c>
      <c r="AF159" s="938"/>
      <c r="AG159" s="938"/>
      <c r="AH159" s="938"/>
      <c r="AI159" s="938"/>
      <c r="AJ159" s="938"/>
      <c r="AK159" s="938"/>
      <c r="AL159" s="938"/>
      <c r="AM159" s="938"/>
      <c r="AN159" s="938"/>
      <c r="AO159" s="938"/>
      <c r="AP159" s="938"/>
      <c r="AQ159" s="938"/>
      <c r="AR159" s="938"/>
      <c r="AS159" s="938"/>
      <c r="AT159" s="938"/>
      <c r="AU159" s="938"/>
      <c r="AV159" s="938"/>
      <c r="AW159" s="938"/>
      <c r="AX159" s="938"/>
      <c r="AY159" s="938"/>
      <c r="AZ159" s="938"/>
      <c r="BA159" s="938"/>
      <c r="BB159" s="938"/>
      <c r="BC159" s="938"/>
      <c r="BD159" s="938"/>
      <c r="BE159" s="938"/>
      <c r="BF159" s="938"/>
      <c r="BG159" s="938"/>
      <c r="BH159" s="938"/>
      <c r="BI159" s="938"/>
      <c r="BJ159" s="938"/>
      <c r="BK159" s="938"/>
      <c r="BL159" s="938"/>
      <c r="BM159" s="938"/>
      <c r="BN159" s="938"/>
      <c r="BO159" s="938"/>
      <c r="BP159" s="938"/>
      <c r="BQ159" s="938"/>
      <c r="BR159" s="938"/>
      <c r="BS159" s="938"/>
      <c r="BT159" s="938"/>
    </row>
    <row r="160" spans="1:72" x14ac:dyDescent="0.25">
      <c r="A160" s="938" t="s">
        <v>613</v>
      </c>
      <c r="B160" s="938">
        <v>7.41</v>
      </c>
      <c r="C160" s="938">
        <v>9.11</v>
      </c>
      <c r="D160" s="938">
        <v>4.26</v>
      </c>
      <c r="E160" s="938">
        <v>5.0199999999999996</v>
      </c>
      <c r="F160" s="938">
        <v>6.23</v>
      </c>
      <c r="G160" s="938">
        <v>6.76</v>
      </c>
      <c r="H160" s="938">
        <v>6.82</v>
      </c>
      <c r="I160" s="938">
        <v>6.89</v>
      </c>
      <c r="J160" s="938">
        <v>7.18</v>
      </c>
      <c r="K160" s="938">
        <v>7.39</v>
      </c>
      <c r="L160" s="938">
        <v>7.52</v>
      </c>
      <c r="M160" s="938">
        <v>7.71</v>
      </c>
      <c r="N160" s="938">
        <v>7.91</v>
      </c>
      <c r="O160" s="938">
        <v>8.19</v>
      </c>
      <c r="P160" s="938">
        <v>8.4700000000000006</v>
      </c>
      <c r="Q160" s="938">
        <v>8.8800000000000008</v>
      </c>
      <c r="R160" s="938">
        <v>9.14</v>
      </c>
      <c r="S160" s="938">
        <v>9.26</v>
      </c>
      <c r="T160" s="938">
        <v>9.52</v>
      </c>
      <c r="U160" s="938">
        <v>9.9</v>
      </c>
      <c r="V160" s="938">
        <v>10.31</v>
      </c>
      <c r="W160" s="938">
        <v>10.85</v>
      </c>
      <c r="X160" s="938">
        <v>11.41</v>
      </c>
      <c r="Y160" s="938">
        <v>12.04</v>
      </c>
      <c r="Z160" s="938">
        <v>12.79</v>
      </c>
      <c r="AA160" s="938">
        <v>13.25</v>
      </c>
      <c r="AB160" s="938">
        <v>13.56</v>
      </c>
      <c r="AC160" s="938">
        <v>14.17</v>
      </c>
      <c r="AD160" s="938">
        <v>14.67</v>
      </c>
      <c r="AE160" s="977">
        <v>1.7999999999999999E-2</v>
      </c>
      <c r="AF160" s="938"/>
      <c r="AG160" s="938"/>
      <c r="AH160" s="938"/>
      <c r="AI160" s="938"/>
      <c r="AJ160" s="938"/>
      <c r="AK160" s="938"/>
      <c r="AL160" s="938"/>
      <c r="AM160" s="938"/>
      <c r="AN160" s="938"/>
      <c r="AO160" s="938"/>
      <c r="AP160" s="938"/>
      <c r="AQ160" s="938"/>
      <c r="AR160" s="938"/>
      <c r="AS160" s="938"/>
      <c r="AT160" s="938"/>
      <c r="AU160" s="938"/>
      <c r="AV160" s="938"/>
      <c r="AW160" s="938"/>
      <c r="AX160" s="938"/>
      <c r="AY160" s="938"/>
      <c r="AZ160" s="938"/>
      <c r="BA160" s="938"/>
      <c r="BB160" s="938"/>
      <c r="BC160" s="938"/>
      <c r="BD160" s="938"/>
      <c r="BE160" s="938"/>
      <c r="BF160" s="938"/>
      <c r="BG160" s="938"/>
      <c r="BH160" s="938"/>
      <c r="BI160" s="938"/>
      <c r="BJ160" s="938"/>
      <c r="BK160" s="938"/>
      <c r="BL160" s="938"/>
      <c r="BM160" s="938"/>
      <c r="BN160" s="938"/>
      <c r="BO160" s="938"/>
      <c r="BP160" s="938"/>
      <c r="BQ160" s="938"/>
      <c r="BR160" s="938"/>
      <c r="BS160" s="938"/>
      <c r="BT160" s="938"/>
    </row>
    <row r="161" spans="1:72" x14ac:dyDescent="0.25">
      <c r="A161" s="938" t="s">
        <v>614</v>
      </c>
      <c r="B161" s="938">
        <v>3.61</v>
      </c>
      <c r="C161" s="938">
        <v>4.49</v>
      </c>
      <c r="D161" s="938">
        <v>4.79</v>
      </c>
      <c r="E161" s="938">
        <v>4.9400000000000004</v>
      </c>
      <c r="F161" s="938">
        <v>5.07</v>
      </c>
      <c r="G161" s="938">
        <v>5.31</v>
      </c>
      <c r="H161" s="938">
        <v>5.44</v>
      </c>
      <c r="I161" s="938">
        <v>5.56</v>
      </c>
      <c r="J161" s="938">
        <v>5.66</v>
      </c>
      <c r="K161" s="938">
        <v>5.77</v>
      </c>
      <c r="L161" s="938">
        <v>5.97</v>
      </c>
      <c r="M161" s="938">
        <v>6.14</v>
      </c>
      <c r="N161" s="938">
        <v>6.34</v>
      </c>
      <c r="O161" s="938">
        <v>6.5</v>
      </c>
      <c r="P161" s="938">
        <v>6.68</v>
      </c>
      <c r="Q161" s="938">
        <v>6.84</v>
      </c>
      <c r="R161" s="938">
        <v>6.98</v>
      </c>
      <c r="S161" s="938">
        <v>7.07</v>
      </c>
      <c r="T161" s="938">
        <v>7.11</v>
      </c>
      <c r="U161" s="938">
        <v>7.15</v>
      </c>
      <c r="V161" s="938">
        <v>7.27</v>
      </c>
      <c r="W161" s="938">
        <v>7.43</v>
      </c>
      <c r="X161" s="938">
        <v>7.55</v>
      </c>
      <c r="Y161" s="938">
        <v>7.72</v>
      </c>
      <c r="Z161" s="938">
        <v>7.86</v>
      </c>
      <c r="AA161" s="938">
        <v>8.02</v>
      </c>
      <c r="AB161" s="938">
        <v>8.18</v>
      </c>
      <c r="AC161" s="938">
        <v>8.33</v>
      </c>
      <c r="AD161" s="938">
        <v>8.5</v>
      </c>
      <c r="AE161" s="977">
        <v>2.4E-2</v>
      </c>
      <c r="AF161" s="938"/>
      <c r="AG161" s="938"/>
      <c r="AH161" s="938"/>
      <c r="AI161" s="938"/>
      <c r="AJ161" s="938"/>
      <c r="AK161" s="938"/>
      <c r="AL161" s="938"/>
      <c r="AM161" s="938"/>
      <c r="AN161" s="938"/>
      <c r="AO161" s="938"/>
      <c r="AP161" s="938"/>
      <c r="AQ161" s="938"/>
      <c r="AR161" s="938"/>
      <c r="AS161" s="938"/>
      <c r="AT161" s="938"/>
      <c r="AU161" s="938"/>
      <c r="AV161" s="938"/>
      <c r="AW161" s="938"/>
      <c r="AX161" s="938"/>
      <c r="AY161" s="938"/>
      <c r="AZ161" s="938"/>
      <c r="BA161" s="938"/>
      <c r="BB161" s="938"/>
      <c r="BC161" s="938"/>
      <c r="BD161" s="938"/>
      <c r="BE161" s="938"/>
      <c r="BF161" s="938"/>
      <c r="BG161" s="938"/>
      <c r="BH161" s="938"/>
      <c r="BI161" s="938"/>
      <c r="BJ161" s="938"/>
      <c r="BK161" s="938"/>
      <c r="BL161" s="938"/>
      <c r="BM161" s="938"/>
      <c r="BN161" s="938"/>
      <c r="BO161" s="938"/>
      <c r="BP161" s="938"/>
      <c r="BQ161" s="938"/>
      <c r="BR161" s="938"/>
      <c r="BS161" s="938"/>
      <c r="BT161" s="938"/>
    </row>
    <row r="162" spans="1:72" x14ac:dyDescent="0.25">
      <c r="A162" s="938" t="s">
        <v>615</v>
      </c>
      <c r="B162" s="938">
        <v>2.4300000000000002</v>
      </c>
      <c r="C162" s="938">
        <v>2.84</v>
      </c>
      <c r="D162" s="938">
        <v>2.83</v>
      </c>
      <c r="E162" s="938">
        <v>2.77</v>
      </c>
      <c r="F162" s="938">
        <v>2.81</v>
      </c>
      <c r="G162" s="938">
        <v>2.85</v>
      </c>
      <c r="H162" s="938">
        <v>2.86</v>
      </c>
      <c r="I162" s="938">
        <v>2.93</v>
      </c>
      <c r="J162" s="938">
        <v>3</v>
      </c>
      <c r="K162" s="938">
        <v>3.04</v>
      </c>
      <c r="L162" s="938">
        <v>3.11</v>
      </c>
      <c r="M162" s="938">
        <v>3.16</v>
      </c>
      <c r="N162" s="938">
        <v>3.2</v>
      </c>
      <c r="O162" s="938">
        <v>3.26</v>
      </c>
      <c r="P162" s="938">
        <v>3.31</v>
      </c>
      <c r="Q162" s="938">
        <v>3.38</v>
      </c>
      <c r="R162" s="938">
        <v>3.43</v>
      </c>
      <c r="S162" s="938">
        <v>3.5</v>
      </c>
      <c r="T162" s="938">
        <v>3.56</v>
      </c>
      <c r="U162" s="938">
        <v>3.65</v>
      </c>
      <c r="V162" s="938">
        <v>3.72</v>
      </c>
      <c r="W162" s="938">
        <v>3.82</v>
      </c>
      <c r="X162" s="938">
        <v>3.91</v>
      </c>
      <c r="Y162" s="938">
        <v>4.01</v>
      </c>
      <c r="Z162" s="938">
        <v>4.12</v>
      </c>
      <c r="AA162" s="938">
        <v>4.21</v>
      </c>
      <c r="AB162" s="938">
        <v>4.33</v>
      </c>
      <c r="AC162" s="938">
        <v>4.4400000000000004</v>
      </c>
      <c r="AD162" s="938">
        <v>4.55</v>
      </c>
      <c r="AE162" s="977">
        <v>1.7999999999999999E-2</v>
      </c>
      <c r="AF162" s="938"/>
      <c r="AG162" s="938"/>
      <c r="AH162" s="938"/>
      <c r="AI162" s="938"/>
      <c r="AJ162" s="938"/>
      <c r="AK162" s="938"/>
      <c r="AL162" s="938"/>
      <c r="AM162" s="938"/>
      <c r="AN162" s="938"/>
      <c r="AO162" s="938"/>
      <c r="AP162" s="938"/>
      <c r="AQ162" s="938"/>
      <c r="AR162" s="938"/>
      <c r="AS162" s="938"/>
      <c r="AT162" s="938"/>
      <c r="AU162" s="938"/>
      <c r="AV162" s="938"/>
      <c r="AW162" s="938"/>
      <c r="AX162" s="938"/>
      <c r="AY162" s="938"/>
      <c r="AZ162" s="938"/>
      <c r="BA162" s="938"/>
      <c r="BB162" s="938"/>
      <c r="BC162" s="938"/>
      <c r="BD162" s="938"/>
      <c r="BE162" s="938"/>
      <c r="BF162" s="938"/>
      <c r="BG162" s="938"/>
      <c r="BH162" s="938"/>
      <c r="BI162" s="938"/>
      <c r="BJ162" s="938"/>
      <c r="BK162" s="938"/>
      <c r="BL162" s="938"/>
      <c r="BM162" s="938"/>
      <c r="BN162" s="938"/>
      <c r="BO162" s="938"/>
      <c r="BP162" s="938"/>
      <c r="BQ162" s="938"/>
      <c r="BR162" s="938"/>
      <c r="BS162" s="938"/>
      <c r="BT162" s="938"/>
    </row>
    <row r="163" spans="1:72" x14ac:dyDescent="0.25">
      <c r="A163" s="938" t="s">
        <v>616</v>
      </c>
      <c r="B163" s="938" t="s">
        <v>788</v>
      </c>
      <c r="C163" s="938" t="s">
        <v>788</v>
      </c>
      <c r="D163" s="938" t="s">
        <v>788</v>
      </c>
      <c r="E163" s="938" t="s">
        <v>788</v>
      </c>
      <c r="F163" s="938">
        <v>1.32</v>
      </c>
      <c r="G163" s="938">
        <v>1.1000000000000001</v>
      </c>
      <c r="H163" s="938">
        <v>1.1200000000000001</v>
      </c>
      <c r="I163" s="938">
        <v>1.55</v>
      </c>
      <c r="J163" s="938">
        <v>1.58</v>
      </c>
      <c r="K163" s="938">
        <v>1.65</v>
      </c>
      <c r="L163" s="938">
        <v>1.72</v>
      </c>
      <c r="M163" s="938">
        <v>1.74</v>
      </c>
      <c r="N163" s="938">
        <v>1.76</v>
      </c>
      <c r="O163" s="938">
        <v>1.79</v>
      </c>
      <c r="P163" s="938">
        <v>1.86</v>
      </c>
      <c r="Q163" s="938">
        <v>1.91</v>
      </c>
      <c r="R163" s="938">
        <v>1.98</v>
      </c>
      <c r="S163" s="938">
        <v>1.99</v>
      </c>
      <c r="T163" s="938">
        <v>2.02</v>
      </c>
      <c r="U163" s="938">
        <v>2.04</v>
      </c>
      <c r="V163" s="938">
        <v>2.0699999999999998</v>
      </c>
      <c r="W163" s="938">
        <v>2.1</v>
      </c>
      <c r="X163" s="938">
        <v>2.13</v>
      </c>
      <c r="Y163" s="938">
        <v>2.1800000000000002</v>
      </c>
      <c r="Z163" s="938">
        <v>2.2200000000000002</v>
      </c>
      <c r="AA163" s="938">
        <v>2.2799999999999998</v>
      </c>
      <c r="AB163" s="938">
        <v>2.35</v>
      </c>
      <c r="AC163" s="938">
        <v>2.44</v>
      </c>
      <c r="AD163" s="938">
        <v>2.5299999999999998</v>
      </c>
      <c r="AE163" s="938" t="s">
        <v>788</v>
      </c>
      <c r="AF163" s="938"/>
      <c r="AG163" s="938"/>
      <c r="AH163" s="938"/>
      <c r="AI163" s="938"/>
      <c r="AJ163" s="938"/>
      <c r="AK163" s="938"/>
      <c r="AL163" s="938"/>
      <c r="AM163" s="938"/>
      <c r="AN163" s="938"/>
      <c r="AO163" s="938"/>
      <c r="AP163" s="938"/>
      <c r="AQ163" s="938"/>
      <c r="AR163" s="938"/>
      <c r="AS163" s="938"/>
      <c r="AT163" s="938"/>
      <c r="AU163" s="938"/>
      <c r="AV163" s="938"/>
      <c r="AW163" s="938"/>
      <c r="AX163" s="938"/>
      <c r="AY163" s="938"/>
      <c r="AZ163" s="938"/>
      <c r="BA163" s="938"/>
      <c r="BB163" s="938"/>
      <c r="BC163" s="938"/>
      <c r="BD163" s="938"/>
      <c r="BE163" s="938"/>
      <c r="BF163" s="938"/>
      <c r="BG163" s="938"/>
      <c r="BH163" s="938"/>
      <c r="BI163" s="938"/>
      <c r="BJ163" s="938"/>
      <c r="BK163" s="938"/>
      <c r="BL163" s="938"/>
      <c r="BM163" s="938"/>
      <c r="BN163" s="938"/>
      <c r="BO163" s="938"/>
      <c r="BP163" s="938"/>
      <c r="BQ163" s="938"/>
      <c r="BR163" s="938"/>
      <c r="BS163" s="938"/>
      <c r="BT163" s="938"/>
    </row>
    <row r="164" spans="1:72" x14ac:dyDescent="0.25">
      <c r="A164" s="938" t="s">
        <v>479</v>
      </c>
      <c r="B164" s="938">
        <v>18.600000000000001</v>
      </c>
      <c r="C164" s="938">
        <v>20.21</v>
      </c>
      <c r="D164" s="938">
        <v>20.350000000000001</v>
      </c>
      <c r="E164" s="938">
        <v>19.73</v>
      </c>
      <c r="F164" s="938">
        <v>17.86</v>
      </c>
      <c r="G164" s="938">
        <v>18.77</v>
      </c>
      <c r="H164" s="938">
        <v>18.98</v>
      </c>
      <c r="I164" s="938">
        <v>19.010000000000002</v>
      </c>
      <c r="J164" s="938">
        <v>19.36</v>
      </c>
      <c r="K164" s="938">
        <v>19.989999999999998</v>
      </c>
      <c r="L164" s="938">
        <v>20.51</v>
      </c>
      <c r="M164" s="938">
        <v>20.91</v>
      </c>
      <c r="N164" s="938">
        <v>21.27</v>
      </c>
      <c r="O164" s="938">
        <v>21.9</v>
      </c>
      <c r="P164" s="938">
        <v>22.56</v>
      </c>
      <c r="Q164" s="938">
        <v>23.2</v>
      </c>
      <c r="R164" s="938">
        <v>23.95</v>
      </c>
      <c r="S164" s="938">
        <v>24.64</v>
      </c>
      <c r="T164" s="938">
        <v>25.11</v>
      </c>
      <c r="U164" s="938">
        <v>25.79</v>
      </c>
      <c r="V164" s="938">
        <v>26.57</v>
      </c>
      <c r="W164" s="938">
        <v>27.41</v>
      </c>
      <c r="X164" s="938">
        <v>28.5</v>
      </c>
      <c r="Y164" s="938">
        <v>29.55</v>
      </c>
      <c r="Z164" s="938">
        <v>30.67</v>
      </c>
      <c r="AA164" s="938">
        <v>31.8</v>
      </c>
      <c r="AB164" s="938">
        <v>32.71</v>
      </c>
      <c r="AC164" s="938">
        <v>33.76</v>
      </c>
      <c r="AD164" s="938">
        <v>34.799999999999997</v>
      </c>
      <c r="AE164" s="977">
        <v>0.02</v>
      </c>
      <c r="AF164" s="938"/>
      <c r="AG164" s="938"/>
      <c r="AH164" s="938"/>
      <c r="AI164" s="938"/>
      <c r="AJ164" s="938"/>
      <c r="AK164" s="938"/>
      <c r="AL164" s="938"/>
      <c r="AM164" s="938"/>
      <c r="AN164" s="938"/>
      <c r="AO164" s="938"/>
      <c r="AP164" s="938"/>
      <c r="AQ164" s="938"/>
      <c r="AR164" s="938"/>
      <c r="AS164" s="938"/>
      <c r="AT164" s="938"/>
      <c r="AU164" s="938"/>
      <c r="AV164" s="938"/>
      <c r="AW164" s="938"/>
      <c r="AX164" s="938"/>
      <c r="AY164" s="938"/>
      <c r="AZ164" s="938"/>
      <c r="BA164" s="938"/>
      <c r="BB164" s="938"/>
      <c r="BC164" s="938"/>
      <c r="BD164" s="938"/>
      <c r="BE164" s="938"/>
      <c r="BF164" s="938"/>
      <c r="BG164" s="938"/>
      <c r="BH164" s="938"/>
      <c r="BI164" s="938"/>
      <c r="BJ164" s="938"/>
      <c r="BK164" s="938"/>
      <c r="BL164" s="938"/>
      <c r="BM164" s="938"/>
      <c r="BN164" s="938"/>
      <c r="BO164" s="938"/>
      <c r="BP164" s="938"/>
      <c r="BQ164" s="938"/>
      <c r="BR164" s="938"/>
      <c r="BS164" s="938"/>
      <c r="BT164" s="938"/>
    </row>
    <row r="165" spans="1:72" x14ac:dyDescent="0.25">
      <c r="A165" s="938"/>
      <c r="B165" s="938"/>
      <c r="C165" s="938"/>
      <c r="D165" s="938"/>
      <c r="E165" s="938"/>
      <c r="F165" s="938"/>
      <c r="G165" s="938"/>
      <c r="H165" s="938"/>
      <c r="I165" s="938"/>
      <c r="J165" s="938"/>
      <c r="K165" s="938"/>
      <c r="L165" s="938"/>
      <c r="M165" s="938"/>
      <c r="N165" s="938"/>
      <c r="O165" s="938"/>
      <c r="P165" s="938"/>
      <c r="Q165" s="938"/>
      <c r="R165" s="938"/>
      <c r="S165" s="938"/>
      <c r="T165" s="938"/>
      <c r="U165" s="938"/>
      <c r="V165" s="938"/>
      <c r="W165" s="938"/>
      <c r="X165" s="938"/>
      <c r="Y165" s="938"/>
      <c r="Z165" s="938"/>
      <c r="AA165" s="938"/>
      <c r="AB165" s="938"/>
      <c r="AC165" s="938"/>
      <c r="AD165" s="938"/>
      <c r="AE165" s="938"/>
      <c r="AF165" s="938"/>
      <c r="AG165" s="938"/>
      <c r="AH165" s="938"/>
      <c r="AI165" s="938"/>
      <c r="AJ165" s="938"/>
      <c r="AK165" s="938"/>
      <c r="AL165" s="938"/>
      <c r="AM165" s="938"/>
      <c r="AN165" s="938"/>
      <c r="AO165" s="938"/>
      <c r="AP165" s="938"/>
      <c r="AQ165" s="938"/>
      <c r="AR165" s="938"/>
      <c r="AS165" s="938"/>
      <c r="AT165" s="938"/>
      <c r="AU165" s="938"/>
      <c r="AV165" s="938"/>
      <c r="AW165" s="938"/>
      <c r="AX165" s="938"/>
      <c r="AY165" s="938"/>
      <c r="AZ165" s="938"/>
      <c r="BA165" s="938"/>
      <c r="BB165" s="938"/>
      <c r="BC165" s="938"/>
      <c r="BD165" s="938"/>
      <c r="BE165" s="938"/>
      <c r="BF165" s="938"/>
      <c r="BG165" s="938"/>
      <c r="BH165" s="938"/>
      <c r="BI165" s="938"/>
      <c r="BJ165" s="938"/>
      <c r="BK165" s="938"/>
      <c r="BL165" s="938"/>
      <c r="BM165" s="938"/>
      <c r="BN165" s="938"/>
      <c r="BO165" s="938"/>
      <c r="BP165" s="938"/>
      <c r="BQ165" s="938"/>
      <c r="BR165" s="938"/>
      <c r="BS165" s="938"/>
      <c r="BT165" s="938"/>
    </row>
    <row r="166" spans="1:72" x14ac:dyDescent="0.25">
      <c r="A166" s="938" t="s">
        <v>487</v>
      </c>
      <c r="B166" s="938"/>
      <c r="C166" s="938"/>
      <c r="D166" s="938"/>
      <c r="E166" s="938"/>
      <c r="F166" s="938"/>
      <c r="G166" s="938"/>
      <c r="H166" s="938"/>
      <c r="I166" s="938"/>
      <c r="J166" s="938"/>
      <c r="K166" s="938"/>
      <c r="L166" s="938"/>
      <c r="M166" s="938"/>
      <c r="N166" s="938"/>
      <c r="O166" s="938"/>
      <c r="P166" s="938"/>
      <c r="Q166" s="938"/>
      <c r="R166" s="938"/>
      <c r="S166" s="938"/>
      <c r="T166" s="938"/>
      <c r="U166" s="938"/>
      <c r="V166" s="938"/>
      <c r="W166" s="938"/>
      <c r="X166" s="938"/>
      <c r="Y166" s="938"/>
      <c r="Z166" s="938"/>
      <c r="AA166" s="938"/>
      <c r="AB166" s="938"/>
      <c r="AC166" s="938"/>
      <c r="AD166" s="938"/>
      <c r="AE166" s="938"/>
      <c r="AF166" s="938"/>
      <c r="AG166" s="938"/>
      <c r="AH166" s="938"/>
      <c r="AI166" s="938"/>
      <c r="AJ166" s="938"/>
      <c r="AK166" s="938"/>
      <c r="AL166" s="938"/>
      <c r="AM166" s="938"/>
      <c r="AN166" s="938"/>
      <c r="AO166" s="938"/>
      <c r="AP166" s="938"/>
      <c r="AQ166" s="938"/>
      <c r="AR166" s="938"/>
      <c r="AS166" s="938"/>
      <c r="AT166" s="938"/>
      <c r="AU166" s="938"/>
      <c r="AV166" s="938"/>
      <c r="AW166" s="938"/>
      <c r="AX166" s="938"/>
      <c r="AY166" s="938"/>
      <c r="AZ166" s="938"/>
      <c r="BA166" s="938"/>
      <c r="BB166" s="938"/>
      <c r="BC166" s="938"/>
      <c r="BD166" s="938"/>
      <c r="BE166" s="938"/>
      <c r="BF166" s="938"/>
      <c r="BG166" s="938"/>
      <c r="BH166" s="938"/>
      <c r="BI166" s="938"/>
      <c r="BJ166" s="938"/>
      <c r="BK166" s="938"/>
      <c r="BL166" s="938"/>
      <c r="BM166" s="938"/>
      <c r="BN166" s="938"/>
      <c r="BO166" s="938"/>
      <c r="BP166" s="938"/>
      <c r="BQ166" s="938"/>
      <c r="BR166" s="938"/>
      <c r="BS166" s="938"/>
      <c r="BT166" s="938"/>
    </row>
    <row r="167" spans="1:72" x14ac:dyDescent="0.25">
      <c r="A167" s="938" t="s">
        <v>617</v>
      </c>
      <c r="B167" s="938">
        <v>23.31</v>
      </c>
      <c r="C167" s="938">
        <v>29.93</v>
      </c>
      <c r="D167" s="938">
        <v>25.58</v>
      </c>
      <c r="E167" s="938">
        <v>24.61</v>
      </c>
      <c r="F167" s="938">
        <v>25.02</v>
      </c>
      <c r="G167" s="938">
        <v>26.61</v>
      </c>
      <c r="H167" s="938">
        <v>28.36</v>
      </c>
      <c r="I167" s="938">
        <v>29.9</v>
      </c>
      <c r="J167" s="938">
        <v>31.07</v>
      </c>
      <c r="K167" s="938">
        <v>32.36</v>
      </c>
      <c r="L167" s="938">
        <v>33.58</v>
      </c>
      <c r="M167" s="938">
        <v>34.89</v>
      </c>
      <c r="N167" s="938">
        <v>35.840000000000003</v>
      </c>
      <c r="O167" s="938">
        <v>36.82</v>
      </c>
      <c r="P167" s="938">
        <v>37.89</v>
      </c>
      <c r="Q167" s="938">
        <v>38.979999999999997</v>
      </c>
      <c r="R167" s="938">
        <v>40.17</v>
      </c>
      <c r="S167" s="938">
        <v>41.36</v>
      </c>
      <c r="T167" s="938">
        <v>42.56</v>
      </c>
      <c r="U167" s="938">
        <v>43.64</v>
      </c>
      <c r="V167" s="938">
        <v>44.94</v>
      </c>
      <c r="W167" s="938">
        <v>46.27</v>
      </c>
      <c r="X167" s="938">
        <v>47.79</v>
      </c>
      <c r="Y167" s="938">
        <v>49.17</v>
      </c>
      <c r="Z167" s="938">
        <v>50.81</v>
      </c>
      <c r="AA167" s="938">
        <v>52.46</v>
      </c>
      <c r="AB167" s="938">
        <v>54.21</v>
      </c>
      <c r="AC167" s="938">
        <v>55.95</v>
      </c>
      <c r="AD167" s="938">
        <v>57.77</v>
      </c>
      <c r="AE167" s="977">
        <v>2.5000000000000001E-2</v>
      </c>
      <c r="AF167" s="938"/>
      <c r="AG167" s="938"/>
      <c r="AH167" s="938"/>
      <c r="AI167" s="938"/>
      <c r="AJ167" s="938"/>
      <c r="AK167" s="938"/>
      <c r="AL167" s="938"/>
      <c r="AM167" s="938"/>
      <c r="AN167" s="938"/>
      <c r="AO167" s="938"/>
      <c r="AP167" s="938"/>
      <c r="AQ167" s="938"/>
      <c r="AR167" s="938"/>
      <c r="AS167" s="938"/>
      <c r="AT167" s="938"/>
      <c r="AU167" s="938"/>
      <c r="AV167" s="938"/>
      <c r="AW167" s="938"/>
      <c r="AX167" s="938"/>
      <c r="AY167" s="938"/>
      <c r="AZ167" s="938"/>
      <c r="BA167" s="938"/>
      <c r="BB167" s="938"/>
      <c r="BC167" s="938"/>
      <c r="BD167" s="938"/>
      <c r="BE167" s="938"/>
      <c r="BF167" s="938"/>
      <c r="BG167" s="938"/>
      <c r="BH167" s="938"/>
      <c r="BI167" s="938"/>
      <c r="BJ167" s="938"/>
      <c r="BK167" s="938"/>
      <c r="BL167" s="938"/>
      <c r="BM167" s="938"/>
      <c r="BN167" s="938"/>
      <c r="BO167" s="938"/>
      <c r="BP167" s="938"/>
      <c r="BQ167" s="938"/>
      <c r="BR167" s="938"/>
      <c r="BS167" s="938"/>
      <c r="BT167" s="938"/>
    </row>
    <row r="168" spans="1:72" x14ac:dyDescent="0.25">
      <c r="A168" s="938" t="s">
        <v>618</v>
      </c>
      <c r="B168" s="938">
        <v>26.83</v>
      </c>
      <c r="C168" s="938">
        <v>26.93</v>
      </c>
      <c r="D168" s="938">
        <v>23.64</v>
      </c>
      <c r="E168" s="938">
        <v>21.26</v>
      </c>
      <c r="F168" s="938">
        <v>21.89</v>
      </c>
      <c r="G168" s="938">
        <v>23.43</v>
      </c>
      <c r="H168" s="938">
        <v>26.07</v>
      </c>
      <c r="I168" s="938">
        <v>27.64</v>
      </c>
      <c r="J168" s="938">
        <v>28.47</v>
      </c>
      <c r="K168" s="938">
        <v>28.45</v>
      </c>
      <c r="L168" s="938">
        <v>29.92</v>
      </c>
      <c r="M168" s="938">
        <v>31.23</v>
      </c>
      <c r="N168" s="938">
        <v>31.97</v>
      </c>
      <c r="O168" s="938">
        <v>32.94</v>
      </c>
      <c r="P168" s="938">
        <v>34.090000000000003</v>
      </c>
      <c r="Q168" s="938">
        <v>35.479999999999997</v>
      </c>
      <c r="R168" s="938">
        <v>36.880000000000003</v>
      </c>
      <c r="S168" s="938">
        <v>37.979999999999997</v>
      </c>
      <c r="T168" s="938">
        <v>39.17</v>
      </c>
      <c r="U168" s="938">
        <v>40.479999999999997</v>
      </c>
      <c r="V168" s="938">
        <v>41.72</v>
      </c>
      <c r="W168" s="938">
        <v>43.4</v>
      </c>
      <c r="X168" s="938">
        <v>44.96</v>
      </c>
      <c r="Y168" s="938">
        <v>46.25</v>
      </c>
      <c r="Z168" s="938">
        <v>47.62</v>
      </c>
      <c r="AA168" s="938">
        <v>49.36</v>
      </c>
      <c r="AB168" s="938">
        <v>50.75</v>
      </c>
      <c r="AC168" s="938">
        <v>52.29</v>
      </c>
      <c r="AD168" s="938">
        <v>54.17</v>
      </c>
      <c r="AE168" s="977">
        <v>2.5999999999999999E-2</v>
      </c>
      <c r="AF168" s="938"/>
      <c r="AG168" s="938"/>
      <c r="AH168" s="938"/>
      <c r="AI168" s="938"/>
      <c r="AJ168" s="938"/>
      <c r="AK168" s="938"/>
      <c r="AL168" s="938"/>
      <c r="AM168" s="938"/>
      <c r="AN168" s="938"/>
      <c r="AO168" s="938"/>
      <c r="AP168" s="938"/>
      <c r="AQ168" s="938"/>
      <c r="AR168" s="938"/>
      <c r="AS168" s="938"/>
      <c r="AT168" s="938"/>
      <c r="AU168" s="938"/>
      <c r="AV168" s="938"/>
      <c r="AW168" s="938"/>
      <c r="AX168" s="938"/>
      <c r="AY168" s="938"/>
      <c r="AZ168" s="938"/>
      <c r="BA168" s="938"/>
      <c r="BB168" s="938"/>
      <c r="BC168" s="938"/>
      <c r="BD168" s="938"/>
      <c r="BE168" s="938"/>
      <c r="BF168" s="938"/>
      <c r="BG168" s="938"/>
      <c r="BH168" s="938"/>
      <c r="BI168" s="938"/>
      <c r="BJ168" s="938"/>
      <c r="BK168" s="938"/>
      <c r="BL168" s="938"/>
      <c r="BM168" s="938"/>
      <c r="BN168" s="938"/>
      <c r="BO168" s="938"/>
      <c r="BP168" s="938"/>
      <c r="BQ168" s="938"/>
      <c r="BR168" s="938"/>
      <c r="BS168" s="938"/>
      <c r="BT168" s="938"/>
    </row>
    <row r="169" spans="1:72" x14ac:dyDescent="0.25">
      <c r="A169" s="938" t="s">
        <v>619</v>
      </c>
      <c r="B169" s="938">
        <v>23.15</v>
      </c>
      <c r="C169" s="938">
        <v>26.76</v>
      </c>
      <c r="D169" s="938">
        <v>19.43</v>
      </c>
      <c r="E169" s="938">
        <v>21.17</v>
      </c>
      <c r="F169" s="938">
        <v>21.79</v>
      </c>
      <c r="G169" s="938">
        <v>23.32</v>
      </c>
      <c r="H169" s="938">
        <v>25.87</v>
      </c>
      <c r="I169" s="938">
        <v>27.33</v>
      </c>
      <c r="J169" s="938">
        <v>28.27</v>
      </c>
      <c r="K169" s="938">
        <v>29.42</v>
      </c>
      <c r="L169" s="938">
        <v>30.58</v>
      </c>
      <c r="M169" s="938">
        <v>31.65</v>
      </c>
      <c r="N169" s="938">
        <v>32.6</v>
      </c>
      <c r="O169" s="938">
        <v>33.72</v>
      </c>
      <c r="P169" s="938">
        <v>34.72</v>
      </c>
      <c r="Q169" s="938">
        <v>35.94</v>
      </c>
      <c r="R169" s="938">
        <v>37.020000000000003</v>
      </c>
      <c r="S169" s="938">
        <v>37.96</v>
      </c>
      <c r="T169" s="938">
        <v>39.18</v>
      </c>
      <c r="U169" s="938">
        <v>40.44</v>
      </c>
      <c r="V169" s="938">
        <v>41.69</v>
      </c>
      <c r="W169" s="938">
        <v>43.21</v>
      </c>
      <c r="X169" s="938">
        <v>44.7</v>
      </c>
      <c r="Y169" s="938">
        <v>45.91</v>
      </c>
      <c r="Z169" s="938">
        <v>47.47</v>
      </c>
      <c r="AA169" s="938">
        <v>49.16</v>
      </c>
      <c r="AB169" s="938">
        <v>50.66</v>
      </c>
      <c r="AC169" s="938">
        <v>52.36</v>
      </c>
      <c r="AD169" s="938">
        <v>54.33</v>
      </c>
      <c r="AE169" s="977">
        <v>2.7E-2</v>
      </c>
      <c r="AF169" s="938"/>
      <c r="AG169" s="938"/>
      <c r="AH169" s="938"/>
      <c r="AI169" s="938"/>
      <c r="AJ169" s="938"/>
      <c r="AK169" s="938"/>
      <c r="AL169" s="938"/>
      <c r="AM169" s="938"/>
      <c r="AN169" s="938"/>
      <c r="AO169" s="938"/>
      <c r="AP169" s="938"/>
      <c r="AQ169" s="938"/>
      <c r="AR169" s="938"/>
      <c r="AS169" s="938"/>
      <c r="AT169" s="938"/>
      <c r="AU169" s="938"/>
      <c r="AV169" s="938"/>
      <c r="AW169" s="938"/>
      <c r="AX169" s="938"/>
      <c r="AY169" s="938"/>
      <c r="AZ169" s="938"/>
      <c r="BA169" s="938"/>
      <c r="BB169" s="938"/>
      <c r="BC169" s="938"/>
      <c r="BD169" s="938"/>
      <c r="BE169" s="938"/>
      <c r="BF169" s="938"/>
      <c r="BG169" s="938"/>
      <c r="BH169" s="938"/>
      <c r="BI169" s="938"/>
      <c r="BJ169" s="938"/>
      <c r="BK169" s="938"/>
      <c r="BL169" s="938"/>
      <c r="BM169" s="938"/>
      <c r="BN169" s="938"/>
      <c r="BO169" s="938"/>
      <c r="BP169" s="938"/>
      <c r="BQ169" s="938"/>
      <c r="BR169" s="938"/>
      <c r="BS169" s="938"/>
      <c r="BT169" s="938"/>
    </row>
    <row r="170" spans="1:72" x14ac:dyDescent="0.25">
      <c r="A170" s="938" t="s">
        <v>620</v>
      </c>
      <c r="B170" s="938">
        <v>15.42</v>
      </c>
      <c r="C170" s="938">
        <v>22.71</v>
      </c>
      <c r="D170" s="938">
        <v>12.92</v>
      </c>
      <c r="E170" s="938">
        <v>15.23</v>
      </c>
      <c r="F170" s="938">
        <v>15.82</v>
      </c>
      <c r="G170" s="938">
        <v>17.510000000000002</v>
      </c>
      <c r="H170" s="938">
        <v>19.05</v>
      </c>
      <c r="I170" s="938">
        <v>20.23</v>
      </c>
      <c r="J170" s="938">
        <v>21.21</v>
      </c>
      <c r="K170" s="938">
        <v>22.42</v>
      </c>
      <c r="L170" s="938">
        <v>23.58</v>
      </c>
      <c r="M170" s="938">
        <v>24.67</v>
      </c>
      <c r="N170" s="938">
        <v>25.58</v>
      </c>
      <c r="O170" s="938">
        <v>26.51</v>
      </c>
      <c r="P170" s="938">
        <v>27.27</v>
      </c>
      <c r="Q170" s="938">
        <v>28.18</v>
      </c>
      <c r="R170" s="938">
        <v>29.2</v>
      </c>
      <c r="S170" s="938">
        <v>30.07</v>
      </c>
      <c r="T170" s="938">
        <v>31.1</v>
      </c>
      <c r="U170" s="938">
        <v>32.130000000000003</v>
      </c>
      <c r="V170" s="938">
        <v>33.21</v>
      </c>
      <c r="W170" s="938">
        <v>34.54</v>
      </c>
      <c r="X170" s="938">
        <v>35.83</v>
      </c>
      <c r="Y170" s="938">
        <v>36.99</v>
      </c>
      <c r="Z170" s="938">
        <v>38.42</v>
      </c>
      <c r="AA170" s="938">
        <v>39.92</v>
      </c>
      <c r="AB170" s="938">
        <v>41.32</v>
      </c>
      <c r="AC170" s="938">
        <v>42.87</v>
      </c>
      <c r="AD170" s="938">
        <v>44.51</v>
      </c>
      <c r="AE170" s="977">
        <v>2.5000000000000001E-2</v>
      </c>
      <c r="AF170" s="938"/>
      <c r="AG170" s="938"/>
      <c r="AH170" s="938"/>
      <c r="AI170" s="938"/>
      <c r="AJ170" s="938"/>
      <c r="AK170" s="938"/>
      <c r="AL170" s="938"/>
      <c r="AM170" s="938"/>
      <c r="AN170" s="938"/>
      <c r="AO170" s="938"/>
      <c r="AP170" s="938"/>
      <c r="AQ170" s="938"/>
      <c r="AR170" s="938"/>
      <c r="AS170" s="938"/>
      <c r="AT170" s="938"/>
      <c r="AU170" s="938"/>
      <c r="AV170" s="938"/>
      <c r="AW170" s="938"/>
      <c r="AX170" s="938"/>
      <c r="AY170" s="938"/>
      <c r="AZ170" s="938"/>
      <c r="BA170" s="938"/>
      <c r="BB170" s="938"/>
      <c r="BC170" s="938"/>
      <c r="BD170" s="938"/>
      <c r="BE170" s="938"/>
      <c r="BF170" s="938"/>
      <c r="BG170" s="938"/>
      <c r="BH170" s="938"/>
      <c r="BI170" s="938"/>
      <c r="BJ170" s="938"/>
      <c r="BK170" s="938"/>
      <c r="BL170" s="938"/>
      <c r="BM170" s="938"/>
      <c r="BN170" s="938"/>
      <c r="BO170" s="938"/>
      <c r="BP170" s="938"/>
      <c r="BQ170" s="938"/>
      <c r="BR170" s="938"/>
      <c r="BS170" s="938"/>
      <c r="BT170" s="938"/>
    </row>
    <row r="171" spans="1:72" x14ac:dyDescent="0.25">
      <c r="A171" s="938" t="s">
        <v>724</v>
      </c>
      <c r="B171" s="938">
        <v>21.08</v>
      </c>
      <c r="C171" s="938">
        <v>27.65</v>
      </c>
      <c r="D171" s="938">
        <v>18.04</v>
      </c>
      <c r="E171" s="938">
        <v>19.7</v>
      </c>
      <c r="F171" s="938">
        <v>20.149999999999999</v>
      </c>
      <c r="G171" s="938">
        <v>21.71</v>
      </c>
      <c r="H171" s="938">
        <v>23.2</v>
      </c>
      <c r="I171" s="938">
        <v>24.38</v>
      </c>
      <c r="J171" s="938">
        <v>25.56</v>
      </c>
      <c r="K171" s="938">
        <v>26.86</v>
      </c>
      <c r="L171" s="938">
        <v>28.03</v>
      </c>
      <c r="M171" s="938">
        <v>29.31</v>
      </c>
      <c r="N171" s="938">
        <v>30.31</v>
      </c>
      <c r="O171" s="938">
        <v>31.28</v>
      </c>
      <c r="P171" s="938">
        <v>32.19</v>
      </c>
      <c r="Q171" s="938">
        <v>33.32</v>
      </c>
      <c r="R171" s="938">
        <v>34.22</v>
      </c>
      <c r="S171" s="938">
        <v>35.03</v>
      </c>
      <c r="T171" s="938">
        <v>36.130000000000003</v>
      </c>
      <c r="U171" s="938">
        <v>37.17</v>
      </c>
      <c r="V171" s="938">
        <v>38.32</v>
      </c>
      <c r="W171" s="938">
        <v>39.61</v>
      </c>
      <c r="X171" s="938">
        <v>41.05</v>
      </c>
      <c r="Y171" s="938">
        <v>42.2</v>
      </c>
      <c r="Z171" s="938">
        <v>43.79</v>
      </c>
      <c r="AA171" s="938">
        <v>45.41</v>
      </c>
      <c r="AB171" s="938">
        <v>46.88</v>
      </c>
      <c r="AC171" s="938">
        <v>48.53</v>
      </c>
      <c r="AD171" s="938">
        <v>50.35</v>
      </c>
      <c r="AE171" s="977">
        <v>2.1999999999999999E-2</v>
      </c>
      <c r="AF171" s="938"/>
      <c r="AG171" s="938"/>
      <c r="AH171" s="938"/>
      <c r="AI171" s="938"/>
      <c r="AJ171" s="938"/>
      <c r="AK171" s="938"/>
      <c r="AL171" s="938"/>
      <c r="AM171" s="938"/>
      <c r="AN171" s="938"/>
      <c r="AO171" s="938"/>
      <c r="AP171" s="938"/>
      <c r="AQ171" s="938"/>
      <c r="AR171" s="938"/>
      <c r="AS171" s="938"/>
      <c r="AT171" s="938"/>
      <c r="AU171" s="938"/>
      <c r="AV171" s="938"/>
      <c r="AW171" s="938"/>
      <c r="AX171" s="938"/>
      <c r="AY171" s="938"/>
      <c r="AZ171" s="938"/>
      <c r="BA171" s="938"/>
      <c r="BB171" s="938"/>
      <c r="BC171" s="938"/>
      <c r="BD171" s="938"/>
      <c r="BE171" s="938"/>
      <c r="BF171" s="938"/>
      <c r="BG171" s="938"/>
      <c r="BH171" s="938"/>
      <c r="BI171" s="938"/>
      <c r="BJ171" s="938"/>
      <c r="BK171" s="938"/>
      <c r="BL171" s="938"/>
      <c r="BM171" s="938"/>
      <c r="BN171" s="938"/>
      <c r="BO171" s="938"/>
      <c r="BP171" s="938"/>
      <c r="BQ171" s="938"/>
      <c r="BR171" s="938"/>
      <c r="BS171" s="938"/>
      <c r="BT171" s="938"/>
    </row>
    <row r="172" spans="1:72" x14ac:dyDescent="0.25">
      <c r="A172" s="938" t="s">
        <v>611</v>
      </c>
      <c r="B172" s="938">
        <v>8.99</v>
      </c>
      <c r="C172" s="938">
        <v>14.49</v>
      </c>
      <c r="D172" s="938">
        <v>9</v>
      </c>
      <c r="E172" s="938">
        <v>10.51</v>
      </c>
      <c r="F172" s="938">
        <v>10.77</v>
      </c>
      <c r="G172" s="938">
        <v>12.17</v>
      </c>
      <c r="H172" s="938">
        <v>13.4</v>
      </c>
      <c r="I172" s="938">
        <v>14.45</v>
      </c>
      <c r="J172" s="938">
        <v>15.13</v>
      </c>
      <c r="K172" s="938">
        <v>15.77</v>
      </c>
      <c r="L172" s="938">
        <v>16.670000000000002</v>
      </c>
      <c r="M172" s="938">
        <v>17.43</v>
      </c>
      <c r="N172" s="938">
        <v>17.940000000000001</v>
      </c>
      <c r="O172" s="938">
        <v>18.32</v>
      </c>
      <c r="P172" s="938">
        <v>19</v>
      </c>
      <c r="Q172" s="938">
        <v>19.57</v>
      </c>
      <c r="R172" s="938">
        <v>20.260000000000002</v>
      </c>
      <c r="S172" s="938">
        <v>20.94</v>
      </c>
      <c r="T172" s="938">
        <v>21.63</v>
      </c>
      <c r="U172" s="938">
        <v>22.13</v>
      </c>
      <c r="V172" s="938">
        <v>23.02</v>
      </c>
      <c r="W172" s="938">
        <v>23.85</v>
      </c>
      <c r="X172" s="938">
        <v>24.8</v>
      </c>
      <c r="Y172" s="938">
        <v>25.81</v>
      </c>
      <c r="Z172" s="938">
        <v>26.88</v>
      </c>
      <c r="AA172" s="938">
        <v>27.91</v>
      </c>
      <c r="AB172" s="938">
        <v>28.9</v>
      </c>
      <c r="AC172" s="938">
        <v>30.02</v>
      </c>
      <c r="AD172" s="938">
        <v>31.26</v>
      </c>
      <c r="AE172" s="977">
        <v>2.9000000000000001E-2</v>
      </c>
      <c r="AF172" s="938"/>
      <c r="AG172" s="938"/>
      <c r="AH172" s="938"/>
      <c r="AI172" s="938"/>
      <c r="AJ172" s="938"/>
      <c r="AK172" s="938"/>
      <c r="AL172" s="938"/>
      <c r="AM172" s="938"/>
      <c r="AN172" s="938"/>
      <c r="AO172" s="938"/>
      <c r="AP172" s="938"/>
      <c r="AQ172" s="938"/>
      <c r="AR172" s="938"/>
      <c r="AS172" s="938"/>
      <c r="AT172" s="938"/>
      <c r="AU172" s="938"/>
      <c r="AV172" s="938"/>
      <c r="AW172" s="938"/>
      <c r="AX172" s="938"/>
      <c r="AY172" s="938"/>
      <c r="AZ172" s="938"/>
      <c r="BA172" s="938"/>
      <c r="BB172" s="938"/>
      <c r="BC172" s="938"/>
      <c r="BD172" s="938"/>
      <c r="BE172" s="938"/>
      <c r="BF172" s="938"/>
      <c r="BG172" s="938"/>
      <c r="BH172" s="938"/>
      <c r="BI172" s="938"/>
      <c r="BJ172" s="938"/>
      <c r="BK172" s="938"/>
      <c r="BL172" s="938"/>
      <c r="BM172" s="938"/>
      <c r="BN172" s="938"/>
      <c r="BO172" s="938"/>
      <c r="BP172" s="938"/>
      <c r="BQ172" s="938"/>
      <c r="BR172" s="938"/>
      <c r="BS172" s="938"/>
      <c r="BT172" s="938"/>
    </row>
    <row r="173" spans="1:72" x14ac:dyDescent="0.25">
      <c r="A173" s="938" t="s">
        <v>622</v>
      </c>
      <c r="B173" s="938">
        <v>13.54</v>
      </c>
      <c r="C173" s="938">
        <v>15.96</v>
      </c>
      <c r="D173" s="938">
        <v>11.54</v>
      </c>
      <c r="E173" s="938">
        <v>12.36</v>
      </c>
      <c r="F173" s="938">
        <v>13.66</v>
      </c>
      <c r="G173" s="938">
        <v>14.28</v>
      </c>
      <c r="H173" s="938">
        <v>14.39</v>
      </c>
      <c r="I173" s="938">
        <v>14.52</v>
      </c>
      <c r="J173" s="938">
        <v>14.9</v>
      </c>
      <c r="K173" s="938">
        <v>15.21</v>
      </c>
      <c r="L173" s="938">
        <v>15.46</v>
      </c>
      <c r="M173" s="938">
        <v>15.74</v>
      </c>
      <c r="N173" s="938">
        <v>16.04</v>
      </c>
      <c r="O173" s="938">
        <v>16.43</v>
      </c>
      <c r="P173" s="938">
        <v>16.8</v>
      </c>
      <c r="Q173" s="938">
        <v>17.32</v>
      </c>
      <c r="R173" s="938">
        <v>17.64</v>
      </c>
      <c r="S173" s="938">
        <v>17.829999999999998</v>
      </c>
      <c r="T173" s="938">
        <v>18.23</v>
      </c>
      <c r="U173" s="938">
        <v>18.760000000000002</v>
      </c>
      <c r="V173" s="938">
        <v>19.309999999999999</v>
      </c>
      <c r="W173" s="938">
        <v>19.98</v>
      </c>
      <c r="X173" s="938">
        <v>20.67</v>
      </c>
      <c r="Y173" s="938">
        <v>21.42</v>
      </c>
      <c r="Z173" s="938">
        <v>22.31</v>
      </c>
      <c r="AA173" s="938">
        <v>22.94</v>
      </c>
      <c r="AB173" s="938">
        <v>23.44</v>
      </c>
      <c r="AC173" s="938">
        <v>24.19</v>
      </c>
      <c r="AD173" s="938">
        <v>24.84</v>
      </c>
      <c r="AE173" s="977">
        <v>1.7000000000000001E-2</v>
      </c>
      <c r="AF173" s="938"/>
      <c r="AG173" s="938"/>
      <c r="AH173" s="938"/>
      <c r="AI173" s="938"/>
      <c r="AJ173" s="938"/>
      <c r="AK173" s="938"/>
      <c r="AL173" s="938"/>
      <c r="AM173" s="938"/>
      <c r="AN173" s="938"/>
      <c r="AO173" s="938"/>
      <c r="AP173" s="938"/>
      <c r="AQ173" s="938"/>
      <c r="AR173" s="938"/>
      <c r="AS173" s="938"/>
      <c r="AT173" s="938"/>
      <c r="AU173" s="938"/>
      <c r="AV173" s="938"/>
      <c r="AW173" s="938"/>
      <c r="AX173" s="938"/>
      <c r="AY173" s="938"/>
      <c r="AZ173" s="938"/>
      <c r="BA173" s="938"/>
      <c r="BB173" s="938"/>
      <c r="BC173" s="938"/>
      <c r="BD173" s="938"/>
      <c r="BE173" s="938"/>
      <c r="BF173" s="938"/>
      <c r="BG173" s="938"/>
      <c r="BH173" s="938"/>
      <c r="BI173" s="938"/>
      <c r="BJ173" s="938"/>
      <c r="BK173" s="938"/>
      <c r="BL173" s="938"/>
      <c r="BM173" s="938"/>
      <c r="BN173" s="938"/>
      <c r="BO173" s="938"/>
      <c r="BP173" s="938"/>
      <c r="BQ173" s="938"/>
      <c r="BR173" s="938"/>
      <c r="BS173" s="938"/>
      <c r="BT173" s="938"/>
    </row>
    <row r="174" spans="1:72" x14ac:dyDescent="0.25">
      <c r="A174" s="938" t="s">
        <v>479</v>
      </c>
      <c r="B174" s="938">
        <v>31.32</v>
      </c>
      <c r="C174" s="938">
        <v>33.729999999999997</v>
      </c>
      <c r="D174" s="938">
        <v>32.79</v>
      </c>
      <c r="E174" s="938">
        <v>31.2</v>
      </c>
      <c r="F174" s="938">
        <v>28.83</v>
      </c>
      <c r="G174" s="938">
        <v>31.39</v>
      </c>
      <c r="H174" s="938">
        <v>32.01</v>
      </c>
      <c r="I174" s="938">
        <v>31.85</v>
      </c>
      <c r="J174" s="938">
        <v>32.08</v>
      </c>
      <c r="K174" s="938">
        <v>32.909999999999997</v>
      </c>
      <c r="L174" s="938">
        <v>33.549999999999997</v>
      </c>
      <c r="M174" s="938">
        <v>33.97</v>
      </c>
      <c r="N174" s="938">
        <v>34.26</v>
      </c>
      <c r="O174" s="938">
        <v>34.89</v>
      </c>
      <c r="P174" s="938">
        <v>35.61</v>
      </c>
      <c r="Q174" s="938">
        <v>36.26</v>
      </c>
      <c r="R174" s="938">
        <v>37.11</v>
      </c>
      <c r="S174" s="938">
        <v>38.1</v>
      </c>
      <c r="T174" s="938">
        <v>38.86</v>
      </c>
      <c r="U174" s="938">
        <v>40</v>
      </c>
      <c r="V174" s="938">
        <v>41.47</v>
      </c>
      <c r="W174" s="938">
        <v>43.05</v>
      </c>
      <c r="X174" s="938">
        <v>45.05</v>
      </c>
      <c r="Y174" s="938">
        <v>46.8</v>
      </c>
      <c r="Z174" s="938">
        <v>48.78</v>
      </c>
      <c r="AA174" s="938">
        <v>50.72</v>
      </c>
      <c r="AB174" s="938">
        <v>52.33</v>
      </c>
      <c r="AC174" s="938">
        <v>54.13</v>
      </c>
      <c r="AD174" s="938">
        <v>55.89</v>
      </c>
      <c r="AE174" s="977">
        <v>1.9E-2</v>
      </c>
      <c r="AF174" s="938"/>
      <c r="AG174" s="938"/>
      <c r="AH174" s="938"/>
      <c r="AI174" s="938"/>
      <c r="AJ174" s="938"/>
      <c r="AK174" s="938"/>
      <c r="AL174" s="938"/>
      <c r="AM174" s="938"/>
      <c r="AN174" s="938"/>
      <c r="AO174" s="938"/>
      <c r="AP174" s="938"/>
      <c r="AQ174" s="938"/>
      <c r="AR174" s="938"/>
      <c r="AS174" s="938"/>
      <c r="AT174" s="938"/>
      <c r="AU174" s="938"/>
      <c r="AV174" s="938"/>
      <c r="AW174" s="938"/>
      <c r="AX174" s="938"/>
      <c r="AY174" s="938"/>
      <c r="AZ174" s="938"/>
      <c r="BA174" s="938"/>
      <c r="BB174" s="938"/>
      <c r="BC174" s="938"/>
      <c r="BD174" s="938"/>
      <c r="BE174" s="938"/>
      <c r="BF174" s="938"/>
      <c r="BG174" s="938"/>
      <c r="BH174" s="938"/>
      <c r="BI174" s="938"/>
      <c r="BJ174" s="938"/>
      <c r="BK174" s="938"/>
      <c r="BL174" s="938"/>
      <c r="BM174" s="938"/>
      <c r="BN174" s="938"/>
      <c r="BO174" s="938"/>
      <c r="BP174" s="938"/>
      <c r="BQ174" s="938"/>
      <c r="BR174" s="938"/>
      <c r="BS174" s="938"/>
      <c r="BT174" s="938"/>
    </row>
    <row r="175" spans="1:72" x14ac:dyDescent="0.25">
      <c r="A175" s="938"/>
      <c r="B175" s="938"/>
      <c r="C175" s="938"/>
      <c r="D175" s="938"/>
      <c r="E175" s="938"/>
      <c r="F175" s="938"/>
      <c r="G175" s="938"/>
      <c r="H175" s="938"/>
      <c r="I175" s="938"/>
      <c r="J175" s="938"/>
      <c r="K175" s="938"/>
      <c r="L175" s="938"/>
      <c r="M175" s="938"/>
      <c r="N175" s="938"/>
      <c r="O175" s="938"/>
      <c r="P175" s="938"/>
      <c r="Q175" s="938"/>
      <c r="R175" s="938"/>
      <c r="S175" s="938"/>
      <c r="T175" s="938"/>
      <c r="U175" s="938"/>
      <c r="V175" s="938"/>
      <c r="W175" s="938"/>
      <c r="X175" s="938"/>
      <c r="Y175" s="938"/>
      <c r="Z175" s="938"/>
      <c r="AA175" s="938"/>
      <c r="AB175" s="938"/>
      <c r="AC175" s="938"/>
      <c r="AD175" s="938"/>
      <c r="AE175" s="938"/>
      <c r="AF175" s="938"/>
      <c r="AG175" s="938"/>
      <c r="AH175" s="938"/>
      <c r="AI175" s="938"/>
      <c r="AJ175" s="938"/>
      <c r="AK175" s="938"/>
      <c r="AL175" s="938"/>
      <c r="AM175" s="938"/>
      <c r="AN175" s="938"/>
      <c r="AO175" s="938"/>
      <c r="AP175" s="938"/>
      <c r="AQ175" s="938"/>
      <c r="AR175" s="938"/>
      <c r="AS175" s="938"/>
      <c r="AT175" s="938"/>
      <c r="AU175" s="938"/>
      <c r="AV175" s="938"/>
      <c r="AW175" s="938"/>
      <c r="AX175" s="938"/>
      <c r="AY175" s="938"/>
      <c r="AZ175" s="938"/>
      <c r="BA175" s="938"/>
      <c r="BB175" s="938"/>
      <c r="BC175" s="938"/>
      <c r="BD175" s="938"/>
      <c r="BE175" s="938"/>
      <c r="BF175" s="938"/>
      <c r="BG175" s="938"/>
      <c r="BH175" s="938"/>
      <c r="BI175" s="938"/>
      <c r="BJ175" s="938"/>
      <c r="BK175" s="938"/>
      <c r="BL175" s="938"/>
      <c r="BM175" s="938"/>
      <c r="BN175" s="938"/>
      <c r="BO175" s="938"/>
      <c r="BP175" s="938"/>
      <c r="BQ175" s="938"/>
      <c r="BR175" s="938"/>
      <c r="BS175" s="938"/>
      <c r="BT175" s="938"/>
    </row>
    <row r="176" spans="1:72" x14ac:dyDescent="0.25">
      <c r="A176" s="938" t="s">
        <v>623</v>
      </c>
      <c r="B176" s="938"/>
      <c r="C176" s="938"/>
      <c r="D176" s="938"/>
      <c r="E176" s="938"/>
      <c r="F176" s="938"/>
      <c r="G176" s="938"/>
      <c r="H176" s="938"/>
      <c r="I176" s="938"/>
      <c r="J176" s="938"/>
      <c r="K176" s="938"/>
      <c r="L176" s="938"/>
      <c r="M176" s="938"/>
      <c r="N176" s="938"/>
      <c r="O176" s="938"/>
      <c r="P176" s="938"/>
      <c r="Q176" s="938"/>
      <c r="R176" s="938"/>
      <c r="S176" s="938"/>
      <c r="T176" s="938"/>
      <c r="U176" s="938"/>
      <c r="V176" s="938"/>
      <c r="W176" s="938"/>
      <c r="X176" s="938"/>
      <c r="Y176" s="938"/>
      <c r="Z176" s="938"/>
      <c r="AA176" s="938"/>
      <c r="AB176" s="938"/>
      <c r="AC176" s="938"/>
      <c r="AD176" s="938"/>
      <c r="AE176" s="938"/>
      <c r="AF176" s="938"/>
      <c r="AG176" s="938"/>
      <c r="AH176" s="938"/>
      <c r="AI176" s="938"/>
      <c r="AJ176" s="938"/>
      <c r="AK176" s="938"/>
      <c r="AL176" s="938"/>
      <c r="AM176" s="938"/>
      <c r="AN176" s="938"/>
      <c r="AO176" s="938"/>
      <c r="AP176" s="938"/>
      <c r="AQ176" s="938"/>
      <c r="AR176" s="938"/>
      <c r="AS176" s="938"/>
      <c r="AT176" s="938"/>
      <c r="AU176" s="938"/>
      <c r="AV176" s="938"/>
      <c r="AW176" s="938"/>
      <c r="AX176" s="938"/>
      <c r="AY176" s="938"/>
      <c r="AZ176" s="938"/>
      <c r="BA176" s="938"/>
      <c r="BB176" s="938"/>
      <c r="BC176" s="938"/>
      <c r="BD176" s="938"/>
      <c r="BE176" s="938"/>
      <c r="BF176" s="938"/>
      <c r="BG176" s="938"/>
      <c r="BH176" s="938"/>
      <c r="BI176" s="938"/>
      <c r="BJ176" s="938"/>
      <c r="BK176" s="938"/>
      <c r="BL176" s="938"/>
      <c r="BM176" s="938"/>
      <c r="BN176" s="938"/>
      <c r="BO176" s="938"/>
      <c r="BP176" s="938"/>
      <c r="BQ176" s="938"/>
      <c r="BR176" s="938"/>
      <c r="BS176" s="938"/>
      <c r="BT176" s="938"/>
    </row>
    <row r="177" spans="1:72" x14ac:dyDescent="0.25">
      <c r="A177" s="938" t="s">
        <v>610</v>
      </c>
      <c r="B177" s="938">
        <v>15.41</v>
      </c>
      <c r="C177" s="938">
        <v>19.37</v>
      </c>
      <c r="D177" s="938">
        <v>14.46</v>
      </c>
      <c r="E177" s="938">
        <v>14.33</v>
      </c>
      <c r="F177" s="938">
        <v>14.68</v>
      </c>
      <c r="G177" s="938">
        <v>16.09</v>
      </c>
      <c r="H177" s="938">
        <v>17.46</v>
      </c>
      <c r="I177" s="938">
        <v>18.510000000000002</v>
      </c>
      <c r="J177" s="938">
        <v>19.350000000000001</v>
      </c>
      <c r="K177" s="938">
        <v>20.67</v>
      </c>
      <c r="L177" s="938">
        <v>21.81</v>
      </c>
      <c r="M177" s="938">
        <v>22.96</v>
      </c>
      <c r="N177" s="938">
        <v>23.88</v>
      </c>
      <c r="O177" s="938">
        <v>24.75</v>
      </c>
      <c r="P177" s="938">
        <v>25.46</v>
      </c>
      <c r="Q177" s="938">
        <v>26.24</v>
      </c>
      <c r="R177" s="938">
        <v>27.22</v>
      </c>
      <c r="S177" s="938">
        <v>28.03</v>
      </c>
      <c r="T177" s="938">
        <v>28.98</v>
      </c>
      <c r="U177" s="938">
        <v>29.93</v>
      </c>
      <c r="V177" s="938">
        <v>30.88</v>
      </c>
      <c r="W177" s="938">
        <v>32</v>
      </c>
      <c r="X177" s="938">
        <v>33.28</v>
      </c>
      <c r="Y177" s="938">
        <v>34.28</v>
      </c>
      <c r="Z177" s="938">
        <v>35.71</v>
      </c>
      <c r="AA177" s="938">
        <v>37.130000000000003</v>
      </c>
      <c r="AB177" s="938">
        <v>38.46</v>
      </c>
      <c r="AC177" s="938">
        <v>39.950000000000003</v>
      </c>
      <c r="AD177" s="938">
        <v>41.52</v>
      </c>
      <c r="AE177" s="977">
        <v>2.9000000000000001E-2</v>
      </c>
      <c r="AF177" s="938"/>
      <c r="AG177" s="938"/>
      <c r="AH177" s="938"/>
      <c r="AI177" s="938"/>
      <c r="AJ177" s="938"/>
      <c r="AK177" s="938"/>
      <c r="AL177" s="938"/>
      <c r="AM177" s="938"/>
      <c r="AN177" s="938"/>
      <c r="AO177" s="938"/>
      <c r="AP177" s="938"/>
      <c r="AQ177" s="938"/>
      <c r="AR177" s="938"/>
      <c r="AS177" s="938"/>
      <c r="AT177" s="938"/>
      <c r="AU177" s="938"/>
      <c r="AV177" s="938"/>
      <c r="AW177" s="938"/>
      <c r="AX177" s="938"/>
      <c r="AY177" s="938"/>
      <c r="AZ177" s="938"/>
      <c r="BA177" s="938"/>
      <c r="BB177" s="938"/>
      <c r="BC177" s="938"/>
      <c r="BD177" s="938"/>
      <c r="BE177" s="938"/>
      <c r="BF177" s="938"/>
      <c r="BG177" s="938"/>
      <c r="BH177" s="938"/>
      <c r="BI177" s="938"/>
      <c r="BJ177" s="938"/>
      <c r="BK177" s="938"/>
      <c r="BL177" s="938"/>
      <c r="BM177" s="938"/>
      <c r="BN177" s="938"/>
      <c r="BO177" s="938"/>
      <c r="BP177" s="938"/>
      <c r="BQ177" s="938"/>
      <c r="BR177" s="938"/>
      <c r="BS177" s="938"/>
      <c r="BT177" s="938"/>
    </row>
    <row r="178" spans="1:72" x14ac:dyDescent="0.25">
      <c r="A178" s="938" t="s">
        <v>611</v>
      </c>
      <c r="B178" s="938">
        <v>8.84</v>
      </c>
      <c r="C178" s="938">
        <v>14.56</v>
      </c>
      <c r="D178" s="938">
        <v>8.92</v>
      </c>
      <c r="E178" s="938">
        <v>12.37</v>
      </c>
      <c r="F178" s="938">
        <v>12.7</v>
      </c>
      <c r="G178" s="938">
        <v>14.13</v>
      </c>
      <c r="H178" s="938">
        <v>15.48</v>
      </c>
      <c r="I178" s="938">
        <v>16.55</v>
      </c>
      <c r="J178" s="938">
        <v>17.3</v>
      </c>
      <c r="K178" s="938">
        <v>18.07</v>
      </c>
      <c r="L178" s="938">
        <v>19.010000000000002</v>
      </c>
      <c r="M178" s="938">
        <v>19.88</v>
      </c>
      <c r="N178" s="938">
        <v>20.54</v>
      </c>
      <c r="O178" s="938">
        <v>21.05</v>
      </c>
      <c r="P178" s="938">
        <v>21.8</v>
      </c>
      <c r="Q178" s="938">
        <v>22.48</v>
      </c>
      <c r="R178" s="938">
        <v>23.26</v>
      </c>
      <c r="S178" s="938">
        <v>24.05</v>
      </c>
      <c r="T178" s="938">
        <v>24.83</v>
      </c>
      <c r="U178" s="938">
        <v>25.46</v>
      </c>
      <c r="V178" s="938">
        <v>26.42</v>
      </c>
      <c r="W178" s="938">
        <v>27.37</v>
      </c>
      <c r="X178" s="938">
        <v>28.4</v>
      </c>
      <c r="Y178" s="938">
        <v>29.5</v>
      </c>
      <c r="Z178" s="938">
        <v>30.7</v>
      </c>
      <c r="AA178" s="938">
        <v>31.85</v>
      </c>
      <c r="AB178" s="938">
        <v>32.92</v>
      </c>
      <c r="AC178" s="938">
        <v>34.19</v>
      </c>
      <c r="AD178" s="938">
        <v>35.49</v>
      </c>
      <c r="AE178" s="977">
        <v>3.4000000000000002E-2</v>
      </c>
      <c r="AF178" s="938"/>
      <c r="AG178" s="938"/>
      <c r="AH178" s="938"/>
      <c r="AI178" s="938"/>
      <c r="AJ178" s="938"/>
      <c r="AK178" s="938"/>
      <c r="AL178" s="938"/>
      <c r="AM178" s="938"/>
      <c r="AN178" s="938"/>
      <c r="AO178" s="938"/>
      <c r="AP178" s="938"/>
      <c r="AQ178" s="938"/>
      <c r="AR178" s="938"/>
      <c r="AS178" s="938"/>
      <c r="AT178" s="938"/>
      <c r="AU178" s="938"/>
      <c r="AV178" s="938"/>
      <c r="AW178" s="938"/>
      <c r="AX178" s="938"/>
      <c r="AY178" s="938"/>
      <c r="AZ178" s="938"/>
      <c r="BA178" s="938"/>
      <c r="BB178" s="938"/>
      <c r="BC178" s="938"/>
      <c r="BD178" s="938"/>
      <c r="BE178" s="938"/>
      <c r="BF178" s="938"/>
      <c r="BG178" s="938"/>
      <c r="BH178" s="938"/>
      <c r="BI178" s="938"/>
      <c r="BJ178" s="938"/>
      <c r="BK178" s="938"/>
      <c r="BL178" s="938"/>
      <c r="BM178" s="938"/>
      <c r="BN178" s="938"/>
      <c r="BO178" s="938"/>
      <c r="BP178" s="938"/>
      <c r="BQ178" s="938"/>
      <c r="BR178" s="938"/>
      <c r="BS178" s="938"/>
      <c r="BT178" s="938"/>
    </row>
    <row r="179" spans="1:72" x14ac:dyDescent="0.25">
      <c r="A179" s="938" t="s">
        <v>510</v>
      </c>
      <c r="B179" s="938">
        <v>7.1</v>
      </c>
      <c r="C179" s="938">
        <v>9.09</v>
      </c>
      <c r="D179" s="938">
        <v>4.2</v>
      </c>
      <c r="E179" s="938">
        <v>4.99</v>
      </c>
      <c r="F179" s="938">
        <v>6.07</v>
      </c>
      <c r="G179" s="938">
        <v>6.53</v>
      </c>
      <c r="H179" s="938">
        <v>6.4</v>
      </c>
      <c r="I179" s="938">
        <v>6.47</v>
      </c>
      <c r="J179" s="938">
        <v>6.77</v>
      </c>
      <c r="K179" s="938">
        <v>6.99</v>
      </c>
      <c r="L179" s="938">
        <v>7.13</v>
      </c>
      <c r="M179" s="938">
        <v>7.32</v>
      </c>
      <c r="N179" s="938">
        <v>7.53</v>
      </c>
      <c r="O179" s="938">
        <v>7.85</v>
      </c>
      <c r="P179" s="938">
        <v>8.1300000000000008</v>
      </c>
      <c r="Q179" s="938">
        <v>8.5399999999999991</v>
      </c>
      <c r="R179" s="938">
        <v>8.7799999999999994</v>
      </c>
      <c r="S179" s="938">
        <v>8.91</v>
      </c>
      <c r="T179" s="938">
        <v>9.17</v>
      </c>
      <c r="U179" s="938">
        <v>9.57</v>
      </c>
      <c r="V179" s="938">
        <v>9.9700000000000006</v>
      </c>
      <c r="W179" s="938">
        <v>10.51</v>
      </c>
      <c r="X179" s="938">
        <v>11.09</v>
      </c>
      <c r="Y179" s="938">
        <v>11.66</v>
      </c>
      <c r="Z179" s="938">
        <v>12.38</v>
      </c>
      <c r="AA179" s="938">
        <v>12.84</v>
      </c>
      <c r="AB179" s="938">
        <v>13.16</v>
      </c>
      <c r="AC179" s="938">
        <v>13.75</v>
      </c>
      <c r="AD179" s="938">
        <v>14.22</v>
      </c>
      <c r="AE179" s="977">
        <v>1.7000000000000001E-2</v>
      </c>
      <c r="AF179" s="938"/>
      <c r="AG179" s="938"/>
      <c r="AH179" s="938"/>
      <c r="AI179" s="938"/>
      <c r="AJ179" s="938"/>
      <c r="AK179" s="938"/>
      <c r="AL179" s="938"/>
      <c r="AM179" s="938"/>
      <c r="AN179" s="938"/>
      <c r="AO179" s="938"/>
      <c r="AP179" s="938"/>
      <c r="AQ179" s="938"/>
      <c r="AR179" s="938"/>
      <c r="AS179" s="938"/>
      <c r="AT179" s="938"/>
      <c r="AU179" s="938"/>
      <c r="AV179" s="938"/>
      <c r="AW179" s="938"/>
      <c r="AX179" s="938"/>
      <c r="AY179" s="938"/>
      <c r="AZ179" s="938"/>
      <c r="BA179" s="938"/>
      <c r="BB179" s="938"/>
      <c r="BC179" s="938"/>
      <c r="BD179" s="938"/>
      <c r="BE179" s="938"/>
      <c r="BF179" s="938"/>
      <c r="BG179" s="938"/>
      <c r="BH179" s="938"/>
      <c r="BI179" s="938"/>
      <c r="BJ179" s="938"/>
      <c r="BK179" s="938"/>
      <c r="BL179" s="938"/>
      <c r="BM179" s="938"/>
      <c r="BN179" s="938"/>
      <c r="BO179" s="938"/>
      <c r="BP179" s="938"/>
      <c r="BQ179" s="938"/>
      <c r="BR179" s="938"/>
      <c r="BS179" s="938"/>
      <c r="BT179" s="938"/>
    </row>
    <row r="180" spans="1:72" x14ac:dyDescent="0.25">
      <c r="A180" s="938" t="s">
        <v>624</v>
      </c>
      <c r="B180" s="938">
        <v>1.76</v>
      </c>
      <c r="C180" s="938">
        <v>2.0499999999999998</v>
      </c>
      <c r="D180" s="938">
        <v>2.1800000000000002</v>
      </c>
      <c r="E180" s="938">
        <v>2.0499999999999998</v>
      </c>
      <c r="F180" s="938">
        <v>2.0699999999999998</v>
      </c>
      <c r="G180" s="938">
        <v>2.1</v>
      </c>
      <c r="H180" s="938">
        <v>2.15</v>
      </c>
      <c r="I180" s="938">
        <v>2.19</v>
      </c>
      <c r="J180" s="938">
        <v>2.2400000000000002</v>
      </c>
      <c r="K180" s="938">
        <v>2.2599999999999998</v>
      </c>
      <c r="L180" s="938">
        <v>2.31</v>
      </c>
      <c r="M180" s="938">
        <v>2.34</v>
      </c>
      <c r="N180" s="938">
        <v>2.38</v>
      </c>
      <c r="O180" s="938">
        <v>2.42</v>
      </c>
      <c r="P180" s="938">
        <v>2.4700000000000002</v>
      </c>
      <c r="Q180" s="938">
        <v>2.54</v>
      </c>
      <c r="R180" s="938">
        <v>2.59</v>
      </c>
      <c r="S180" s="938">
        <v>2.65</v>
      </c>
      <c r="T180" s="938">
        <v>2.69</v>
      </c>
      <c r="U180" s="938">
        <v>2.77</v>
      </c>
      <c r="V180" s="938">
        <v>2.82</v>
      </c>
      <c r="W180" s="938">
        <v>2.9</v>
      </c>
      <c r="X180" s="938">
        <v>2.98</v>
      </c>
      <c r="Y180" s="938">
        <v>3.06</v>
      </c>
      <c r="Z180" s="938">
        <v>3.15</v>
      </c>
      <c r="AA180" s="938">
        <v>3.23</v>
      </c>
      <c r="AB180" s="938">
        <v>3.32</v>
      </c>
      <c r="AC180" s="938">
        <v>3.41</v>
      </c>
      <c r="AD180" s="938">
        <v>3.51</v>
      </c>
      <c r="AE180" s="977">
        <v>0.02</v>
      </c>
      <c r="AF180" s="938"/>
      <c r="AG180" s="938"/>
      <c r="AH180" s="938"/>
      <c r="AI180" s="938"/>
      <c r="AJ180" s="938"/>
      <c r="AK180" s="938"/>
      <c r="AL180" s="938"/>
      <c r="AM180" s="938"/>
      <c r="AN180" s="938"/>
      <c r="AO180" s="938"/>
      <c r="AP180" s="938"/>
      <c r="AQ180" s="938"/>
      <c r="AR180" s="938"/>
      <c r="AS180" s="938"/>
      <c r="AT180" s="938"/>
      <c r="AU180" s="938"/>
      <c r="AV180" s="938"/>
      <c r="AW180" s="938"/>
      <c r="AX180" s="938"/>
      <c r="AY180" s="938"/>
      <c r="AZ180" s="938"/>
      <c r="BA180" s="938"/>
      <c r="BB180" s="938"/>
      <c r="BC180" s="938"/>
      <c r="BD180" s="938"/>
      <c r="BE180" s="938"/>
      <c r="BF180" s="938"/>
      <c r="BG180" s="938"/>
      <c r="BH180" s="938"/>
      <c r="BI180" s="938"/>
      <c r="BJ180" s="938"/>
      <c r="BK180" s="938"/>
      <c r="BL180" s="938"/>
      <c r="BM180" s="938"/>
      <c r="BN180" s="938"/>
      <c r="BO180" s="938"/>
      <c r="BP180" s="938"/>
      <c r="BQ180" s="938"/>
      <c r="BR180" s="938"/>
      <c r="BS180" s="938"/>
      <c r="BT180" s="938"/>
    </row>
    <row r="181" spans="1:72" x14ac:dyDescent="0.25">
      <c r="A181" s="938"/>
      <c r="B181" s="938"/>
      <c r="C181" s="938"/>
      <c r="D181" s="938"/>
      <c r="E181" s="938"/>
      <c r="F181" s="938"/>
      <c r="G181" s="938"/>
      <c r="H181" s="938"/>
      <c r="I181" s="938"/>
      <c r="J181" s="938"/>
      <c r="K181" s="938"/>
      <c r="L181" s="938"/>
      <c r="M181" s="938"/>
      <c r="N181" s="938"/>
      <c r="O181" s="938"/>
      <c r="P181" s="938"/>
      <c r="Q181" s="938"/>
      <c r="R181" s="938"/>
      <c r="S181" s="938"/>
      <c r="T181" s="938"/>
      <c r="U181" s="938"/>
      <c r="V181" s="938"/>
      <c r="W181" s="938"/>
      <c r="X181" s="938"/>
      <c r="Y181" s="938"/>
      <c r="Z181" s="938"/>
      <c r="AA181" s="938"/>
      <c r="AB181" s="938"/>
      <c r="AC181" s="938"/>
      <c r="AD181" s="938"/>
      <c r="AE181" s="938"/>
      <c r="AF181" s="938"/>
      <c r="AG181" s="938"/>
      <c r="AH181" s="938"/>
      <c r="AI181" s="938"/>
      <c r="AJ181" s="938"/>
      <c r="AK181" s="938"/>
      <c r="AL181" s="938"/>
      <c r="AM181" s="938"/>
      <c r="AN181" s="938"/>
      <c r="AO181" s="938"/>
      <c r="AP181" s="938"/>
      <c r="AQ181" s="938"/>
      <c r="AR181" s="938"/>
      <c r="AS181" s="938"/>
      <c r="AT181" s="938"/>
      <c r="AU181" s="938"/>
      <c r="AV181" s="938"/>
      <c r="AW181" s="938"/>
      <c r="AX181" s="938"/>
      <c r="AY181" s="938"/>
      <c r="AZ181" s="938"/>
      <c r="BA181" s="938"/>
      <c r="BB181" s="938"/>
      <c r="BC181" s="938"/>
      <c r="BD181" s="938"/>
      <c r="BE181" s="938"/>
      <c r="BF181" s="938"/>
      <c r="BG181" s="938"/>
      <c r="BH181" s="938"/>
      <c r="BI181" s="938"/>
      <c r="BJ181" s="938"/>
      <c r="BK181" s="938"/>
      <c r="BL181" s="938"/>
      <c r="BM181" s="938"/>
      <c r="BN181" s="938"/>
      <c r="BO181" s="938"/>
      <c r="BP181" s="938"/>
      <c r="BQ181" s="938"/>
      <c r="BR181" s="938"/>
      <c r="BS181" s="938"/>
      <c r="BT181" s="938"/>
    </row>
    <row r="182" spans="1:72" x14ac:dyDescent="0.25">
      <c r="A182" s="938" t="s">
        <v>625</v>
      </c>
      <c r="B182" s="938"/>
      <c r="C182" s="938"/>
      <c r="D182" s="938"/>
      <c r="E182" s="938"/>
      <c r="F182" s="938"/>
      <c r="G182" s="938"/>
      <c r="H182" s="938"/>
      <c r="I182" s="938"/>
      <c r="J182" s="938"/>
      <c r="K182" s="938"/>
      <c r="L182" s="938"/>
      <c r="M182" s="938"/>
      <c r="N182" s="938"/>
      <c r="O182" s="938"/>
      <c r="P182" s="938"/>
      <c r="Q182" s="938"/>
      <c r="R182" s="938"/>
      <c r="S182" s="938"/>
      <c r="T182" s="938"/>
      <c r="U182" s="938"/>
      <c r="V182" s="938"/>
      <c r="W182" s="938"/>
      <c r="X182" s="938"/>
      <c r="Y182" s="938"/>
      <c r="Z182" s="938"/>
      <c r="AA182" s="938"/>
      <c r="AB182" s="938"/>
      <c r="AC182" s="938"/>
      <c r="AD182" s="938"/>
      <c r="AE182" s="938"/>
      <c r="AF182" s="938"/>
      <c r="AG182" s="938"/>
      <c r="AH182" s="938"/>
      <c r="AI182" s="938"/>
      <c r="AJ182" s="938"/>
      <c r="AK182" s="938"/>
      <c r="AL182" s="938"/>
      <c r="AM182" s="938"/>
      <c r="AN182" s="938"/>
      <c r="AO182" s="938"/>
      <c r="AP182" s="938"/>
      <c r="AQ182" s="938"/>
      <c r="AR182" s="938"/>
      <c r="AS182" s="938"/>
      <c r="AT182" s="938"/>
      <c r="AU182" s="938"/>
      <c r="AV182" s="938"/>
      <c r="AW182" s="938"/>
      <c r="AX182" s="938"/>
      <c r="AY182" s="938"/>
      <c r="AZ182" s="938"/>
      <c r="BA182" s="938"/>
      <c r="BB182" s="938"/>
      <c r="BC182" s="938"/>
      <c r="BD182" s="938"/>
      <c r="BE182" s="938"/>
      <c r="BF182" s="938"/>
      <c r="BG182" s="938"/>
      <c r="BH182" s="938"/>
      <c r="BI182" s="938"/>
      <c r="BJ182" s="938"/>
      <c r="BK182" s="938"/>
      <c r="BL182" s="938"/>
      <c r="BM182" s="938"/>
      <c r="BN182" s="938"/>
      <c r="BO182" s="938"/>
      <c r="BP182" s="938"/>
      <c r="BQ182" s="938"/>
      <c r="BR182" s="938"/>
      <c r="BS182" s="938"/>
      <c r="BT182" s="938"/>
    </row>
    <row r="183" spans="1:72" x14ac:dyDescent="0.25">
      <c r="A183" s="938" t="s">
        <v>609</v>
      </c>
      <c r="B183" s="938">
        <v>18.53</v>
      </c>
      <c r="C183" s="938">
        <v>20.190000000000001</v>
      </c>
      <c r="D183" s="938">
        <v>18.64</v>
      </c>
      <c r="E183" s="938">
        <v>17.36</v>
      </c>
      <c r="F183" s="938">
        <v>17.61</v>
      </c>
      <c r="G183" s="938">
        <v>18.920000000000002</v>
      </c>
      <c r="H183" s="938">
        <v>20.43</v>
      </c>
      <c r="I183" s="938">
        <v>21.72</v>
      </c>
      <c r="J183" s="938">
        <v>22.62</v>
      </c>
      <c r="K183" s="938">
        <v>23.64</v>
      </c>
      <c r="L183" s="938">
        <v>24.56</v>
      </c>
      <c r="M183" s="938">
        <v>25.55</v>
      </c>
      <c r="N183" s="938">
        <v>26.28</v>
      </c>
      <c r="O183" s="938">
        <v>27.06</v>
      </c>
      <c r="P183" s="938">
        <v>27.91</v>
      </c>
      <c r="Q183" s="938">
        <v>28.78</v>
      </c>
      <c r="R183" s="938">
        <v>29.75</v>
      </c>
      <c r="S183" s="938">
        <v>30.7</v>
      </c>
      <c r="T183" s="938">
        <v>31.68</v>
      </c>
      <c r="U183" s="938">
        <v>32.54</v>
      </c>
      <c r="V183" s="938">
        <v>33.6</v>
      </c>
      <c r="W183" s="938">
        <v>34.69</v>
      </c>
      <c r="X183" s="938">
        <v>35.950000000000003</v>
      </c>
      <c r="Y183" s="938">
        <v>37.049999999999997</v>
      </c>
      <c r="Z183" s="938">
        <v>38.44</v>
      </c>
      <c r="AA183" s="938">
        <v>39.83</v>
      </c>
      <c r="AB183" s="938">
        <v>41.29</v>
      </c>
      <c r="AC183" s="938">
        <v>42.77</v>
      </c>
      <c r="AD183" s="938">
        <v>44.32</v>
      </c>
      <c r="AE183" s="977">
        <v>0.03</v>
      </c>
      <c r="AF183" s="938"/>
      <c r="AG183" s="938"/>
      <c r="AH183" s="938"/>
      <c r="AI183" s="938"/>
      <c r="AJ183" s="938"/>
      <c r="AK183" s="938"/>
      <c r="AL183" s="938"/>
      <c r="AM183" s="938"/>
      <c r="AN183" s="938"/>
      <c r="AO183" s="938"/>
      <c r="AP183" s="938"/>
      <c r="AQ183" s="938"/>
      <c r="AR183" s="938"/>
      <c r="AS183" s="938"/>
      <c r="AT183" s="938"/>
      <c r="AU183" s="938"/>
      <c r="AV183" s="938"/>
      <c r="AW183" s="938"/>
      <c r="AX183" s="938"/>
      <c r="AY183" s="938"/>
      <c r="AZ183" s="938"/>
      <c r="BA183" s="938"/>
      <c r="BB183" s="938"/>
      <c r="BC183" s="938"/>
      <c r="BD183" s="938"/>
      <c r="BE183" s="938"/>
      <c r="BF183" s="938"/>
      <c r="BG183" s="938"/>
      <c r="BH183" s="938"/>
      <c r="BI183" s="938"/>
      <c r="BJ183" s="938"/>
      <c r="BK183" s="938"/>
      <c r="BL183" s="938"/>
      <c r="BM183" s="938"/>
      <c r="BN183" s="938"/>
      <c r="BO183" s="938"/>
      <c r="BP183" s="938"/>
      <c r="BQ183" s="938"/>
      <c r="BR183" s="938"/>
      <c r="BS183" s="938"/>
      <c r="BT183" s="938"/>
    </row>
    <row r="184" spans="1:72" x14ac:dyDescent="0.25">
      <c r="A184" s="938" t="s">
        <v>618</v>
      </c>
      <c r="B184" s="938">
        <v>26.83</v>
      </c>
      <c r="C184" s="938">
        <v>26.93</v>
      </c>
      <c r="D184" s="938">
        <v>23.64</v>
      </c>
      <c r="E184" s="938">
        <v>21.26</v>
      </c>
      <c r="F184" s="938">
        <v>21.89</v>
      </c>
      <c r="G184" s="938">
        <v>23.43</v>
      </c>
      <c r="H184" s="938">
        <v>26.07</v>
      </c>
      <c r="I184" s="938">
        <v>27.64</v>
      </c>
      <c r="J184" s="938">
        <v>28.47</v>
      </c>
      <c r="K184" s="938">
        <v>28.45</v>
      </c>
      <c r="L184" s="938">
        <v>29.92</v>
      </c>
      <c r="M184" s="938">
        <v>31.23</v>
      </c>
      <c r="N184" s="938">
        <v>31.97</v>
      </c>
      <c r="O184" s="938">
        <v>32.94</v>
      </c>
      <c r="P184" s="938">
        <v>34.090000000000003</v>
      </c>
      <c r="Q184" s="938">
        <v>35.479999999999997</v>
      </c>
      <c r="R184" s="938">
        <v>36.880000000000003</v>
      </c>
      <c r="S184" s="938">
        <v>37.979999999999997</v>
      </c>
      <c r="T184" s="938">
        <v>39.17</v>
      </c>
      <c r="U184" s="938">
        <v>40.479999999999997</v>
      </c>
      <c r="V184" s="938">
        <v>41.72</v>
      </c>
      <c r="W184" s="938">
        <v>43.4</v>
      </c>
      <c r="X184" s="938">
        <v>44.96</v>
      </c>
      <c r="Y184" s="938">
        <v>46.25</v>
      </c>
      <c r="Z184" s="938">
        <v>47.62</v>
      </c>
      <c r="AA184" s="938">
        <v>49.36</v>
      </c>
      <c r="AB184" s="938">
        <v>50.75</v>
      </c>
      <c r="AC184" s="938">
        <v>52.29</v>
      </c>
      <c r="AD184" s="938">
        <v>54.17</v>
      </c>
      <c r="AE184" s="977">
        <v>2.5999999999999999E-2</v>
      </c>
      <c r="AF184" s="938"/>
      <c r="AG184" s="938"/>
      <c r="AH184" s="938"/>
      <c r="AI184" s="938"/>
      <c r="AJ184" s="938"/>
      <c r="AK184" s="938"/>
      <c r="AL184" s="938"/>
      <c r="AM184" s="938"/>
      <c r="AN184" s="938"/>
      <c r="AO184" s="938"/>
      <c r="AP184" s="938"/>
      <c r="AQ184" s="938"/>
      <c r="AR184" s="938"/>
      <c r="AS184" s="938"/>
      <c r="AT184" s="938"/>
      <c r="AU184" s="938"/>
      <c r="AV184" s="938"/>
      <c r="AW184" s="938"/>
      <c r="AX184" s="938"/>
      <c r="AY184" s="938"/>
      <c r="AZ184" s="938"/>
      <c r="BA184" s="938"/>
      <c r="BB184" s="938"/>
      <c r="BC184" s="938"/>
      <c r="BD184" s="938"/>
      <c r="BE184" s="938"/>
      <c r="BF184" s="938"/>
      <c r="BG184" s="938"/>
      <c r="BH184" s="938"/>
      <c r="BI184" s="938"/>
      <c r="BJ184" s="938"/>
      <c r="BK184" s="938"/>
      <c r="BL184" s="938"/>
      <c r="BM184" s="938"/>
      <c r="BN184" s="938"/>
      <c r="BO184" s="938"/>
      <c r="BP184" s="938"/>
      <c r="BQ184" s="938"/>
      <c r="BR184" s="938"/>
      <c r="BS184" s="938"/>
      <c r="BT184" s="938"/>
    </row>
    <row r="185" spans="1:72" x14ac:dyDescent="0.25">
      <c r="A185" s="938" t="s">
        <v>619</v>
      </c>
      <c r="B185" s="938">
        <v>23.03</v>
      </c>
      <c r="C185" s="938">
        <v>26.54</v>
      </c>
      <c r="D185" s="938">
        <v>19.440000000000001</v>
      </c>
      <c r="E185" s="938">
        <v>21.17</v>
      </c>
      <c r="F185" s="938">
        <v>21.79</v>
      </c>
      <c r="G185" s="938">
        <v>23.32</v>
      </c>
      <c r="H185" s="938">
        <v>25.87</v>
      </c>
      <c r="I185" s="938">
        <v>27.33</v>
      </c>
      <c r="J185" s="938">
        <v>28.27</v>
      </c>
      <c r="K185" s="938">
        <v>29.42</v>
      </c>
      <c r="L185" s="938">
        <v>30.58</v>
      </c>
      <c r="M185" s="938">
        <v>31.64</v>
      </c>
      <c r="N185" s="938">
        <v>32.6</v>
      </c>
      <c r="O185" s="938">
        <v>33.71</v>
      </c>
      <c r="P185" s="938">
        <v>34.71</v>
      </c>
      <c r="Q185" s="938">
        <v>35.93</v>
      </c>
      <c r="R185" s="938">
        <v>37.020000000000003</v>
      </c>
      <c r="S185" s="938">
        <v>37.950000000000003</v>
      </c>
      <c r="T185" s="938">
        <v>39.17</v>
      </c>
      <c r="U185" s="938">
        <v>40.43</v>
      </c>
      <c r="V185" s="938">
        <v>41.68</v>
      </c>
      <c r="W185" s="938">
        <v>43.21</v>
      </c>
      <c r="X185" s="938">
        <v>44.69</v>
      </c>
      <c r="Y185" s="938">
        <v>45.9</v>
      </c>
      <c r="Z185" s="938">
        <v>47.46</v>
      </c>
      <c r="AA185" s="938">
        <v>49.15</v>
      </c>
      <c r="AB185" s="938">
        <v>50.65</v>
      </c>
      <c r="AC185" s="938">
        <v>52.35</v>
      </c>
      <c r="AD185" s="938">
        <v>54.32</v>
      </c>
      <c r="AE185" s="977">
        <v>2.7E-2</v>
      </c>
      <c r="AF185" s="938"/>
      <c r="AG185" s="938"/>
      <c r="AH185" s="938"/>
      <c r="AI185" s="938"/>
      <c r="AJ185" s="938"/>
      <c r="AK185" s="938"/>
      <c r="AL185" s="938"/>
      <c r="AM185" s="938"/>
      <c r="AN185" s="938"/>
      <c r="AO185" s="938"/>
      <c r="AP185" s="938"/>
      <c r="AQ185" s="938"/>
      <c r="AR185" s="938"/>
      <c r="AS185" s="938"/>
      <c r="AT185" s="938"/>
      <c r="AU185" s="938"/>
      <c r="AV185" s="938"/>
      <c r="AW185" s="938"/>
      <c r="AX185" s="938"/>
      <c r="AY185" s="938"/>
      <c r="AZ185" s="938"/>
      <c r="BA185" s="938"/>
      <c r="BB185" s="938"/>
      <c r="BC185" s="938"/>
      <c r="BD185" s="938"/>
      <c r="BE185" s="938"/>
      <c r="BF185" s="938"/>
      <c r="BG185" s="938"/>
      <c r="BH185" s="938"/>
      <c r="BI185" s="938"/>
      <c r="BJ185" s="938"/>
      <c r="BK185" s="938"/>
      <c r="BL185" s="938"/>
      <c r="BM185" s="938"/>
      <c r="BN185" s="938"/>
      <c r="BO185" s="938"/>
      <c r="BP185" s="938"/>
      <c r="BQ185" s="938"/>
      <c r="BR185" s="938"/>
      <c r="BS185" s="938"/>
      <c r="BT185" s="938"/>
    </row>
    <row r="186" spans="1:72" x14ac:dyDescent="0.25">
      <c r="A186" s="938" t="s">
        <v>626</v>
      </c>
      <c r="B186" s="938">
        <v>15.42</v>
      </c>
      <c r="C186" s="938">
        <v>22.71</v>
      </c>
      <c r="D186" s="938">
        <v>12.92</v>
      </c>
      <c r="E186" s="938">
        <v>15.23</v>
      </c>
      <c r="F186" s="938">
        <v>15.82</v>
      </c>
      <c r="G186" s="938">
        <v>17.510000000000002</v>
      </c>
      <c r="H186" s="938">
        <v>19.05</v>
      </c>
      <c r="I186" s="938">
        <v>20.23</v>
      </c>
      <c r="J186" s="938">
        <v>21.21</v>
      </c>
      <c r="K186" s="938">
        <v>22.42</v>
      </c>
      <c r="L186" s="938">
        <v>23.58</v>
      </c>
      <c r="M186" s="938">
        <v>24.67</v>
      </c>
      <c r="N186" s="938">
        <v>25.58</v>
      </c>
      <c r="O186" s="938">
        <v>26.51</v>
      </c>
      <c r="P186" s="938">
        <v>27.27</v>
      </c>
      <c r="Q186" s="938">
        <v>28.18</v>
      </c>
      <c r="R186" s="938">
        <v>29.2</v>
      </c>
      <c r="S186" s="938">
        <v>30.07</v>
      </c>
      <c r="T186" s="938">
        <v>31.1</v>
      </c>
      <c r="U186" s="938">
        <v>32.130000000000003</v>
      </c>
      <c r="V186" s="938">
        <v>33.21</v>
      </c>
      <c r="W186" s="938">
        <v>34.54</v>
      </c>
      <c r="X186" s="938">
        <v>35.83</v>
      </c>
      <c r="Y186" s="938">
        <v>36.99</v>
      </c>
      <c r="Z186" s="938">
        <v>38.42</v>
      </c>
      <c r="AA186" s="938">
        <v>39.92</v>
      </c>
      <c r="AB186" s="938">
        <v>41.32</v>
      </c>
      <c r="AC186" s="938">
        <v>42.87</v>
      </c>
      <c r="AD186" s="938">
        <v>44.51</v>
      </c>
      <c r="AE186" s="977">
        <v>2.5000000000000001E-2</v>
      </c>
      <c r="AF186" s="938"/>
      <c r="AG186" s="938"/>
      <c r="AH186" s="938"/>
      <c r="AI186" s="938"/>
      <c r="AJ186" s="938"/>
      <c r="AK186" s="938"/>
      <c r="AL186" s="938"/>
      <c r="AM186" s="938"/>
      <c r="AN186" s="938"/>
      <c r="AO186" s="938"/>
      <c r="AP186" s="938"/>
      <c r="AQ186" s="938"/>
      <c r="AR186" s="938"/>
      <c r="AS186" s="938"/>
      <c r="AT186" s="938"/>
      <c r="AU186" s="938"/>
      <c r="AV186" s="938"/>
      <c r="AW186" s="938"/>
      <c r="AX186" s="938"/>
      <c r="AY186" s="938"/>
      <c r="AZ186" s="938"/>
      <c r="BA186" s="938"/>
      <c r="BB186" s="938"/>
      <c r="BC186" s="938"/>
      <c r="BD186" s="938"/>
      <c r="BE186" s="938"/>
      <c r="BF186" s="938"/>
      <c r="BG186" s="938"/>
      <c r="BH186" s="938"/>
      <c r="BI186" s="938"/>
      <c r="BJ186" s="938"/>
      <c r="BK186" s="938"/>
      <c r="BL186" s="938"/>
      <c r="BM186" s="938"/>
      <c r="BN186" s="938"/>
      <c r="BO186" s="938"/>
      <c r="BP186" s="938"/>
      <c r="BQ186" s="938"/>
      <c r="BR186" s="938"/>
      <c r="BS186" s="938"/>
      <c r="BT186" s="938"/>
    </row>
    <row r="187" spans="1:72" x14ac:dyDescent="0.25">
      <c r="A187" s="938" t="s">
        <v>610</v>
      </c>
      <c r="B187" s="938">
        <v>20.260000000000002</v>
      </c>
      <c r="C187" s="938">
        <v>26.27</v>
      </c>
      <c r="D187" s="938">
        <v>17.73</v>
      </c>
      <c r="E187" s="938">
        <v>18.260000000000002</v>
      </c>
      <c r="F187" s="938">
        <v>18.940000000000001</v>
      </c>
      <c r="G187" s="938">
        <v>20.58</v>
      </c>
      <c r="H187" s="938">
        <v>22.21</v>
      </c>
      <c r="I187" s="938">
        <v>23.39</v>
      </c>
      <c r="J187" s="938">
        <v>24.55</v>
      </c>
      <c r="K187" s="938">
        <v>25.86</v>
      </c>
      <c r="L187" s="938">
        <v>27.09</v>
      </c>
      <c r="M187" s="938">
        <v>28.33</v>
      </c>
      <c r="N187" s="938">
        <v>29.33</v>
      </c>
      <c r="O187" s="938">
        <v>30.3</v>
      </c>
      <c r="P187" s="938">
        <v>31.19</v>
      </c>
      <c r="Q187" s="938">
        <v>32.29</v>
      </c>
      <c r="R187" s="938">
        <v>33.22</v>
      </c>
      <c r="S187" s="938">
        <v>34.04</v>
      </c>
      <c r="T187" s="938">
        <v>35.14</v>
      </c>
      <c r="U187" s="938">
        <v>36.19</v>
      </c>
      <c r="V187" s="938">
        <v>37.31</v>
      </c>
      <c r="W187" s="938">
        <v>38.6</v>
      </c>
      <c r="X187" s="938">
        <v>40.04</v>
      </c>
      <c r="Y187" s="938">
        <v>41.2</v>
      </c>
      <c r="Z187" s="938">
        <v>42.78</v>
      </c>
      <c r="AA187" s="938">
        <v>44.38</v>
      </c>
      <c r="AB187" s="938">
        <v>45.87</v>
      </c>
      <c r="AC187" s="938">
        <v>47.52</v>
      </c>
      <c r="AD187" s="938">
        <v>49.31</v>
      </c>
      <c r="AE187" s="977">
        <v>2.4E-2</v>
      </c>
      <c r="AF187" s="938"/>
      <c r="AG187" s="938"/>
      <c r="AH187" s="938"/>
      <c r="AI187" s="938"/>
      <c r="AJ187" s="938"/>
      <c r="AK187" s="938"/>
      <c r="AL187" s="938"/>
      <c r="AM187" s="938"/>
      <c r="AN187" s="938"/>
      <c r="AO187" s="938"/>
      <c r="AP187" s="938"/>
      <c r="AQ187" s="938"/>
      <c r="AR187" s="938"/>
      <c r="AS187" s="938"/>
      <c r="AT187" s="938"/>
      <c r="AU187" s="938"/>
      <c r="AV187" s="938"/>
      <c r="AW187" s="938"/>
      <c r="AX187" s="938"/>
      <c r="AY187" s="938"/>
      <c r="AZ187" s="938"/>
      <c r="BA187" s="938"/>
      <c r="BB187" s="938"/>
      <c r="BC187" s="938"/>
      <c r="BD187" s="938"/>
      <c r="BE187" s="938"/>
      <c r="BF187" s="938"/>
      <c r="BG187" s="938"/>
      <c r="BH187" s="938"/>
      <c r="BI187" s="938"/>
      <c r="BJ187" s="938"/>
      <c r="BK187" s="938"/>
      <c r="BL187" s="938"/>
      <c r="BM187" s="938"/>
      <c r="BN187" s="938"/>
      <c r="BO187" s="938"/>
      <c r="BP187" s="938"/>
      <c r="BQ187" s="938"/>
      <c r="BR187" s="938"/>
      <c r="BS187" s="938"/>
      <c r="BT187" s="938"/>
    </row>
    <row r="188" spans="1:72" x14ac:dyDescent="0.25">
      <c r="A188" s="938" t="s">
        <v>611</v>
      </c>
      <c r="B188" s="938">
        <v>8.8699999999999992</v>
      </c>
      <c r="C188" s="938">
        <v>14.77</v>
      </c>
      <c r="D188" s="938">
        <v>9.1</v>
      </c>
      <c r="E188" s="938">
        <v>11.22</v>
      </c>
      <c r="F188" s="938">
        <v>11.49</v>
      </c>
      <c r="G188" s="938">
        <v>12.89</v>
      </c>
      <c r="H188" s="938">
        <v>14.14</v>
      </c>
      <c r="I188" s="938">
        <v>15.19</v>
      </c>
      <c r="J188" s="938">
        <v>15.89</v>
      </c>
      <c r="K188" s="938">
        <v>16.600000000000001</v>
      </c>
      <c r="L188" s="938">
        <v>17.5</v>
      </c>
      <c r="M188" s="938">
        <v>18.3</v>
      </c>
      <c r="N188" s="938">
        <v>18.89</v>
      </c>
      <c r="O188" s="938">
        <v>19.329999999999998</v>
      </c>
      <c r="P188" s="938">
        <v>20.03</v>
      </c>
      <c r="Q188" s="938">
        <v>20.64</v>
      </c>
      <c r="R188" s="938">
        <v>21.36</v>
      </c>
      <c r="S188" s="938">
        <v>22.08</v>
      </c>
      <c r="T188" s="938">
        <v>22.8</v>
      </c>
      <c r="U188" s="938">
        <v>23.35</v>
      </c>
      <c r="V188" s="938">
        <v>24.24</v>
      </c>
      <c r="W188" s="938">
        <v>25.11</v>
      </c>
      <c r="X188" s="938">
        <v>26.08</v>
      </c>
      <c r="Y188" s="938">
        <v>27.11</v>
      </c>
      <c r="Z188" s="938">
        <v>28.23</v>
      </c>
      <c r="AA188" s="938">
        <v>29.29</v>
      </c>
      <c r="AB188" s="938">
        <v>30.29</v>
      </c>
      <c r="AC188" s="938">
        <v>31.46</v>
      </c>
      <c r="AD188" s="938">
        <v>32.700000000000003</v>
      </c>
      <c r="AE188" s="977">
        <v>0.03</v>
      </c>
      <c r="AF188" s="938"/>
      <c r="AG188" s="938"/>
      <c r="AH188" s="938"/>
      <c r="AI188" s="938"/>
      <c r="AJ188" s="938"/>
      <c r="AK188" s="938"/>
      <c r="AL188" s="938"/>
      <c r="AM188" s="938"/>
      <c r="AN188" s="938"/>
      <c r="AO188" s="938"/>
      <c r="AP188" s="938"/>
      <c r="AQ188" s="938"/>
      <c r="AR188" s="938"/>
      <c r="AS188" s="938"/>
      <c r="AT188" s="938"/>
      <c r="AU188" s="938"/>
      <c r="AV188" s="938"/>
      <c r="AW188" s="938"/>
      <c r="AX188" s="938"/>
      <c r="AY188" s="938"/>
      <c r="AZ188" s="938"/>
      <c r="BA188" s="938"/>
      <c r="BB188" s="938"/>
      <c r="BC188" s="938"/>
      <c r="BD188" s="938"/>
      <c r="BE188" s="938"/>
      <c r="BF188" s="938"/>
      <c r="BG188" s="938"/>
      <c r="BH188" s="938"/>
      <c r="BI188" s="938"/>
      <c r="BJ188" s="938"/>
      <c r="BK188" s="938"/>
      <c r="BL188" s="938"/>
      <c r="BM188" s="938"/>
      <c r="BN188" s="938"/>
      <c r="BO188" s="938"/>
      <c r="BP188" s="938"/>
      <c r="BQ188" s="938"/>
      <c r="BR188" s="938"/>
      <c r="BS188" s="938"/>
      <c r="BT188" s="938"/>
    </row>
    <row r="189" spans="1:72" x14ac:dyDescent="0.25">
      <c r="A189" s="938" t="s">
        <v>510</v>
      </c>
      <c r="B189" s="938">
        <v>8.99</v>
      </c>
      <c r="C189" s="938">
        <v>10.53</v>
      </c>
      <c r="D189" s="938">
        <v>6.67</v>
      </c>
      <c r="E189" s="938">
        <v>7.08</v>
      </c>
      <c r="F189" s="938">
        <v>8.2100000000000009</v>
      </c>
      <c r="G189" s="938">
        <v>8.68</v>
      </c>
      <c r="H189" s="938">
        <v>8.67</v>
      </c>
      <c r="I189" s="938">
        <v>8.7799999999999994</v>
      </c>
      <c r="J189" s="938">
        <v>9.07</v>
      </c>
      <c r="K189" s="938">
        <v>9.33</v>
      </c>
      <c r="L189" s="938">
        <v>9.5</v>
      </c>
      <c r="M189" s="938">
        <v>9.73</v>
      </c>
      <c r="N189" s="938">
        <v>9.98</v>
      </c>
      <c r="O189" s="938">
        <v>10.32</v>
      </c>
      <c r="P189" s="938">
        <v>10.67</v>
      </c>
      <c r="Q189" s="938">
        <v>11.14</v>
      </c>
      <c r="R189" s="938">
        <v>11.42</v>
      </c>
      <c r="S189" s="938">
        <v>11.55</v>
      </c>
      <c r="T189" s="938">
        <v>11.88</v>
      </c>
      <c r="U189" s="938">
        <v>12.31</v>
      </c>
      <c r="V189" s="938">
        <v>12.79</v>
      </c>
      <c r="W189" s="938">
        <v>13.39</v>
      </c>
      <c r="X189" s="938">
        <v>14.02</v>
      </c>
      <c r="Y189" s="938">
        <v>14.7</v>
      </c>
      <c r="Z189" s="938">
        <v>15.51</v>
      </c>
      <c r="AA189" s="938">
        <v>16.05</v>
      </c>
      <c r="AB189" s="938">
        <v>16.46</v>
      </c>
      <c r="AC189" s="938">
        <v>17.12</v>
      </c>
      <c r="AD189" s="938">
        <v>17.71</v>
      </c>
      <c r="AE189" s="977">
        <v>1.9E-2</v>
      </c>
      <c r="AF189" s="938"/>
      <c r="AG189" s="938"/>
      <c r="AH189" s="938"/>
      <c r="AI189" s="938"/>
      <c r="AJ189" s="938"/>
      <c r="AK189" s="938"/>
      <c r="AL189" s="938"/>
      <c r="AM189" s="938"/>
      <c r="AN189" s="938"/>
      <c r="AO189" s="938"/>
      <c r="AP189" s="938"/>
      <c r="AQ189" s="938"/>
      <c r="AR189" s="938"/>
      <c r="AS189" s="938"/>
      <c r="AT189" s="938"/>
      <c r="AU189" s="938"/>
      <c r="AV189" s="938"/>
      <c r="AW189" s="938"/>
      <c r="AX189" s="938"/>
      <c r="AY189" s="938"/>
      <c r="AZ189" s="938"/>
      <c r="BA189" s="938"/>
      <c r="BB189" s="938"/>
      <c r="BC189" s="938"/>
      <c r="BD189" s="938"/>
      <c r="BE189" s="938"/>
      <c r="BF189" s="938"/>
      <c r="BG189" s="938"/>
      <c r="BH189" s="938"/>
      <c r="BI189" s="938"/>
      <c r="BJ189" s="938"/>
      <c r="BK189" s="938"/>
      <c r="BL189" s="938"/>
      <c r="BM189" s="938"/>
      <c r="BN189" s="938"/>
      <c r="BO189" s="938"/>
      <c r="BP189" s="938"/>
      <c r="BQ189" s="938"/>
      <c r="BR189" s="938"/>
      <c r="BS189" s="938"/>
      <c r="BT189" s="938"/>
    </row>
    <row r="190" spans="1:72" x14ac:dyDescent="0.25">
      <c r="A190" s="938" t="s">
        <v>614</v>
      </c>
      <c r="B190" s="938">
        <v>3.61</v>
      </c>
      <c r="C190" s="938">
        <v>4.49</v>
      </c>
      <c r="D190" s="938">
        <v>4.79</v>
      </c>
      <c r="E190" s="938">
        <v>4.9400000000000004</v>
      </c>
      <c r="F190" s="938">
        <v>5.07</v>
      </c>
      <c r="G190" s="938">
        <v>5.31</v>
      </c>
      <c r="H190" s="938">
        <v>5.44</v>
      </c>
      <c r="I190" s="938">
        <v>5.56</v>
      </c>
      <c r="J190" s="938">
        <v>5.66</v>
      </c>
      <c r="K190" s="938">
        <v>5.77</v>
      </c>
      <c r="L190" s="938">
        <v>5.97</v>
      </c>
      <c r="M190" s="938">
        <v>6.14</v>
      </c>
      <c r="N190" s="938">
        <v>6.34</v>
      </c>
      <c r="O190" s="938">
        <v>6.5</v>
      </c>
      <c r="P190" s="938">
        <v>6.68</v>
      </c>
      <c r="Q190" s="938">
        <v>6.84</v>
      </c>
      <c r="R190" s="938">
        <v>6.98</v>
      </c>
      <c r="S190" s="938">
        <v>7.07</v>
      </c>
      <c r="T190" s="938">
        <v>7.11</v>
      </c>
      <c r="U190" s="938">
        <v>7.15</v>
      </c>
      <c r="V190" s="938">
        <v>7.27</v>
      </c>
      <c r="W190" s="938">
        <v>7.43</v>
      </c>
      <c r="X190" s="938">
        <v>7.55</v>
      </c>
      <c r="Y190" s="938">
        <v>7.72</v>
      </c>
      <c r="Z190" s="938">
        <v>7.86</v>
      </c>
      <c r="AA190" s="938">
        <v>8.02</v>
      </c>
      <c r="AB190" s="938">
        <v>8.18</v>
      </c>
      <c r="AC190" s="938">
        <v>8.33</v>
      </c>
      <c r="AD190" s="938">
        <v>8.5</v>
      </c>
      <c r="AE190" s="977">
        <v>2.4E-2</v>
      </c>
      <c r="AF190" s="938"/>
      <c r="AG190" s="938"/>
      <c r="AH190" s="938"/>
      <c r="AI190" s="938"/>
      <c r="AJ190" s="938"/>
      <c r="AK190" s="938"/>
      <c r="AL190" s="938"/>
      <c r="AM190" s="938"/>
      <c r="AN190" s="938"/>
      <c r="AO190" s="938"/>
      <c r="AP190" s="938"/>
      <c r="AQ190" s="938"/>
      <c r="AR190" s="938"/>
      <c r="AS190" s="938"/>
      <c r="AT190" s="938"/>
      <c r="AU190" s="938"/>
      <c r="AV190" s="938"/>
      <c r="AW190" s="938"/>
      <c r="AX190" s="938"/>
      <c r="AY190" s="938"/>
      <c r="AZ190" s="938"/>
      <c r="BA190" s="938"/>
      <c r="BB190" s="938"/>
      <c r="BC190" s="938"/>
      <c r="BD190" s="938"/>
      <c r="BE190" s="938"/>
      <c r="BF190" s="938"/>
      <c r="BG190" s="938"/>
      <c r="BH190" s="938"/>
      <c r="BI190" s="938"/>
      <c r="BJ190" s="938"/>
      <c r="BK190" s="938"/>
      <c r="BL190" s="938"/>
      <c r="BM190" s="938"/>
      <c r="BN190" s="938"/>
      <c r="BO190" s="938"/>
      <c r="BP190" s="938"/>
      <c r="BQ190" s="938"/>
      <c r="BR190" s="938"/>
      <c r="BS190" s="938"/>
      <c r="BT190" s="938"/>
    </row>
    <row r="191" spans="1:72" x14ac:dyDescent="0.25">
      <c r="A191" s="938" t="s">
        <v>627</v>
      </c>
      <c r="B191" s="938">
        <v>1.8</v>
      </c>
      <c r="C191" s="938">
        <v>2.1</v>
      </c>
      <c r="D191" s="938">
        <v>2.2200000000000002</v>
      </c>
      <c r="E191" s="938">
        <v>2.09</v>
      </c>
      <c r="F191" s="938">
        <v>2.11</v>
      </c>
      <c r="G191" s="938">
        <v>2.14</v>
      </c>
      <c r="H191" s="938">
        <v>2.19</v>
      </c>
      <c r="I191" s="938">
        <v>2.23</v>
      </c>
      <c r="J191" s="938">
        <v>2.2799999999999998</v>
      </c>
      <c r="K191" s="938">
        <v>2.2999999999999998</v>
      </c>
      <c r="L191" s="938">
        <v>2.35</v>
      </c>
      <c r="M191" s="938">
        <v>2.39</v>
      </c>
      <c r="N191" s="938">
        <v>2.4300000000000002</v>
      </c>
      <c r="O191" s="938">
        <v>2.4700000000000002</v>
      </c>
      <c r="P191" s="938">
        <v>2.52</v>
      </c>
      <c r="Q191" s="938">
        <v>2.58</v>
      </c>
      <c r="R191" s="938">
        <v>2.64</v>
      </c>
      <c r="S191" s="938">
        <v>2.69</v>
      </c>
      <c r="T191" s="938">
        <v>2.74</v>
      </c>
      <c r="U191" s="938">
        <v>2.81</v>
      </c>
      <c r="V191" s="938">
        <v>2.87</v>
      </c>
      <c r="W191" s="938">
        <v>2.95</v>
      </c>
      <c r="X191" s="938">
        <v>3.03</v>
      </c>
      <c r="Y191" s="938">
        <v>3.11</v>
      </c>
      <c r="Z191" s="938">
        <v>3.2</v>
      </c>
      <c r="AA191" s="938">
        <v>3.28</v>
      </c>
      <c r="AB191" s="938">
        <v>3.37</v>
      </c>
      <c r="AC191" s="938">
        <v>3.46</v>
      </c>
      <c r="AD191" s="938">
        <v>3.56</v>
      </c>
      <c r="AE191" s="977">
        <v>0.02</v>
      </c>
      <c r="AF191" s="938"/>
      <c r="AG191" s="938"/>
      <c r="AH191" s="938"/>
      <c r="AI191" s="938"/>
      <c r="AJ191" s="938"/>
      <c r="AK191" s="938"/>
      <c r="AL191" s="938"/>
      <c r="AM191" s="938"/>
      <c r="AN191" s="938"/>
      <c r="AO191" s="938"/>
      <c r="AP191" s="938"/>
      <c r="AQ191" s="938"/>
      <c r="AR191" s="938"/>
      <c r="AS191" s="938"/>
      <c r="AT191" s="938"/>
      <c r="AU191" s="938"/>
      <c r="AV191" s="938"/>
      <c r="AW191" s="938"/>
      <c r="AX191" s="938"/>
      <c r="AY191" s="938"/>
      <c r="AZ191" s="938"/>
      <c r="BA191" s="938"/>
      <c r="BB191" s="938"/>
      <c r="BC191" s="938"/>
      <c r="BD191" s="938"/>
      <c r="BE191" s="938"/>
      <c r="BF191" s="938"/>
      <c r="BG191" s="938"/>
      <c r="BH191" s="938"/>
      <c r="BI191" s="938"/>
      <c r="BJ191" s="938"/>
      <c r="BK191" s="938"/>
      <c r="BL191" s="938"/>
      <c r="BM191" s="938"/>
      <c r="BN191" s="938"/>
      <c r="BO191" s="938"/>
      <c r="BP191" s="938"/>
      <c r="BQ191" s="938"/>
      <c r="BR191" s="938"/>
      <c r="BS191" s="938"/>
      <c r="BT191" s="938"/>
    </row>
    <row r="192" spans="1:72" x14ac:dyDescent="0.25">
      <c r="A192" s="938" t="s">
        <v>616</v>
      </c>
      <c r="B192" s="938" t="s">
        <v>788</v>
      </c>
      <c r="C192" s="938" t="s">
        <v>788</v>
      </c>
      <c r="D192" s="938" t="s">
        <v>788</v>
      </c>
      <c r="E192" s="938" t="s">
        <v>788</v>
      </c>
      <c r="F192" s="938">
        <v>1.32</v>
      </c>
      <c r="G192" s="938">
        <v>1.1000000000000001</v>
      </c>
      <c r="H192" s="938">
        <v>1.1200000000000001</v>
      </c>
      <c r="I192" s="938">
        <v>1.55</v>
      </c>
      <c r="J192" s="938">
        <v>1.58</v>
      </c>
      <c r="K192" s="938">
        <v>1.65</v>
      </c>
      <c r="L192" s="938">
        <v>1.72</v>
      </c>
      <c r="M192" s="938">
        <v>1.74</v>
      </c>
      <c r="N192" s="938">
        <v>1.76</v>
      </c>
      <c r="O192" s="938">
        <v>1.79</v>
      </c>
      <c r="P192" s="938">
        <v>1.86</v>
      </c>
      <c r="Q192" s="938">
        <v>1.91</v>
      </c>
      <c r="R192" s="938">
        <v>1.98</v>
      </c>
      <c r="S192" s="938">
        <v>1.99</v>
      </c>
      <c r="T192" s="938">
        <v>2.02</v>
      </c>
      <c r="U192" s="938">
        <v>2.04</v>
      </c>
      <c r="V192" s="938">
        <v>2.0699999999999998</v>
      </c>
      <c r="W192" s="938">
        <v>2.1</v>
      </c>
      <c r="X192" s="938">
        <v>2.13</v>
      </c>
      <c r="Y192" s="938">
        <v>2.1800000000000002</v>
      </c>
      <c r="Z192" s="938">
        <v>2.2200000000000002</v>
      </c>
      <c r="AA192" s="938">
        <v>2.2799999999999998</v>
      </c>
      <c r="AB192" s="938">
        <v>2.35</v>
      </c>
      <c r="AC192" s="938">
        <v>2.44</v>
      </c>
      <c r="AD192" s="938">
        <v>2.5299999999999998</v>
      </c>
      <c r="AE192" s="938" t="s">
        <v>788</v>
      </c>
      <c r="AF192" s="938"/>
      <c r="AG192" s="938"/>
      <c r="AH192" s="938"/>
      <c r="AI192" s="938"/>
      <c r="AJ192" s="938"/>
      <c r="AK192" s="938"/>
      <c r="AL192" s="938"/>
      <c r="AM192" s="938"/>
      <c r="AN192" s="938"/>
      <c r="AO192" s="938"/>
      <c r="AP192" s="938"/>
      <c r="AQ192" s="938"/>
      <c r="AR192" s="938"/>
      <c r="AS192" s="938"/>
      <c r="AT192" s="938"/>
      <c r="AU192" s="938"/>
      <c r="AV192" s="938"/>
      <c r="AW192" s="938"/>
      <c r="AX192" s="938"/>
      <c r="AY192" s="938"/>
      <c r="AZ192" s="938"/>
      <c r="BA192" s="938"/>
      <c r="BB192" s="938"/>
      <c r="BC192" s="938"/>
      <c r="BD192" s="938"/>
      <c r="BE192" s="938"/>
      <c r="BF192" s="938"/>
      <c r="BG192" s="938"/>
      <c r="BH192" s="938"/>
      <c r="BI192" s="938"/>
      <c r="BJ192" s="938"/>
      <c r="BK192" s="938"/>
      <c r="BL192" s="938"/>
      <c r="BM192" s="938"/>
      <c r="BN192" s="938"/>
      <c r="BO192" s="938"/>
      <c r="BP192" s="938"/>
      <c r="BQ192" s="938"/>
      <c r="BR192" s="938"/>
      <c r="BS192" s="938"/>
      <c r="BT192" s="938"/>
    </row>
    <row r="193" spans="1:72" x14ac:dyDescent="0.25">
      <c r="A193" s="938" t="s">
        <v>479</v>
      </c>
      <c r="B193" s="938">
        <v>26.66</v>
      </c>
      <c r="C193" s="938">
        <v>28.81</v>
      </c>
      <c r="D193" s="938">
        <v>28.5</v>
      </c>
      <c r="E193" s="938">
        <v>27.58</v>
      </c>
      <c r="F193" s="938">
        <v>26.29</v>
      </c>
      <c r="G193" s="938">
        <v>27.63</v>
      </c>
      <c r="H193" s="938">
        <v>28.19</v>
      </c>
      <c r="I193" s="938">
        <v>28.46</v>
      </c>
      <c r="J193" s="938">
        <v>28.92</v>
      </c>
      <c r="K193" s="938">
        <v>29.72</v>
      </c>
      <c r="L193" s="938">
        <v>30.45</v>
      </c>
      <c r="M193" s="938">
        <v>31.03</v>
      </c>
      <c r="N193" s="938">
        <v>31.53</v>
      </c>
      <c r="O193" s="938">
        <v>32.4</v>
      </c>
      <c r="P193" s="938">
        <v>33.33</v>
      </c>
      <c r="Q193" s="938">
        <v>34.229999999999997</v>
      </c>
      <c r="R193" s="938">
        <v>35.22</v>
      </c>
      <c r="S193" s="938">
        <v>36.159999999999997</v>
      </c>
      <c r="T193" s="938">
        <v>36.869999999999997</v>
      </c>
      <c r="U193" s="938">
        <v>37.86</v>
      </c>
      <c r="V193" s="938">
        <v>38.94</v>
      </c>
      <c r="W193" s="938">
        <v>40.090000000000003</v>
      </c>
      <c r="X193" s="938">
        <v>41.58</v>
      </c>
      <c r="Y193" s="938">
        <v>43</v>
      </c>
      <c r="Z193" s="938">
        <v>44.53</v>
      </c>
      <c r="AA193" s="938">
        <v>46.07</v>
      </c>
      <c r="AB193" s="938">
        <v>47.34</v>
      </c>
      <c r="AC193" s="938">
        <v>48.78</v>
      </c>
      <c r="AD193" s="938">
        <v>50.19</v>
      </c>
      <c r="AE193" s="977">
        <v>2.1000000000000001E-2</v>
      </c>
      <c r="AF193" s="938"/>
      <c r="AG193" s="938"/>
      <c r="AH193" s="938"/>
      <c r="AI193" s="938"/>
      <c r="AJ193" s="938"/>
      <c r="AK193" s="938"/>
      <c r="AL193" s="938"/>
      <c r="AM193" s="938"/>
      <c r="AN193" s="938"/>
      <c r="AO193" s="938"/>
      <c r="AP193" s="938"/>
      <c r="AQ193" s="938"/>
      <c r="AR193" s="938"/>
      <c r="AS193" s="938"/>
      <c r="AT193" s="938"/>
      <c r="AU193" s="938"/>
      <c r="AV193" s="938"/>
      <c r="AW193" s="938"/>
      <c r="AX193" s="938"/>
      <c r="AY193" s="938"/>
      <c r="AZ193" s="938"/>
      <c r="BA193" s="938"/>
      <c r="BB193" s="938"/>
      <c r="BC193" s="938"/>
      <c r="BD193" s="938"/>
      <c r="BE193" s="938"/>
      <c r="BF193" s="938"/>
      <c r="BG193" s="938"/>
      <c r="BH193" s="938"/>
      <c r="BI193" s="938"/>
      <c r="BJ193" s="938"/>
      <c r="BK193" s="938"/>
      <c r="BL193" s="938"/>
      <c r="BM193" s="938"/>
      <c r="BN193" s="938"/>
      <c r="BO193" s="938"/>
      <c r="BP193" s="938"/>
      <c r="BQ193" s="938"/>
      <c r="BR193" s="938"/>
      <c r="BS193" s="938"/>
      <c r="BT193" s="938"/>
    </row>
    <row r="194" spans="1:72" x14ac:dyDescent="0.25">
      <c r="A194" s="938"/>
      <c r="B194" s="938"/>
      <c r="C194" s="938"/>
      <c r="D194" s="938"/>
      <c r="E194" s="938"/>
      <c r="F194" s="938"/>
      <c r="G194" s="938"/>
      <c r="H194" s="938"/>
      <c r="I194" s="938"/>
      <c r="J194" s="938"/>
      <c r="K194" s="938"/>
      <c r="L194" s="938"/>
      <c r="M194" s="938"/>
      <c r="N194" s="938"/>
      <c r="O194" s="938"/>
      <c r="P194" s="938"/>
      <c r="Q194" s="938"/>
      <c r="R194" s="938"/>
      <c r="S194" s="938"/>
      <c r="T194" s="938"/>
      <c r="U194" s="938"/>
      <c r="V194" s="938"/>
      <c r="W194" s="938"/>
      <c r="X194" s="938"/>
      <c r="Y194" s="938"/>
      <c r="Z194" s="938"/>
      <c r="AA194" s="938"/>
      <c r="AB194" s="938"/>
      <c r="AC194" s="938"/>
      <c r="AD194" s="938"/>
      <c r="AE194" s="938"/>
      <c r="AF194" s="938"/>
      <c r="AG194" s="938"/>
      <c r="AH194" s="938"/>
      <c r="AI194" s="938"/>
      <c r="AJ194" s="938"/>
      <c r="AK194" s="938"/>
      <c r="AL194" s="938"/>
      <c r="AM194" s="938"/>
      <c r="AN194" s="938"/>
      <c r="AO194" s="938"/>
      <c r="AP194" s="938"/>
      <c r="AQ194" s="938"/>
      <c r="AR194" s="938"/>
      <c r="AS194" s="938"/>
      <c r="AT194" s="938"/>
      <c r="AU194" s="938"/>
      <c r="AV194" s="938"/>
      <c r="AW194" s="938"/>
      <c r="AX194" s="938"/>
      <c r="AY194" s="938"/>
      <c r="AZ194" s="938"/>
      <c r="BA194" s="938"/>
      <c r="BB194" s="938"/>
      <c r="BC194" s="938"/>
      <c r="BD194" s="938"/>
      <c r="BE194" s="938"/>
      <c r="BF194" s="938"/>
      <c r="BG194" s="938"/>
      <c r="BH194" s="938"/>
      <c r="BI194" s="938"/>
      <c r="BJ194" s="938"/>
      <c r="BK194" s="938"/>
      <c r="BL194" s="938"/>
      <c r="BM194" s="938"/>
      <c r="BN194" s="938"/>
      <c r="BO194" s="938"/>
      <c r="BP194" s="938"/>
      <c r="BQ194" s="938"/>
      <c r="BR194" s="938"/>
      <c r="BS194" s="938"/>
      <c r="BT194" s="938"/>
    </row>
    <row r="195" spans="1:72" x14ac:dyDescent="0.25">
      <c r="A195" s="938" t="s">
        <v>513</v>
      </c>
      <c r="B195" s="938"/>
      <c r="C195" s="938"/>
      <c r="D195" s="938"/>
      <c r="E195" s="938"/>
      <c r="F195" s="938"/>
      <c r="G195" s="938"/>
      <c r="H195" s="938"/>
      <c r="I195" s="938"/>
      <c r="J195" s="938"/>
      <c r="K195" s="938"/>
      <c r="L195" s="938"/>
      <c r="M195" s="938"/>
      <c r="N195" s="938"/>
      <c r="O195" s="938"/>
      <c r="P195" s="938"/>
      <c r="Q195" s="938"/>
      <c r="R195" s="938"/>
      <c r="S195" s="938"/>
      <c r="T195" s="938"/>
      <c r="U195" s="938"/>
      <c r="V195" s="938"/>
      <c r="W195" s="938"/>
      <c r="X195" s="938"/>
      <c r="Y195" s="938"/>
      <c r="Z195" s="938"/>
      <c r="AA195" s="938"/>
      <c r="AB195" s="938"/>
      <c r="AC195" s="938"/>
      <c r="AD195" s="938"/>
      <c r="AE195" s="938"/>
      <c r="AF195" s="938"/>
      <c r="AG195" s="938"/>
      <c r="AH195" s="938"/>
      <c r="AI195" s="938"/>
      <c r="AJ195" s="938"/>
      <c r="AK195" s="938"/>
      <c r="AL195" s="938"/>
      <c r="AM195" s="938"/>
      <c r="AN195" s="938"/>
      <c r="AO195" s="938"/>
      <c r="AP195" s="938"/>
      <c r="AQ195" s="938"/>
      <c r="AR195" s="938"/>
      <c r="AS195" s="938"/>
      <c r="AT195" s="938"/>
      <c r="AU195" s="938"/>
      <c r="AV195" s="938"/>
      <c r="AW195" s="938"/>
      <c r="AX195" s="938"/>
      <c r="AY195" s="938"/>
      <c r="AZ195" s="938"/>
      <c r="BA195" s="938"/>
      <c r="BB195" s="938"/>
      <c r="BC195" s="938"/>
      <c r="BD195" s="938"/>
      <c r="BE195" s="938"/>
      <c r="BF195" s="938"/>
      <c r="BG195" s="938"/>
      <c r="BH195" s="938"/>
      <c r="BI195" s="938"/>
      <c r="BJ195" s="938"/>
      <c r="BK195" s="938"/>
      <c r="BL195" s="938"/>
      <c r="BM195" s="938"/>
      <c r="BN195" s="938"/>
      <c r="BO195" s="938"/>
      <c r="BP195" s="938"/>
      <c r="BQ195" s="938"/>
      <c r="BR195" s="938"/>
      <c r="BS195" s="938"/>
      <c r="BT195" s="938"/>
    </row>
    <row r="196" spans="1:72" x14ac:dyDescent="0.25">
      <c r="A196" s="938" t="s">
        <v>727</v>
      </c>
      <c r="B196" s="938"/>
      <c r="C196" s="938"/>
      <c r="D196" s="938"/>
      <c r="E196" s="938"/>
      <c r="F196" s="938"/>
      <c r="G196" s="938"/>
      <c r="H196" s="938"/>
      <c r="I196" s="938"/>
      <c r="J196" s="938"/>
      <c r="K196" s="938"/>
      <c r="L196" s="938"/>
      <c r="M196" s="938"/>
      <c r="N196" s="938"/>
      <c r="O196" s="938"/>
      <c r="P196" s="938"/>
      <c r="Q196" s="938"/>
      <c r="R196" s="938"/>
      <c r="S196" s="938"/>
      <c r="T196" s="938"/>
      <c r="U196" s="938"/>
      <c r="V196" s="938"/>
      <c r="W196" s="938"/>
      <c r="X196" s="938"/>
      <c r="Y196" s="938"/>
      <c r="Z196" s="938"/>
      <c r="AA196" s="938"/>
      <c r="AB196" s="938"/>
      <c r="AC196" s="938"/>
      <c r="AD196" s="938"/>
      <c r="AE196" s="938"/>
      <c r="AF196" s="938"/>
      <c r="AG196" s="938"/>
      <c r="AH196" s="938"/>
      <c r="AI196" s="938"/>
      <c r="AJ196" s="938"/>
      <c r="AK196" s="938"/>
      <c r="AL196" s="938"/>
      <c r="AM196" s="938"/>
      <c r="AN196" s="938"/>
      <c r="AO196" s="938"/>
      <c r="AP196" s="938"/>
      <c r="AQ196" s="938"/>
      <c r="AR196" s="938"/>
      <c r="AS196" s="938"/>
      <c r="AT196" s="938"/>
      <c r="AU196" s="938"/>
      <c r="AV196" s="938"/>
      <c r="AW196" s="938"/>
      <c r="AX196" s="938"/>
      <c r="AY196" s="938"/>
      <c r="AZ196" s="938"/>
      <c r="BA196" s="938"/>
      <c r="BB196" s="938"/>
      <c r="BC196" s="938"/>
      <c r="BD196" s="938"/>
      <c r="BE196" s="938"/>
      <c r="BF196" s="938"/>
      <c r="BG196" s="938"/>
      <c r="BH196" s="938"/>
      <c r="BI196" s="938"/>
      <c r="BJ196" s="938"/>
      <c r="BK196" s="938"/>
      <c r="BL196" s="938"/>
      <c r="BM196" s="938"/>
      <c r="BN196" s="938"/>
      <c r="BO196" s="938"/>
      <c r="BP196" s="938"/>
      <c r="BQ196" s="938"/>
      <c r="BR196" s="938"/>
      <c r="BS196" s="938"/>
      <c r="BT196" s="938"/>
    </row>
    <row r="197" spans="1:72" x14ac:dyDescent="0.25">
      <c r="A197" s="938" t="s">
        <v>473</v>
      </c>
      <c r="B197" s="938">
        <v>236.38</v>
      </c>
      <c r="C197" s="938">
        <v>254.66</v>
      </c>
      <c r="D197" s="938">
        <v>235.17</v>
      </c>
      <c r="E197" s="938">
        <v>230.51</v>
      </c>
      <c r="F197" s="938">
        <v>232.31</v>
      </c>
      <c r="G197" s="938">
        <v>244.12</v>
      </c>
      <c r="H197" s="938">
        <v>246.57</v>
      </c>
      <c r="I197" s="938">
        <v>251.37</v>
      </c>
      <c r="J197" s="938">
        <v>257.29000000000002</v>
      </c>
      <c r="K197" s="938">
        <v>266.02999999999997</v>
      </c>
      <c r="L197" s="938">
        <v>273.52999999999997</v>
      </c>
      <c r="M197" s="938">
        <v>281.39999999999998</v>
      </c>
      <c r="N197" s="938">
        <v>289.27</v>
      </c>
      <c r="O197" s="938">
        <v>299.58999999999997</v>
      </c>
      <c r="P197" s="938">
        <v>309.45</v>
      </c>
      <c r="Q197" s="938">
        <v>320.3</v>
      </c>
      <c r="R197" s="938">
        <v>330.83</v>
      </c>
      <c r="S197" s="938">
        <v>341.36</v>
      </c>
      <c r="T197" s="938">
        <v>351.09</v>
      </c>
      <c r="U197" s="938">
        <v>363.72</v>
      </c>
      <c r="V197" s="938">
        <v>377.1</v>
      </c>
      <c r="W197" s="938">
        <v>392.03</v>
      </c>
      <c r="X197" s="938">
        <v>407.27</v>
      </c>
      <c r="Y197" s="938">
        <v>423.22</v>
      </c>
      <c r="Z197" s="938">
        <v>441.01</v>
      </c>
      <c r="AA197" s="938">
        <v>458.4</v>
      </c>
      <c r="AB197" s="938">
        <v>471.99</v>
      </c>
      <c r="AC197" s="938">
        <v>489.06</v>
      </c>
      <c r="AD197" s="938">
        <v>506.03</v>
      </c>
      <c r="AE197" s="977">
        <v>2.5999999999999999E-2</v>
      </c>
      <c r="AF197" s="938"/>
      <c r="AG197" s="938"/>
      <c r="AH197" s="938"/>
      <c r="AI197" s="938"/>
      <c r="AJ197" s="938"/>
      <c r="AK197" s="938"/>
      <c r="AL197" s="938"/>
      <c r="AM197" s="938"/>
      <c r="AN197" s="938"/>
      <c r="AO197" s="938"/>
      <c r="AP197" s="938"/>
      <c r="AQ197" s="938"/>
      <c r="AR197" s="938"/>
      <c r="AS197" s="938"/>
      <c r="AT197" s="938"/>
      <c r="AU197" s="938"/>
      <c r="AV197" s="938"/>
      <c r="AW197" s="938"/>
      <c r="AX197" s="938"/>
      <c r="AY197" s="938"/>
      <c r="AZ197" s="938"/>
      <c r="BA197" s="938"/>
      <c r="BB197" s="938"/>
      <c r="BC197" s="938"/>
      <c r="BD197" s="938"/>
      <c r="BE197" s="938"/>
      <c r="BF197" s="938"/>
      <c r="BG197" s="938"/>
      <c r="BH197" s="938"/>
      <c r="BI197" s="938"/>
      <c r="BJ197" s="938"/>
      <c r="BK197" s="938"/>
      <c r="BL197" s="938"/>
      <c r="BM197" s="938"/>
      <c r="BN197" s="938"/>
      <c r="BO197" s="938"/>
      <c r="BP197" s="938"/>
      <c r="BQ197" s="938"/>
      <c r="BR197" s="938"/>
      <c r="BS197" s="938"/>
      <c r="BT197" s="938"/>
    </row>
    <row r="198" spans="1:72" x14ac:dyDescent="0.25">
      <c r="A198" s="938" t="s">
        <v>480</v>
      </c>
      <c r="B198" s="938">
        <v>172.75</v>
      </c>
      <c r="C198" s="938">
        <v>191.19</v>
      </c>
      <c r="D198" s="938">
        <v>171.27</v>
      </c>
      <c r="E198" s="938">
        <v>168.36</v>
      </c>
      <c r="F198" s="938">
        <v>170.83</v>
      </c>
      <c r="G198" s="938">
        <v>182.74</v>
      </c>
      <c r="H198" s="938">
        <v>187.26</v>
      </c>
      <c r="I198" s="938">
        <v>190.86</v>
      </c>
      <c r="J198" s="938">
        <v>197.13</v>
      </c>
      <c r="K198" s="938">
        <v>205.11</v>
      </c>
      <c r="L198" s="938">
        <v>212.7</v>
      </c>
      <c r="M198" s="938">
        <v>219.88</v>
      </c>
      <c r="N198" s="938">
        <v>226.94</v>
      </c>
      <c r="O198" s="938">
        <v>236.05</v>
      </c>
      <c r="P198" s="938">
        <v>245.65</v>
      </c>
      <c r="Q198" s="938">
        <v>255.58</v>
      </c>
      <c r="R198" s="938">
        <v>265.91000000000003</v>
      </c>
      <c r="S198" s="938">
        <v>275.66000000000003</v>
      </c>
      <c r="T198" s="938">
        <v>285.08999999999997</v>
      </c>
      <c r="U198" s="938">
        <v>296.79000000000002</v>
      </c>
      <c r="V198" s="938">
        <v>309.27</v>
      </c>
      <c r="W198" s="938">
        <v>322.77</v>
      </c>
      <c r="X198" s="938">
        <v>338.69</v>
      </c>
      <c r="Y198" s="938">
        <v>354.37</v>
      </c>
      <c r="Z198" s="938">
        <v>371.75</v>
      </c>
      <c r="AA198" s="938">
        <v>388.64</v>
      </c>
      <c r="AB198" s="938">
        <v>403.84</v>
      </c>
      <c r="AC198" s="938">
        <v>421.34</v>
      </c>
      <c r="AD198" s="938">
        <v>438.74</v>
      </c>
      <c r="AE198" s="977">
        <v>3.1E-2</v>
      </c>
      <c r="AF198" s="938"/>
      <c r="AG198" s="938"/>
      <c r="AH198" s="938"/>
      <c r="AI198" s="938"/>
      <c r="AJ198" s="938"/>
      <c r="AK198" s="938"/>
      <c r="AL198" s="938"/>
      <c r="AM198" s="938"/>
      <c r="AN198" s="938"/>
      <c r="AO198" s="938"/>
      <c r="AP198" s="938"/>
      <c r="AQ198" s="938"/>
      <c r="AR198" s="938"/>
      <c r="AS198" s="938"/>
      <c r="AT198" s="938"/>
      <c r="AU198" s="938"/>
      <c r="AV198" s="938"/>
      <c r="AW198" s="938"/>
      <c r="AX198" s="938"/>
      <c r="AY198" s="938"/>
      <c r="AZ198" s="938"/>
      <c r="BA198" s="938"/>
      <c r="BB198" s="938"/>
      <c r="BC198" s="938"/>
      <c r="BD198" s="938"/>
      <c r="BE198" s="938"/>
      <c r="BF198" s="938"/>
      <c r="BG198" s="938"/>
      <c r="BH198" s="938"/>
      <c r="BI198" s="938"/>
      <c r="BJ198" s="938"/>
      <c r="BK198" s="938"/>
      <c r="BL198" s="938"/>
      <c r="BM198" s="938"/>
      <c r="BN198" s="938"/>
      <c r="BO198" s="938"/>
      <c r="BP198" s="938"/>
      <c r="BQ198" s="938"/>
      <c r="BR198" s="938"/>
      <c r="BS198" s="938"/>
      <c r="BT198" s="938"/>
    </row>
    <row r="199" spans="1:72" x14ac:dyDescent="0.25">
      <c r="A199" s="938" t="s">
        <v>515</v>
      </c>
      <c r="B199" s="938">
        <v>214.89</v>
      </c>
      <c r="C199" s="938">
        <v>244.81</v>
      </c>
      <c r="D199" s="938">
        <v>178.09</v>
      </c>
      <c r="E199" s="938">
        <v>168.16</v>
      </c>
      <c r="F199" s="938">
        <v>181.07</v>
      </c>
      <c r="G199" s="938">
        <v>202.87</v>
      </c>
      <c r="H199" s="938">
        <v>217.07</v>
      </c>
      <c r="I199" s="938">
        <v>227.35</v>
      </c>
      <c r="J199" s="938">
        <v>237.51</v>
      </c>
      <c r="K199" s="938">
        <v>248.26</v>
      </c>
      <c r="L199" s="938">
        <v>257.8</v>
      </c>
      <c r="M199" s="938">
        <v>268.36</v>
      </c>
      <c r="N199" s="938">
        <v>277.25</v>
      </c>
      <c r="O199" s="938">
        <v>287.02999999999997</v>
      </c>
      <c r="P199" s="938">
        <v>295.06</v>
      </c>
      <c r="Q199" s="938">
        <v>303.12</v>
      </c>
      <c r="R199" s="938">
        <v>311.48</v>
      </c>
      <c r="S199" s="938">
        <v>319.60000000000002</v>
      </c>
      <c r="T199" s="938">
        <v>328.09</v>
      </c>
      <c r="U199" s="938">
        <v>336.58</v>
      </c>
      <c r="V199" s="938">
        <v>346.81</v>
      </c>
      <c r="W199" s="938">
        <v>357.93</v>
      </c>
      <c r="X199" s="938">
        <v>370.58</v>
      </c>
      <c r="Y199" s="938">
        <v>382.62</v>
      </c>
      <c r="Z199" s="938">
        <v>397.61</v>
      </c>
      <c r="AA199" s="938">
        <v>409.44</v>
      </c>
      <c r="AB199" s="938">
        <v>421.52</v>
      </c>
      <c r="AC199" s="938">
        <v>436.23</v>
      </c>
      <c r="AD199" s="938">
        <v>449</v>
      </c>
      <c r="AE199" s="977">
        <v>2.3E-2</v>
      </c>
      <c r="AF199" s="938"/>
      <c r="AG199" s="938"/>
      <c r="AH199" s="938"/>
      <c r="AI199" s="938"/>
      <c r="AJ199" s="938"/>
      <c r="AK199" s="938"/>
      <c r="AL199" s="938"/>
      <c r="AM199" s="938"/>
      <c r="AN199" s="938"/>
      <c r="AO199" s="938"/>
      <c r="AP199" s="938"/>
      <c r="AQ199" s="938"/>
      <c r="AR199" s="938"/>
      <c r="AS199" s="938"/>
      <c r="AT199" s="938"/>
      <c r="AU199" s="938"/>
      <c r="AV199" s="938"/>
      <c r="AW199" s="938"/>
      <c r="AX199" s="938"/>
      <c r="AY199" s="938"/>
      <c r="AZ199" s="938"/>
      <c r="BA199" s="938"/>
      <c r="BB199" s="938"/>
      <c r="BC199" s="938"/>
      <c r="BD199" s="938"/>
      <c r="BE199" s="938"/>
      <c r="BF199" s="938"/>
      <c r="BG199" s="938"/>
      <c r="BH199" s="938"/>
      <c r="BI199" s="938"/>
      <c r="BJ199" s="938"/>
      <c r="BK199" s="938"/>
      <c r="BL199" s="938"/>
      <c r="BM199" s="938"/>
      <c r="BN199" s="938"/>
      <c r="BO199" s="938"/>
      <c r="BP199" s="938"/>
      <c r="BQ199" s="938"/>
      <c r="BR199" s="938"/>
      <c r="BS199" s="938"/>
      <c r="BT199" s="938"/>
    </row>
    <row r="200" spans="1:72" x14ac:dyDescent="0.25">
      <c r="A200" s="938" t="s">
        <v>487</v>
      </c>
      <c r="B200" s="938">
        <v>599.94000000000005</v>
      </c>
      <c r="C200" s="938">
        <v>705.86</v>
      </c>
      <c r="D200" s="938">
        <v>472.76</v>
      </c>
      <c r="E200" s="938">
        <v>523.54</v>
      </c>
      <c r="F200" s="938">
        <v>551.54</v>
      </c>
      <c r="G200" s="938">
        <v>600.52</v>
      </c>
      <c r="H200" s="938">
        <v>663.3</v>
      </c>
      <c r="I200" s="938">
        <v>702.29</v>
      </c>
      <c r="J200" s="938">
        <v>730.78</v>
      </c>
      <c r="K200" s="938">
        <v>762.17</v>
      </c>
      <c r="L200" s="938">
        <v>797.53</v>
      </c>
      <c r="M200" s="938">
        <v>828.81</v>
      </c>
      <c r="N200" s="938">
        <v>859.4</v>
      </c>
      <c r="O200" s="938">
        <v>891.87</v>
      </c>
      <c r="P200" s="938">
        <v>920.68</v>
      </c>
      <c r="Q200" s="938">
        <v>948.26</v>
      </c>
      <c r="R200" s="938">
        <v>986.59</v>
      </c>
      <c r="S200" s="938">
        <v>1021.27</v>
      </c>
      <c r="T200" s="938">
        <v>1062.24</v>
      </c>
      <c r="U200" s="938">
        <v>1101.69</v>
      </c>
      <c r="V200" s="938">
        <v>1143.03</v>
      </c>
      <c r="W200" s="938">
        <v>1188</v>
      </c>
      <c r="X200" s="938">
        <v>1232.23</v>
      </c>
      <c r="Y200" s="938">
        <v>1277.8499999999999</v>
      </c>
      <c r="Z200" s="938">
        <v>1321.12</v>
      </c>
      <c r="AA200" s="938">
        <v>1371.03</v>
      </c>
      <c r="AB200" s="938">
        <v>1423.78</v>
      </c>
      <c r="AC200" s="938">
        <v>1471.43</v>
      </c>
      <c r="AD200" s="938">
        <v>1525.95</v>
      </c>
      <c r="AE200" s="977">
        <v>2.9000000000000001E-2</v>
      </c>
      <c r="AF200" s="938"/>
      <c r="AG200" s="938"/>
      <c r="AH200" s="938"/>
      <c r="AI200" s="938"/>
      <c r="AJ200" s="938"/>
      <c r="AK200" s="938"/>
      <c r="AL200" s="938"/>
      <c r="AM200" s="938"/>
      <c r="AN200" s="938"/>
      <c r="AO200" s="938"/>
      <c r="AP200" s="938"/>
      <c r="AQ200" s="938"/>
      <c r="AR200" s="938"/>
      <c r="AS200" s="938"/>
      <c r="AT200" s="938"/>
      <c r="AU200" s="938"/>
      <c r="AV200" s="938"/>
      <c r="AW200" s="938"/>
      <c r="AX200" s="938"/>
      <c r="AY200" s="938"/>
      <c r="AZ200" s="938"/>
      <c r="BA200" s="938"/>
      <c r="BB200" s="938"/>
      <c r="BC200" s="938"/>
      <c r="BD200" s="938"/>
      <c r="BE200" s="938"/>
      <c r="BF200" s="938"/>
      <c r="BG200" s="938"/>
      <c r="BH200" s="938"/>
      <c r="BI200" s="938"/>
      <c r="BJ200" s="938"/>
      <c r="BK200" s="938"/>
      <c r="BL200" s="938"/>
      <c r="BM200" s="938"/>
      <c r="BN200" s="938"/>
      <c r="BO200" s="938"/>
      <c r="BP200" s="938"/>
      <c r="BQ200" s="938"/>
      <c r="BR200" s="938"/>
      <c r="BS200" s="938"/>
      <c r="BT200" s="938"/>
    </row>
    <row r="201" spans="1:72" x14ac:dyDescent="0.25">
      <c r="A201" s="938" t="s">
        <v>516</v>
      </c>
      <c r="B201" s="938">
        <v>1223.96</v>
      </c>
      <c r="C201" s="938">
        <v>1396.52</v>
      </c>
      <c r="D201" s="938">
        <v>1057.29</v>
      </c>
      <c r="E201" s="938">
        <v>1090.58</v>
      </c>
      <c r="F201" s="938">
        <v>1135.76</v>
      </c>
      <c r="G201" s="938">
        <v>1230.25</v>
      </c>
      <c r="H201" s="938">
        <v>1314.19</v>
      </c>
      <c r="I201" s="938">
        <v>1371.86</v>
      </c>
      <c r="J201" s="938">
        <v>1422.72</v>
      </c>
      <c r="K201" s="938">
        <v>1481.57</v>
      </c>
      <c r="L201" s="938">
        <v>1541.56</v>
      </c>
      <c r="M201" s="938">
        <v>1598.45</v>
      </c>
      <c r="N201" s="938">
        <v>1652.86</v>
      </c>
      <c r="O201" s="938">
        <v>1714.54</v>
      </c>
      <c r="P201" s="938">
        <v>1770.84</v>
      </c>
      <c r="Q201" s="938">
        <v>1827.25</v>
      </c>
      <c r="R201" s="938">
        <v>1894.81</v>
      </c>
      <c r="S201" s="938">
        <v>1957.89</v>
      </c>
      <c r="T201" s="938">
        <v>2026.51</v>
      </c>
      <c r="U201" s="938">
        <v>2098.7800000000002</v>
      </c>
      <c r="V201" s="938">
        <v>2176.1999999999998</v>
      </c>
      <c r="W201" s="938">
        <v>2260.73</v>
      </c>
      <c r="X201" s="938">
        <v>2348.7600000000002</v>
      </c>
      <c r="Y201" s="938">
        <v>2438.06</v>
      </c>
      <c r="Z201" s="938">
        <v>2531.5</v>
      </c>
      <c r="AA201" s="938">
        <v>2627.51</v>
      </c>
      <c r="AB201" s="938">
        <v>2721.14</v>
      </c>
      <c r="AC201" s="938">
        <v>2818.06</v>
      </c>
      <c r="AD201" s="938">
        <v>2919.72</v>
      </c>
      <c r="AE201" s="977">
        <v>2.8000000000000001E-2</v>
      </c>
      <c r="AF201" s="938"/>
      <c r="AG201" s="938"/>
      <c r="AH201" s="938"/>
      <c r="AI201" s="938"/>
      <c r="AJ201" s="938"/>
      <c r="AK201" s="938"/>
      <c r="AL201" s="938"/>
      <c r="AM201" s="938"/>
      <c r="AN201" s="938"/>
      <c r="AO201" s="938"/>
      <c r="AP201" s="938"/>
      <c r="AQ201" s="938"/>
      <c r="AR201" s="938"/>
      <c r="AS201" s="938"/>
      <c r="AT201" s="938"/>
      <c r="AU201" s="938"/>
      <c r="AV201" s="938"/>
      <c r="AW201" s="938"/>
      <c r="AX201" s="938"/>
      <c r="AY201" s="938"/>
      <c r="AZ201" s="938"/>
      <c r="BA201" s="938"/>
      <c r="BB201" s="938"/>
      <c r="BC201" s="938"/>
      <c r="BD201" s="938"/>
      <c r="BE201" s="938"/>
      <c r="BF201" s="938"/>
      <c r="BG201" s="938"/>
      <c r="BH201" s="938"/>
      <c r="BI201" s="938"/>
      <c r="BJ201" s="938"/>
      <c r="BK201" s="938"/>
      <c r="BL201" s="938"/>
      <c r="BM201" s="938"/>
      <c r="BN201" s="938"/>
      <c r="BO201" s="938"/>
      <c r="BP201" s="938"/>
      <c r="BQ201" s="938"/>
      <c r="BR201" s="938"/>
      <c r="BS201" s="938"/>
      <c r="BT201" s="938"/>
    </row>
    <row r="202" spans="1:72" x14ac:dyDescent="0.25">
      <c r="A202" s="938" t="s">
        <v>629</v>
      </c>
      <c r="B202" s="938">
        <v>0.04</v>
      </c>
      <c r="C202" s="938">
        <v>0.17</v>
      </c>
      <c r="D202" s="938">
        <v>0.04</v>
      </c>
      <c r="E202" s="938">
        <v>0.09</v>
      </c>
      <c r="F202" s="938">
        <v>0.11</v>
      </c>
      <c r="G202" s="938">
        <v>0.13</v>
      </c>
      <c r="H202" s="938">
        <v>0.16</v>
      </c>
      <c r="I202" s="938">
        <v>0.18</v>
      </c>
      <c r="J202" s="938">
        <v>0.24</v>
      </c>
      <c r="K202" s="938">
        <v>2.65</v>
      </c>
      <c r="L202" s="938">
        <v>3.64</v>
      </c>
      <c r="M202" s="938">
        <v>4.71</v>
      </c>
      <c r="N202" s="938">
        <v>6.36</v>
      </c>
      <c r="O202" s="938">
        <v>8.6999999999999993</v>
      </c>
      <c r="P202" s="938">
        <v>11.96</v>
      </c>
      <c r="Q202" s="938">
        <v>22.18</v>
      </c>
      <c r="R202" s="938">
        <v>20.28</v>
      </c>
      <c r="S202" s="938">
        <v>19.329999999999998</v>
      </c>
      <c r="T202" s="938">
        <v>20.440000000000001</v>
      </c>
      <c r="U202" s="938">
        <v>23.52</v>
      </c>
      <c r="V202" s="938">
        <v>26.81</v>
      </c>
      <c r="W202" s="938">
        <v>29.72</v>
      </c>
      <c r="X202" s="938">
        <v>34.94</v>
      </c>
      <c r="Y202" s="938">
        <v>37.81</v>
      </c>
      <c r="Z202" s="938">
        <v>49.23</v>
      </c>
      <c r="AA202" s="938">
        <v>57.96</v>
      </c>
      <c r="AB202" s="938">
        <v>65.66</v>
      </c>
      <c r="AC202" s="938">
        <v>79.569999999999993</v>
      </c>
      <c r="AD202" s="938">
        <v>94.81</v>
      </c>
      <c r="AE202" s="977">
        <v>0.26500000000000001</v>
      </c>
      <c r="AF202" s="938"/>
      <c r="AG202" s="938"/>
      <c r="AH202" s="938"/>
      <c r="AI202" s="938"/>
      <c r="AJ202" s="938"/>
      <c r="AK202" s="938"/>
      <c r="AL202" s="938"/>
      <c r="AM202" s="938"/>
      <c r="AN202" s="938"/>
      <c r="AO202" s="938"/>
      <c r="AP202" s="938"/>
      <c r="AQ202" s="938"/>
      <c r="AR202" s="938"/>
      <c r="AS202" s="938"/>
      <c r="AT202" s="938"/>
      <c r="AU202" s="938"/>
      <c r="AV202" s="938"/>
      <c r="AW202" s="938"/>
      <c r="AX202" s="938"/>
      <c r="AY202" s="938"/>
      <c r="AZ202" s="938"/>
      <c r="BA202" s="938"/>
      <c r="BB202" s="938"/>
      <c r="BC202" s="938"/>
      <c r="BD202" s="938"/>
      <c r="BE202" s="938"/>
      <c r="BF202" s="938"/>
      <c r="BG202" s="938"/>
      <c r="BH202" s="938"/>
      <c r="BI202" s="938"/>
      <c r="BJ202" s="938"/>
      <c r="BK202" s="938"/>
      <c r="BL202" s="938"/>
      <c r="BM202" s="938"/>
      <c r="BN202" s="938"/>
      <c r="BO202" s="938"/>
      <c r="BP202" s="938"/>
      <c r="BQ202" s="938"/>
      <c r="BR202" s="938"/>
      <c r="BS202" s="938"/>
      <c r="BT202" s="938"/>
    </row>
    <row r="203" spans="1:72" x14ac:dyDescent="0.25">
      <c r="A203" s="938" t="s">
        <v>518</v>
      </c>
      <c r="B203" s="938">
        <v>1224</v>
      </c>
      <c r="C203" s="938">
        <v>1396.69</v>
      </c>
      <c r="D203" s="938">
        <v>1057.33</v>
      </c>
      <c r="E203" s="938">
        <v>1090.67</v>
      </c>
      <c r="F203" s="938">
        <v>1135.8699999999999</v>
      </c>
      <c r="G203" s="938">
        <v>1230.3800000000001</v>
      </c>
      <c r="H203" s="938">
        <v>1314.36</v>
      </c>
      <c r="I203" s="938">
        <v>1372.05</v>
      </c>
      <c r="J203" s="938">
        <v>1422.95</v>
      </c>
      <c r="K203" s="938">
        <v>1484.22</v>
      </c>
      <c r="L203" s="938">
        <v>1545.2</v>
      </c>
      <c r="M203" s="938">
        <v>1603.16</v>
      </c>
      <c r="N203" s="938">
        <v>1659.22</v>
      </c>
      <c r="O203" s="938">
        <v>1723.24</v>
      </c>
      <c r="P203" s="938">
        <v>1782.8</v>
      </c>
      <c r="Q203" s="938">
        <v>1849.44</v>
      </c>
      <c r="R203" s="938">
        <v>1915.09</v>
      </c>
      <c r="S203" s="938">
        <v>1977.22</v>
      </c>
      <c r="T203" s="938">
        <v>2046.94</v>
      </c>
      <c r="U203" s="938">
        <v>2122.3000000000002</v>
      </c>
      <c r="V203" s="938">
        <v>2203.0100000000002</v>
      </c>
      <c r="W203" s="938">
        <v>2290.46</v>
      </c>
      <c r="X203" s="938">
        <v>2383.6999999999998</v>
      </c>
      <c r="Y203" s="938">
        <v>2475.87</v>
      </c>
      <c r="Z203" s="938">
        <v>2580.73</v>
      </c>
      <c r="AA203" s="938">
        <v>2685.47</v>
      </c>
      <c r="AB203" s="938">
        <v>2786.79</v>
      </c>
      <c r="AC203" s="938">
        <v>2897.63</v>
      </c>
      <c r="AD203" s="938">
        <v>3014.53</v>
      </c>
      <c r="AE203" s="977">
        <v>2.9000000000000001E-2</v>
      </c>
      <c r="AF203" s="938"/>
      <c r="AG203" s="938"/>
      <c r="AH203" s="938"/>
      <c r="AI203" s="938"/>
      <c r="AJ203" s="938"/>
      <c r="AK203" s="938"/>
      <c r="AL203" s="938"/>
      <c r="AM203" s="938"/>
      <c r="AN203" s="938"/>
      <c r="AO203" s="938"/>
      <c r="AP203" s="938"/>
      <c r="AQ203" s="938"/>
      <c r="AR203" s="938"/>
      <c r="AS203" s="938"/>
      <c r="AT203" s="938"/>
      <c r="AU203" s="938"/>
      <c r="AV203" s="938"/>
      <c r="AW203" s="938"/>
      <c r="AX203" s="938"/>
      <c r="AY203" s="938"/>
      <c r="AZ203" s="938"/>
      <c r="BA203" s="938"/>
      <c r="BB203" s="938"/>
      <c r="BC203" s="938"/>
      <c r="BD203" s="938"/>
      <c r="BE203" s="938"/>
      <c r="BF203" s="938"/>
      <c r="BG203" s="938"/>
      <c r="BH203" s="938"/>
      <c r="BI203" s="938"/>
      <c r="BJ203" s="938"/>
      <c r="BK203" s="938"/>
      <c r="BL203" s="938"/>
      <c r="BM203" s="938"/>
      <c r="BN203" s="938"/>
      <c r="BO203" s="938"/>
      <c r="BP203" s="938"/>
      <c r="BQ203" s="938"/>
      <c r="BR203" s="938"/>
      <c r="BS203" s="938"/>
      <c r="BT203" s="938"/>
    </row>
    <row r="204" spans="1:72" x14ac:dyDescent="0.25">
      <c r="A204" s="938"/>
      <c r="B204" s="938"/>
      <c r="C204" s="938"/>
      <c r="D204" s="938"/>
      <c r="E204" s="938"/>
      <c r="F204" s="938"/>
      <c r="G204" s="938"/>
      <c r="H204" s="938"/>
      <c r="I204" s="938"/>
      <c r="J204" s="938"/>
      <c r="K204" s="938"/>
      <c r="L204" s="938"/>
      <c r="M204" s="938"/>
      <c r="N204" s="938"/>
      <c r="O204" s="938"/>
      <c r="P204" s="938"/>
      <c r="Q204" s="938"/>
      <c r="R204" s="938"/>
      <c r="S204" s="938"/>
      <c r="T204" s="938"/>
      <c r="U204" s="938"/>
      <c r="V204" s="938"/>
      <c r="W204" s="938"/>
      <c r="X204" s="938"/>
      <c r="Y204" s="938"/>
      <c r="Z204" s="938"/>
      <c r="AA204" s="938"/>
      <c r="AB204" s="938"/>
      <c r="AC204" s="938"/>
      <c r="AD204" s="938"/>
      <c r="AE204" s="938"/>
      <c r="AF204" s="938"/>
      <c r="AG204" s="938"/>
      <c r="AH204" s="938"/>
      <c r="AI204" s="938"/>
      <c r="AJ204" s="938"/>
      <c r="AK204" s="938"/>
      <c r="AL204" s="938"/>
      <c r="AM204" s="938"/>
      <c r="AN204" s="938"/>
      <c r="AO204" s="938"/>
      <c r="AP204" s="938"/>
      <c r="AQ204" s="938"/>
      <c r="AR204" s="938"/>
      <c r="AS204" s="938"/>
      <c r="AT204" s="938"/>
      <c r="AU204" s="938"/>
      <c r="AV204" s="938"/>
      <c r="AW204" s="938"/>
      <c r="AX204" s="938"/>
      <c r="AY204" s="938"/>
      <c r="AZ204" s="938"/>
      <c r="BA204" s="938"/>
      <c r="BB204" s="938"/>
      <c r="BC204" s="938"/>
      <c r="BD204" s="938"/>
      <c r="BE204" s="938"/>
      <c r="BF204" s="938"/>
      <c r="BG204" s="938"/>
      <c r="BH204" s="938"/>
      <c r="BI204" s="938"/>
      <c r="BJ204" s="938"/>
      <c r="BK204" s="938"/>
      <c r="BL204" s="938"/>
      <c r="BM204" s="938"/>
      <c r="BN204" s="938"/>
      <c r="BO204" s="938"/>
      <c r="BP204" s="938"/>
      <c r="BQ204" s="938"/>
      <c r="BR204" s="938"/>
      <c r="BS204" s="938"/>
      <c r="BT204" s="938"/>
    </row>
    <row r="205" spans="1:72" x14ac:dyDescent="0.25">
      <c r="A205" s="938"/>
      <c r="B205" s="938"/>
      <c r="C205" s="938"/>
      <c r="D205" s="938"/>
      <c r="E205" s="938"/>
      <c r="F205" s="938"/>
      <c r="G205" s="938"/>
      <c r="H205" s="938"/>
      <c r="I205" s="938"/>
      <c r="J205" s="938"/>
      <c r="K205" s="938"/>
      <c r="L205" s="938"/>
      <c r="M205" s="938"/>
      <c r="N205" s="938"/>
      <c r="O205" s="938"/>
      <c r="P205" s="938"/>
      <c r="Q205" s="938"/>
      <c r="R205" s="938"/>
      <c r="S205" s="938"/>
      <c r="T205" s="938"/>
      <c r="U205" s="938"/>
      <c r="V205" s="938"/>
      <c r="W205" s="938"/>
      <c r="X205" s="938"/>
      <c r="Y205" s="938"/>
      <c r="Z205" s="938"/>
      <c r="AA205" s="938"/>
      <c r="AB205" s="938"/>
      <c r="AC205" s="938"/>
      <c r="AD205" s="938"/>
      <c r="AE205" s="938"/>
      <c r="AF205" s="938"/>
      <c r="AG205" s="938"/>
      <c r="AH205" s="938"/>
      <c r="AI205" s="938"/>
      <c r="AJ205" s="938"/>
      <c r="AK205" s="938"/>
      <c r="AL205" s="938"/>
      <c r="AM205" s="938"/>
      <c r="AN205" s="938"/>
      <c r="AO205" s="938"/>
      <c r="AP205" s="938"/>
      <c r="AQ205" s="938"/>
      <c r="AR205" s="938"/>
      <c r="AS205" s="938"/>
      <c r="AT205" s="938"/>
      <c r="AU205" s="938"/>
      <c r="AV205" s="938"/>
      <c r="AW205" s="938"/>
      <c r="AX205" s="938"/>
      <c r="AY205" s="938"/>
      <c r="AZ205" s="938"/>
      <c r="BA205" s="938"/>
      <c r="BB205" s="938"/>
      <c r="BC205" s="938"/>
      <c r="BD205" s="938"/>
      <c r="BE205" s="938"/>
      <c r="BF205" s="938"/>
      <c r="BG205" s="938"/>
      <c r="BH205" s="938"/>
      <c r="BI205" s="938"/>
      <c r="BJ205" s="938"/>
      <c r="BK205" s="938"/>
      <c r="BL205" s="938"/>
      <c r="BM205" s="938"/>
      <c r="BN205" s="938"/>
      <c r="BO205" s="938"/>
      <c r="BP205" s="938"/>
      <c r="BQ205" s="938"/>
      <c r="BR205" s="938"/>
      <c r="BS205" s="938"/>
      <c r="BT205" s="938"/>
    </row>
    <row r="206" spans="1:72" x14ac:dyDescent="0.25">
      <c r="A206" s="938"/>
      <c r="B206" s="938"/>
      <c r="C206" s="938"/>
      <c r="D206" s="938"/>
      <c r="E206" s="938"/>
      <c r="F206" s="938"/>
      <c r="G206" s="938"/>
      <c r="H206" s="938"/>
      <c r="I206" s="938"/>
      <c r="J206" s="938"/>
      <c r="K206" s="938"/>
      <c r="L206" s="938"/>
      <c r="M206" s="938"/>
      <c r="N206" s="938"/>
      <c r="O206" s="938"/>
      <c r="P206" s="938"/>
      <c r="Q206" s="938"/>
      <c r="R206" s="938"/>
      <c r="S206" s="938"/>
      <c r="T206" s="938"/>
      <c r="U206" s="938"/>
      <c r="V206" s="938"/>
      <c r="W206" s="938"/>
      <c r="X206" s="938"/>
      <c r="Y206" s="938"/>
      <c r="Z206" s="938"/>
      <c r="AA206" s="938"/>
      <c r="AB206" s="938"/>
      <c r="AC206" s="938"/>
      <c r="AD206" s="938"/>
      <c r="AE206" s="938"/>
      <c r="AF206" s="938"/>
      <c r="AG206" s="938"/>
      <c r="AH206" s="938"/>
      <c r="AI206" s="938"/>
      <c r="AJ206" s="938"/>
      <c r="AK206" s="938"/>
      <c r="AL206" s="938"/>
      <c r="AM206" s="938"/>
      <c r="AN206" s="938"/>
      <c r="AO206" s="938"/>
      <c r="AP206" s="938"/>
      <c r="AQ206" s="938"/>
      <c r="AR206" s="938"/>
      <c r="AS206" s="938"/>
      <c r="AT206" s="938"/>
      <c r="AU206" s="938"/>
      <c r="AV206" s="938"/>
      <c r="AW206" s="938"/>
      <c r="AX206" s="938"/>
      <c r="AY206" s="938"/>
      <c r="AZ206" s="938"/>
      <c r="BA206" s="938"/>
      <c r="BB206" s="938"/>
      <c r="BC206" s="938"/>
      <c r="BD206" s="938"/>
      <c r="BE206" s="938"/>
      <c r="BF206" s="938"/>
      <c r="BG206" s="938"/>
      <c r="BH206" s="938"/>
      <c r="BI206" s="938"/>
      <c r="BJ206" s="938"/>
      <c r="BK206" s="938"/>
      <c r="BL206" s="938"/>
      <c r="BM206" s="938"/>
      <c r="BN206" s="938"/>
      <c r="BO206" s="938"/>
      <c r="BP206" s="938"/>
      <c r="BQ206" s="938"/>
      <c r="BR206" s="938"/>
      <c r="BS206" s="938"/>
      <c r="BT206" s="938"/>
    </row>
    <row r="207" spans="1:72" x14ac:dyDescent="0.25">
      <c r="A207" s="938" t="s">
        <v>630</v>
      </c>
      <c r="B207" s="938"/>
      <c r="C207" s="938"/>
      <c r="D207" s="938"/>
      <c r="E207" s="938"/>
      <c r="F207" s="938"/>
      <c r="G207" s="938"/>
      <c r="H207" s="938"/>
      <c r="I207" s="938"/>
      <c r="J207" s="938"/>
      <c r="K207" s="938"/>
      <c r="L207" s="938"/>
      <c r="M207" s="938"/>
      <c r="N207" s="938"/>
      <c r="O207" s="938"/>
      <c r="P207" s="938"/>
      <c r="Q207" s="938"/>
      <c r="R207" s="938"/>
      <c r="S207" s="938"/>
      <c r="T207" s="938"/>
      <c r="U207" s="938"/>
      <c r="V207" s="938"/>
      <c r="W207" s="938"/>
      <c r="X207" s="938"/>
      <c r="Y207" s="938"/>
      <c r="Z207" s="938"/>
      <c r="AA207" s="938"/>
      <c r="AB207" s="938"/>
      <c r="AC207" s="938"/>
      <c r="AD207" s="938"/>
      <c r="AE207" s="938"/>
      <c r="AF207" s="938"/>
      <c r="AG207" s="938"/>
      <c r="AH207" s="938"/>
      <c r="AI207" s="938"/>
      <c r="AJ207" s="938"/>
      <c r="AK207" s="938"/>
      <c r="AL207" s="938"/>
      <c r="AM207" s="938"/>
      <c r="AN207" s="938"/>
      <c r="AO207" s="938"/>
      <c r="AP207" s="938"/>
      <c r="AQ207" s="938"/>
      <c r="AR207" s="938"/>
      <c r="AS207" s="938"/>
      <c r="AT207" s="938"/>
      <c r="AU207" s="938"/>
      <c r="AV207" s="938"/>
      <c r="AW207" s="938"/>
      <c r="AX207" s="938"/>
      <c r="AY207" s="938"/>
      <c r="AZ207" s="938"/>
      <c r="BA207" s="938"/>
      <c r="BB207" s="938"/>
      <c r="BC207" s="938"/>
      <c r="BD207" s="938"/>
      <c r="BE207" s="938"/>
      <c r="BF207" s="938"/>
      <c r="BG207" s="938"/>
      <c r="BH207" s="938"/>
      <c r="BI207" s="938"/>
      <c r="BJ207" s="938"/>
      <c r="BK207" s="938"/>
      <c r="BL207" s="938"/>
      <c r="BM207" s="938"/>
      <c r="BN207" s="938"/>
      <c r="BO207" s="938"/>
      <c r="BP207" s="938"/>
      <c r="BQ207" s="938"/>
      <c r="BR207" s="938"/>
      <c r="BS207" s="938"/>
      <c r="BT207" s="938"/>
    </row>
    <row r="208" spans="1:72" x14ac:dyDescent="0.25">
      <c r="A208" s="938" t="s">
        <v>631</v>
      </c>
      <c r="B208" s="938"/>
      <c r="C208" s="938"/>
      <c r="D208" s="938"/>
      <c r="E208" s="938"/>
      <c r="F208" s="938"/>
      <c r="G208" s="938"/>
      <c r="H208" s="938"/>
      <c r="I208" s="938"/>
      <c r="J208" s="938"/>
      <c r="K208" s="938"/>
      <c r="L208" s="938"/>
      <c r="M208" s="938"/>
      <c r="N208" s="938"/>
      <c r="O208" s="938"/>
      <c r="P208" s="938"/>
      <c r="Q208" s="938"/>
      <c r="R208" s="938"/>
      <c r="S208" s="938"/>
      <c r="T208" s="938"/>
      <c r="U208" s="938"/>
      <c r="V208" s="938"/>
      <c r="W208" s="938"/>
      <c r="X208" s="938"/>
      <c r="Y208" s="938"/>
      <c r="Z208" s="938"/>
      <c r="AA208" s="938"/>
      <c r="AB208" s="938"/>
      <c r="AC208" s="938"/>
      <c r="AD208" s="938"/>
      <c r="AE208" s="938"/>
      <c r="AF208" s="938"/>
      <c r="AG208" s="938"/>
      <c r="AH208" s="938"/>
      <c r="AI208" s="938"/>
      <c r="AJ208" s="938"/>
      <c r="AK208" s="938"/>
      <c r="AL208" s="938"/>
      <c r="AM208" s="938"/>
      <c r="AN208" s="938"/>
      <c r="AO208" s="938"/>
      <c r="AP208" s="938"/>
      <c r="AQ208" s="938"/>
      <c r="AR208" s="938"/>
      <c r="AS208" s="938"/>
      <c r="AT208" s="938"/>
      <c r="AU208" s="938"/>
      <c r="AV208" s="938"/>
      <c r="AW208" s="938"/>
      <c r="AX208" s="938"/>
      <c r="AY208" s="938"/>
      <c r="AZ208" s="938"/>
      <c r="BA208" s="938"/>
      <c r="BB208" s="938"/>
      <c r="BC208" s="938"/>
      <c r="BD208" s="938"/>
      <c r="BE208" s="938"/>
      <c r="BF208" s="938"/>
      <c r="BG208" s="938"/>
      <c r="BH208" s="938"/>
      <c r="BI208" s="938"/>
      <c r="BJ208" s="938"/>
      <c r="BK208" s="938"/>
      <c r="BL208" s="938"/>
      <c r="BM208" s="938"/>
      <c r="BN208" s="938"/>
      <c r="BO208" s="938"/>
      <c r="BP208" s="938"/>
      <c r="BQ208" s="938"/>
      <c r="BR208" s="938"/>
      <c r="BS208" s="938"/>
      <c r="BT208" s="938"/>
    </row>
    <row r="209" spans="1:72" x14ac:dyDescent="0.25">
      <c r="A209" s="938" t="s">
        <v>632</v>
      </c>
      <c r="B209" s="938"/>
      <c r="C209" s="938"/>
      <c r="D209" s="938"/>
      <c r="E209" s="938"/>
      <c r="F209" s="938"/>
      <c r="G209" s="938"/>
      <c r="H209" s="938"/>
      <c r="I209" s="938"/>
      <c r="J209" s="938"/>
      <c r="K209" s="938"/>
      <c r="L209" s="938"/>
      <c r="M209" s="938"/>
      <c r="N209" s="938"/>
      <c r="O209" s="938"/>
      <c r="P209" s="938"/>
      <c r="Q209" s="938"/>
      <c r="R209" s="938"/>
      <c r="S209" s="938"/>
      <c r="T209" s="938"/>
      <c r="U209" s="938"/>
      <c r="V209" s="938"/>
      <c r="W209" s="938"/>
      <c r="X209" s="938"/>
      <c r="Y209" s="938"/>
      <c r="Z209" s="938"/>
      <c r="AA209" s="938"/>
      <c r="AB209" s="938"/>
      <c r="AC209" s="938"/>
      <c r="AD209" s="938"/>
      <c r="AE209" s="938"/>
      <c r="AF209" s="938"/>
      <c r="AG209" s="938"/>
      <c r="AH209" s="938"/>
      <c r="AI209" s="938"/>
      <c r="AJ209" s="938"/>
      <c r="AK209" s="938"/>
      <c r="AL209" s="938"/>
      <c r="AM209" s="938"/>
      <c r="AN209" s="938"/>
      <c r="AO209" s="938"/>
      <c r="AP209" s="938"/>
      <c r="AQ209" s="938"/>
      <c r="AR209" s="938"/>
      <c r="AS209" s="938"/>
      <c r="AT209" s="938"/>
      <c r="AU209" s="938"/>
      <c r="AV209" s="938"/>
      <c r="AW209" s="938"/>
      <c r="AX209" s="938"/>
      <c r="AY209" s="938"/>
      <c r="AZ209" s="938"/>
      <c r="BA209" s="938"/>
      <c r="BB209" s="938"/>
      <c r="BC209" s="938"/>
      <c r="BD209" s="938"/>
      <c r="BE209" s="938"/>
      <c r="BF209" s="938"/>
      <c r="BG209" s="938"/>
      <c r="BH209" s="938"/>
      <c r="BI209" s="938"/>
      <c r="BJ209" s="938"/>
      <c r="BK209" s="938"/>
      <c r="BL209" s="938"/>
      <c r="BM209" s="938"/>
      <c r="BN209" s="938"/>
      <c r="BO209" s="938"/>
      <c r="BP209" s="938"/>
      <c r="BQ209" s="938"/>
      <c r="BR209" s="938"/>
      <c r="BS209" s="938"/>
      <c r="BT209" s="938"/>
    </row>
    <row r="210" spans="1:72" x14ac:dyDescent="0.25">
      <c r="A210" s="938" t="s">
        <v>790</v>
      </c>
      <c r="B210" s="938"/>
      <c r="C210" s="938"/>
      <c r="D210" s="938"/>
      <c r="E210" s="938"/>
      <c r="F210" s="938"/>
      <c r="G210" s="938"/>
      <c r="H210" s="938"/>
      <c r="I210" s="938"/>
      <c r="J210" s="938"/>
      <c r="K210" s="938"/>
      <c r="L210" s="938"/>
      <c r="M210" s="938"/>
      <c r="N210" s="938"/>
      <c r="O210" s="938"/>
      <c r="P210" s="938"/>
      <c r="Q210" s="938"/>
      <c r="R210" s="938"/>
      <c r="S210" s="938"/>
      <c r="T210" s="938"/>
      <c r="U210" s="938"/>
      <c r="V210" s="938"/>
      <c r="W210" s="938"/>
      <c r="X210" s="938"/>
      <c r="Y210" s="938"/>
      <c r="Z210" s="938"/>
      <c r="AA210" s="938"/>
      <c r="AB210" s="938"/>
      <c r="AC210" s="938"/>
      <c r="AD210" s="938"/>
      <c r="AE210" s="938"/>
      <c r="AF210" s="938"/>
      <c r="AG210" s="938"/>
      <c r="AH210" s="938"/>
      <c r="AI210" s="938"/>
      <c r="AJ210" s="938"/>
      <c r="AK210" s="938"/>
      <c r="AL210" s="938"/>
      <c r="AM210" s="938"/>
      <c r="AN210" s="938"/>
      <c r="AO210" s="938"/>
      <c r="AP210" s="938"/>
      <c r="AQ210" s="938"/>
      <c r="AR210" s="938"/>
      <c r="AS210" s="938"/>
      <c r="AT210" s="938"/>
      <c r="AU210" s="938"/>
      <c r="AV210" s="938"/>
      <c r="AW210" s="938"/>
      <c r="AX210" s="938"/>
      <c r="AY210" s="938"/>
      <c r="AZ210" s="938"/>
      <c r="BA210" s="938"/>
      <c r="BB210" s="938"/>
      <c r="BC210" s="938"/>
      <c r="BD210" s="938"/>
      <c r="BE210" s="938"/>
      <c r="BF210" s="938"/>
      <c r="BG210" s="938"/>
      <c r="BH210" s="938"/>
      <c r="BI210" s="938"/>
      <c r="BJ210" s="938"/>
      <c r="BK210" s="938"/>
      <c r="BL210" s="938"/>
      <c r="BM210" s="938"/>
      <c r="BN210" s="938"/>
      <c r="BO210" s="938"/>
      <c r="BP210" s="938"/>
      <c r="BQ210" s="938"/>
      <c r="BR210" s="938"/>
      <c r="BS210" s="938"/>
      <c r="BT210" s="938"/>
    </row>
    <row r="211" spans="1:72" x14ac:dyDescent="0.25">
      <c r="A211" s="938" t="s">
        <v>791</v>
      </c>
      <c r="B211" s="938"/>
      <c r="C211" s="938"/>
      <c r="D211" s="938"/>
      <c r="E211" s="938"/>
      <c r="F211" s="938"/>
      <c r="G211" s="938"/>
      <c r="H211" s="938"/>
      <c r="I211" s="938"/>
      <c r="J211" s="938"/>
      <c r="K211" s="938"/>
      <c r="L211" s="938"/>
      <c r="M211" s="938"/>
      <c r="N211" s="938"/>
      <c r="O211" s="938"/>
      <c r="P211" s="938"/>
      <c r="Q211" s="938"/>
      <c r="R211" s="938"/>
      <c r="S211" s="938"/>
      <c r="T211" s="938"/>
      <c r="U211" s="938"/>
      <c r="V211" s="938"/>
      <c r="W211" s="938"/>
      <c r="X211" s="938"/>
      <c r="Y211" s="938"/>
      <c r="Z211" s="938"/>
      <c r="AA211" s="938"/>
      <c r="AB211" s="938"/>
      <c r="AC211" s="938"/>
      <c r="AD211" s="938"/>
      <c r="AE211" s="938"/>
      <c r="AF211" s="938"/>
      <c r="AG211" s="938"/>
      <c r="AH211" s="938"/>
      <c r="AI211" s="938"/>
      <c r="AJ211" s="938"/>
      <c r="AK211" s="938"/>
      <c r="AL211" s="938"/>
      <c r="AM211" s="938"/>
      <c r="AN211" s="938"/>
      <c r="AO211" s="938"/>
      <c r="AP211" s="938"/>
      <c r="AQ211" s="938"/>
      <c r="AR211" s="938"/>
      <c r="AS211" s="938"/>
      <c r="AT211" s="938"/>
      <c r="AU211" s="938"/>
      <c r="AV211" s="938"/>
      <c r="AW211" s="938"/>
      <c r="AX211" s="938"/>
      <c r="AY211" s="938"/>
      <c r="AZ211" s="938"/>
      <c r="BA211" s="938"/>
      <c r="BB211" s="938"/>
      <c r="BC211" s="938"/>
      <c r="BD211" s="938"/>
      <c r="BE211" s="938"/>
      <c r="BF211" s="938"/>
      <c r="BG211" s="938"/>
      <c r="BH211" s="938"/>
      <c r="BI211" s="938"/>
      <c r="BJ211" s="938"/>
      <c r="BK211" s="938"/>
      <c r="BL211" s="938"/>
      <c r="BM211" s="938"/>
      <c r="BN211" s="938"/>
      <c r="BO211" s="938"/>
      <c r="BP211" s="938"/>
      <c r="BQ211" s="938"/>
      <c r="BR211" s="938"/>
      <c r="BS211" s="938"/>
      <c r="BT211" s="938"/>
    </row>
    <row r="212" spans="1:72" x14ac:dyDescent="0.25">
      <c r="A212" s="938" t="s">
        <v>649</v>
      </c>
      <c r="B212" s="938"/>
      <c r="C212" s="938"/>
      <c r="D212" s="938"/>
      <c r="E212" s="938"/>
      <c r="F212" s="938"/>
      <c r="G212" s="938"/>
      <c r="H212" s="938"/>
      <c r="I212" s="938"/>
      <c r="J212" s="938"/>
      <c r="K212" s="938"/>
      <c r="L212" s="938"/>
      <c r="M212" s="938"/>
      <c r="N212" s="938"/>
      <c r="O212" s="938"/>
      <c r="P212" s="938"/>
      <c r="Q212" s="938"/>
      <c r="R212" s="938"/>
      <c r="S212" s="938"/>
      <c r="T212" s="938"/>
      <c r="U212" s="938"/>
      <c r="V212" s="938"/>
      <c r="W212" s="938"/>
      <c r="X212" s="938"/>
      <c r="Y212" s="938"/>
      <c r="Z212" s="938"/>
      <c r="AA212" s="938"/>
      <c r="AB212" s="938"/>
      <c r="AC212" s="938"/>
      <c r="AD212" s="938"/>
      <c r="AE212" s="938"/>
      <c r="AF212" s="938"/>
      <c r="AG212" s="938"/>
      <c r="AH212" s="938"/>
      <c r="AI212" s="938"/>
      <c r="AJ212" s="938"/>
      <c r="AK212" s="938"/>
      <c r="AL212" s="938"/>
      <c r="AM212" s="938"/>
      <c r="AN212" s="938"/>
      <c r="AO212" s="938"/>
      <c r="AP212" s="938"/>
      <c r="AQ212" s="938"/>
      <c r="AR212" s="938"/>
      <c r="AS212" s="938"/>
      <c r="AT212" s="938"/>
      <c r="AU212" s="938"/>
      <c r="AV212" s="938"/>
      <c r="AW212" s="938"/>
      <c r="AX212" s="938"/>
      <c r="AY212" s="938"/>
      <c r="AZ212" s="938"/>
      <c r="BA212" s="938"/>
      <c r="BB212" s="938"/>
      <c r="BC212" s="938"/>
      <c r="BD212" s="938"/>
      <c r="BE212" s="938"/>
      <c r="BF212" s="938"/>
      <c r="BG212" s="938"/>
      <c r="BH212" s="938"/>
      <c r="BI212" s="938"/>
      <c r="BJ212" s="938"/>
      <c r="BK212" s="938"/>
      <c r="BL212" s="938"/>
      <c r="BM212" s="938"/>
      <c r="BN212" s="938"/>
      <c r="BO212" s="938"/>
      <c r="BP212" s="938"/>
      <c r="BQ212" s="938"/>
      <c r="BR212" s="938"/>
      <c r="BS212" s="938"/>
      <c r="BT212" s="938"/>
    </row>
    <row r="213" spans="1:72" x14ac:dyDescent="0.25">
      <c r="A213" s="938" t="s">
        <v>650</v>
      </c>
      <c r="B213" s="938"/>
      <c r="C213" s="938"/>
      <c r="D213" s="938"/>
      <c r="E213" s="938"/>
      <c r="F213" s="938"/>
      <c r="G213" s="938"/>
      <c r="H213" s="938"/>
      <c r="I213" s="938"/>
      <c r="J213" s="938"/>
      <c r="K213" s="938"/>
      <c r="L213" s="938"/>
      <c r="M213" s="938"/>
      <c r="N213" s="938"/>
      <c r="O213" s="938"/>
      <c r="P213" s="938"/>
      <c r="Q213" s="938"/>
      <c r="R213" s="938"/>
      <c r="S213" s="938"/>
      <c r="T213" s="938"/>
      <c r="U213" s="938"/>
      <c r="V213" s="938"/>
      <c r="W213" s="938"/>
      <c r="X213" s="938"/>
      <c r="Y213" s="938"/>
      <c r="Z213" s="938"/>
      <c r="AA213" s="938"/>
      <c r="AB213" s="938"/>
      <c r="AC213" s="938"/>
      <c r="AD213" s="938"/>
      <c r="AE213" s="938"/>
      <c r="AF213" s="938"/>
      <c r="AG213" s="938"/>
      <c r="AH213" s="938"/>
      <c r="AI213" s="938"/>
      <c r="AJ213" s="938"/>
      <c r="AK213" s="938"/>
      <c r="AL213" s="938"/>
      <c r="AM213" s="938"/>
      <c r="AN213" s="938"/>
      <c r="AO213" s="938"/>
      <c r="AP213" s="938"/>
      <c r="AQ213" s="938"/>
      <c r="AR213" s="938"/>
      <c r="AS213" s="938"/>
      <c r="AT213" s="938"/>
      <c r="AU213" s="938"/>
      <c r="AV213" s="938"/>
      <c r="AW213" s="938"/>
      <c r="AX213" s="938"/>
      <c r="AY213" s="938"/>
      <c r="AZ213" s="938"/>
      <c r="BA213" s="938"/>
      <c r="BB213" s="938"/>
      <c r="BC213" s="938"/>
      <c r="BD213" s="938"/>
      <c r="BE213" s="938"/>
      <c r="BF213" s="938"/>
      <c r="BG213" s="938"/>
      <c r="BH213" s="938"/>
      <c r="BI213" s="938"/>
      <c r="BJ213" s="938"/>
      <c r="BK213" s="938"/>
      <c r="BL213" s="938"/>
      <c r="BM213" s="938"/>
      <c r="BN213" s="938"/>
      <c r="BO213" s="938"/>
      <c r="BP213" s="938"/>
      <c r="BQ213" s="938"/>
      <c r="BR213" s="938"/>
      <c r="BS213" s="938"/>
      <c r="BT213" s="938"/>
    </row>
    <row r="214" spans="1:72" x14ac:dyDescent="0.25">
      <c r="A214" s="938" t="s">
        <v>651</v>
      </c>
      <c r="B214" s="938"/>
      <c r="C214" s="938"/>
      <c r="D214" s="938"/>
      <c r="E214" s="938"/>
      <c r="F214" s="938"/>
      <c r="G214" s="938"/>
      <c r="H214" s="938"/>
      <c r="I214" s="938"/>
      <c r="J214" s="938"/>
      <c r="K214" s="938"/>
      <c r="L214" s="938"/>
      <c r="M214" s="938"/>
      <c r="N214" s="938"/>
      <c r="O214" s="938"/>
      <c r="P214" s="938"/>
      <c r="Q214" s="938"/>
      <c r="R214" s="938"/>
      <c r="S214" s="938"/>
      <c r="T214" s="938"/>
      <c r="U214" s="938"/>
      <c r="V214" s="938"/>
      <c r="W214" s="938"/>
      <c r="X214" s="938"/>
      <c r="Y214" s="938"/>
      <c r="Z214" s="938"/>
      <c r="AA214" s="938"/>
      <c r="AB214" s="938"/>
      <c r="AC214" s="938"/>
      <c r="AD214" s="938"/>
      <c r="AE214" s="938"/>
      <c r="AF214" s="938"/>
      <c r="AG214" s="938"/>
      <c r="AH214" s="938"/>
      <c r="AI214" s="938"/>
      <c r="AJ214" s="938"/>
      <c r="AK214" s="938"/>
      <c r="AL214" s="938"/>
      <c r="AM214" s="938"/>
      <c r="AN214" s="938"/>
      <c r="AO214" s="938"/>
      <c r="AP214" s="938"/>
      <c r="AQ214" s="938"/>
      <c r="AR214" s="938"/>
      <c r="AS214" s="938"/>
      <c r="AT214" s="938"/>
      <c r="AU214" s="938"/>
      <c r="AV214" s="938"/>
      <c r="AW214" s="938"/>
      <c r="AX214" s="938"/>
      <c r="AY214" s="938"/>
      <c r="AZ214" s="938"/>
      <c r="BA214" s="938"/>
      <c r="BB214" s="938"/>
      <c r="BC214" s="938"/>
      <c r="BD214" s="938"/>
      <c r="BE214" s="938"/>
      <c r="BF214" s="938"/>
      <c r="BG214" s="938"/>
      <c r="BH214" s="938"/>
      <c r="BI214" s="938"/>
      <c r="BJ214" s="938"/>
      <c r="BK214" s="938"/>
      <c r="BL214" s="938"/>
      <c r="BM214" s="938"/>
      <c r="BN214" s="938"/>
      <c r="BO214" s="938"/>
      <c r="BP214" s="938"/>
      <c r="BQ214" s="938"/>
      <c r="BR214" s="938"/>
      <c r="BS214" s="938"/>
      <c r="BT214" s="938"/>
    </row>
    <row r="215" spans="1:72" x14ac:dyDescent="0.25">
      <c r="A215" s="938" t="s">
        <v>652</v>
      </c>
      <c r="B215" s="938"/>
      <c r="C215" s="938"/>
      <c r="D215" s="938"/>
      <c r="E215" s="938"/>
      <c r="F215" s="938"/>
      <c r="G215" s="938"/>
      <c r="H215" s="938"/>
      <c r="I215" s="938"/>
      <c r="J215" s="938"/>
      <c r="K215" s="938"/>
      <c r="L215" s="938"/>
      <c r="M215" s="938"/>
      <c r="N215" s="938"/>
      <c r="O215" s="938"/>
      <c r="P215" s="938"/>
      <c r="Q215" s="938"/>
      <c r="R215" s="938"/>
      <c r="S215" s="938"/>
      <c r="T215" s="938"/>
      <c r="U215" s="938"/>
      <c r="V215" s="938"/>
      <c r="W215" s="938"/>
      <c r="X215" s="938"/>
      <c r="Y215" s="938"/>
      <c r="Z215" s="938"/>
      <c r="AA215" s="938"/>
      <c r="AB215" s="938"/>
      <c r="AC215" s="938"/>
      <c r="AD215" s="938"/>
      <c r="AE215" s="938"/>
      <c r="AF215" s="938"/>
      <c r="AG215" s="938"/>
      <c r="AH215" s="938"/>
      <c r="AI215" s="938"/>
      <c r="AJ215" s="938"/>
      <c r="AK215" s="938"/>
      <c r="AL215" s="938"/>
      <c r="AM215" s="938"/>
      <c r="AN215" s="938"/>
      <c r="AO215" s="938"/>
      <c r="AP215" s="938"/>
      <c r="AQ215" s="938"/>
      <c r="AR215" s="938"/>
      <c r="AS215" s="938"/>
      <c r="AT215" s="938"/>
      <c r="AU215" s="938"/>
      <c r="AV215" s="938"/>
      <c r="AW215" s="938"/>
      <c r="AX215" s="938"/>
      <c r="AY215" s="938"/>
      <c r="AZ215" s="938"/>
      <c r="BA215" s="938"/>
      <c r="BB215" s="938"/>
      <c r="BC215" s="938"/>
      <c r="BD215" s="938"/>
      <c r="BE215" s="938"/>
      <c r="BF215" s="938"/>
      <c r="BG215" s="938"/>
      <c r="BH215" s="938"/>
      <c r="BI215" s="938"/>
      <c r="BJ215" s="938"/>
      <c r="BK215" s="938"/>
      <c r="BL215" s="938"/>
      <c r="BM215" s="938"/>
      <c r="BN215" s="938"/>
      <c r="BO215" s="938"/>
      <c r="BP215" s="938"/>
      <c r="BQ215" s="938"/>
      <c r="BR215" s="938"/>
      <c r="BS215" s="938"/>
      <c r="BT215" s="938"/>
    </row>
    <row r="216" spans="1:72" x14ac:dyDescent="0.25">
      <c r="A216" s="938" t="s">
        <v>653</v>
      </c>
      <c r="B216" s="938"/>
      <c r="C216" s="938"/>
      <c r="D216" s="938"/>
      <c r="E216" s="938"/>
      <c r="F216" s="938"/>
      <c r="G216" s="938"/>
      <c r="H216" s="938"/>
      <c r="I216" s="938"/>
      <c r="J216" s="938"/>
      <c r="K216" s="938"/>
      <c r="L216" s="938"/>
      <c r="M216" s="938"/>
      <c r="N216" s="938"/>
      <c r="O216" s="938"/>
      <c r="P216" s="938"/>
      <c r="Q216" s="938"/>
      <c r="R216" s="938"/>
      <c r="S216" s="938"/>
      <c r="T216" s="938"/>
      <c r="U216" s="938"/>
      <c r="V216" s="938"/>
      <c r="W216" s="938"/>
      <c r="X216" s="938"/>
      <c r="Y216" s="938"/>
      <c r="Z216" s="938"/>
      <c r="AA216" s="938"/>
      <c r="AB216" s="938"/>
      <c r="AC216" s="938"/>
      <c r="AD216" s="938"/>
      <c r="AE216" s="938"/>
      <c r="AF216" s="938"/>
      <c r="AG216" s="938"/>
      <c r="AH216" s="938"/>
      <c r="AI216" s="938"/>
      <c r="AJ216" s="938"/>
      <c r="AK216" s="938"/>
      <c r="AL216" s="938"/>
      <c r="AM216" s="938"/>
      <c r="AN216" s="938"/>
      <c r="AO216" s="938"/>
      <c r="AP216" s="938"/>
      <c r="AQ216" s="938"/>
      <c r="AR216" s="938"/>
      <c r="AS216" s="938"/>
      <c r="AT216" s="938"/>
      <c r="AU216" s="938"/>
      <c r="AV216" s="938"/>
      <c r="AW216" s="938"/>
      <c r="AX216" s="938"/>
      <c r="AY216" s="938"/>
      <c r="AZ216" s="938"/>
      <c r="BA216" s="938"/>
      <c r="BB216" s="938"/>
      <c r="BC216" s="938"/>
      <c r="BD216" s="938"/>
      <c r="BE216" s="938"/>
      <c r="BF216" s="938"/>
      <c r="BG216" s="938"/>
      <c r="BH216" s="938"/>
      <c r="BI216" s="938"/>
      <c r="BJ216" s="938"/>
      <c r="BK216" s="938"/>
      <c r="BL216" s="938"/>
      <c r="BM216" s="938"/>
      <c r="BN216" s="938"/>
      <c r="BO216" s="938"/>
      <c r="BP216" s="938"/>
      <c r="BQ216" s="938"/>
      <c r="BR216" s="938"/>
      <c r="BS216" s="938"/>
      <c r="BT216" s="938"/>
    </row>
    <row r="217" spans="1:72" x14ac:dyDescent="0.25">
      <c r="A217" s="938" t="s">
        <v>654</v>
      </c>
      <c r="B217" s="938"/>
      <c r="C217" s="938"/>
      <c r="D217" s="938"/>
      <c r="E217" s="938"/>
      <c r="F217" s="938"/>
      <c r="G217" s="938"/>
      <c r="H217" s="938"/>
      <c r="I217" s="938"/>
      <c r="J217" s="938"/>
      <c r="K217" s="938"/>
      <c r="L217" s="938"/>
      <c r="M217" s="938"/>
      <c r="N217" s="938"/>
      <c r="O217" s="938"/>
      <c r="P217" s="938"/>
      <c r="Q217" s="938"/>
      <c r="R217" s="938"/>
      <c r="S217" s="938"/>
      <c r="T217" s="938"/>
      <c r="U217" s="938"/>
      <c r="V217" s="938"/>
      <c r="W217" s="938"/>
      <c r="X217" s="938"/>
      <c r="Y217" s="938"/>
      <c r="Z217" s="938"/>
      <c r="AA217" s="938"/>
      <c r="AB217" s="938"/>
      <c r="AC217" s="938"/>
      <c r="AD217" s="938"/>
      <c r="AE217" s="938"/>
      <c r="AF217" s="938"/>
      <c r="AG217" s="938"/>
      <c r="AH217" s="938"/>
      <c r="AI217" s="938"/>
      <c r="AJ217" s="938"/>
      <c r="AK217" s="938"/>
      <c r="AL217" s="938"/>
      <c r="AM217" s="938"/>
      <c r="AN217" s="938"/>
      <c r="AO217" s="938"/>
      <c r="AP217" s="938"/>
      <c r="AQ217" s="938"/>
      <c r="AR217" s="938"/>
      <c r="AS217" s="938"/>
      <c r="AT217" s="938"/>
      <c r="AU217" s="938"/>
      <c r="AV217" s="938"/>
      <c r="AW217" s="938"/>
      <c r="AX217" s="938"/>
      <c r="AY217" s="938"/>
      <c r="AZ217" s="938"/>
      <c r="BA217" s="938"/>
      <c r="BB217" s="938"/>
      <c r="BC217" s="938"/>
      <c r="BD217" s="938"/>
      <c r="BE217" s="938"/>
      <c r="BF217" s="938"/>
      <c r="BG217" s="938"/>
      <c r="BH217" s="938"/>
      <c r="BI217" s="938"/>
      <c r="BJ217" s="938"/>
      <c r="BK217" s="938"/>
      <c r="BL217" s="938"/>
      <c r="BM217" s="938"/>
      <c r="BN217" s="938"/>
      <c r="BO217" s="938"/>
      <c r="BP217" s="938"/>
      <c r="BQ217" s="938"/>
      <c r="BR217" s="938"/>
      <c r="BS217" s="938"/>
      <c r="BT217" s="938"/>
    </row>
    <row r="218" spans="1:72" x14ac:dyDescent="0.25">
      <c r="A218" s="938" t="s">
        <v>545</v>
      </c>
      <c r="B218" s="938"/>
      <c r="C218" s="938"/>
      <c r="D218" s="938"/>
      <c r="E218" s="938"/>
      <c r="F218" s="938"/>
      <c r="G218" s="938"/>
      <c r="H218" s="938"/>
      <c r="I218" s="938"/>
      <c r="J218" s="938"/>
      <c r="K218" s="938"/>
      <c r="L218" s="938"/>
      <c r="M218" s="938"/>
      <c r="N218" s="938"/>
      <c r="O218" s="938"/>
      <c r="P218" s="938"/>
      <c r="Q218" s="938"/>
      <c r="R218" s="938"/>
      <c r="S218" s="938"/>
      <c r="T218" s="938"/>
      <c r="U218" s="938"/>
      <c r="V218" s="938"/>
      <c r="W218" s="938"/>
      <c r="X218" s="938"/>
      <c r="Y218" s="938"/>
      <c r="Z218" s="938"/>
      <c r="AA218" s="938"/>
      <c r="AB218" s="938"/>
      <c r="AC218" s="938"/>
      <c r="AD218" s="938"/>
      <c r="AE218" s="938"/>
      <c r="AF218" s="938"/>
      <c r="AG218" s="938"/>
      <c r="AH218" s="938"/>
      <c r="AI218" s="938"/>
      <c r="AJ218" s="938"/>
      <c r="AK218" s="938"/>
      <c r="AL218" s="938"/>
      <c r="AM218" s="938"/>
      <c r="AN218" s="938"/>
      <c r="AO218" s="938"/>
      <c r="AP218" s="938"/>
      <c r="AQ218" s="938"/>
      <c r="AR218" s="938"/>
      <c r="AS218" s="938"/>
      <c r="AT218" s="938"/>
      <c r="AU218" s="938"/>
      <c r="AV218" s="938"/>
      <c r="AW218" s="938"/>
      <c r="AX218" s="938"/>
      <c r="AY218" s="938"/>
      <c r="AZ218" s="938"/>
      <c r="BA218" s="938"/>
      <c r="BB218" s="938"/>
      <c r="BC218" s="938"/>
      <c r="BD218" s="938"/>
      <c r="BE218" s="938"/>
      <c r="BF218" s="938"/>
      <c r="BG218" s="938"/>
      <c r="BH218" s="938"/>
      <c r="BI218" s="938"/>
      <c r="BJ218" s="938"/>
      <c r="BK218" s="938"/>
      <c r="BL218" s="938"/>
      <c r="BM218" s="938"/>
      <c r="BN218" s="938"/>
      <c r="BO218" s="938"/>
      <c r="BP218" s="938"/>
      <c r="BQ218" s="938"/>
      <c r="BR218" s="938"/>
      <c r="BS218" s="938"/>
      <c r="BT218" s="938"/>
    </row>
    <row r="219" spans="1:72" x14ac:dyDescent="0.25">
      <c r="A219" s="938" t="s">
        <v>730</v>
      </c>
      <c r="B219" s="938"/>
      <c r="C219" s="938"/>
      <c r="D219" s="938"/>
      <c r="E219" s="938"/>
      <c r="F219" s="938"/>
      <c r="G219" s="938"/>
      <c r="H219" s="938"/>
      <c r="I219" s="938"/>
      <c r="J219" s="938"/>
      <c r="K219" s="938"/>
      <c r="L219" s="938"/>
      <c r="M219" s="938"/>
      <c r="N219" s="938"/>
      <c r="O219" s="938"/>
      <c r="P219" s="938"/>
      <c r="Q219" s="938"/>
      <c r="R219" s="938"/>
      <c r="S219" s="938"/>
      <c r="T219" s="938"/>
      <c r="U219" s="938"/>
      <c r="V219" s="938"/>
      <c r="W219" s="938"/>
      <c r="X219" s="938"/>
      <c r="Y219" s="938"/>
      <c r="Z219" s="938"/>
      <c r="AA219" s="938"/>
      <c r="AB219" s="938"/>
      <c r="AC219" s="938"/>
      <c r="AD219" s="938"/>
      <c r="AE219" s="938"/>
      <c r="AF219" s="938"/>
      <c r="AG219" s="938"/>
      <c r="AH219" s="938"/>
      <c r="AI219" s="938"/>
      <c r="AJ219" s="938"/>
      <c r="AK219" s="938"/>
      <c r="AL219" s="938"/>
      <c r="AM219" s="938"/>
      <c r="AN219" s="938"/>
      <c r="AO219" s="938"/>
      <c r="AP219" s="938"/>
      <c r="AQ219" s="938"/>
      <c r="AR219" s="938"/>
      <c r="AS219" s="938"/>
      <c r="AT219" s="938"/>
      <c r="AU219" s="938"/>
      <c r="AV219" s="938"/>
      <c r="AW219" s="938"/>
      <c r="AX219" s="938"/>
      <c r="AY219" s="938"/>
      <c r="AZ219" s="938"/>
      <c r="BA219" s="938"/>
      <c r="BB219" s="938"/>
      <c r="BC219" s="938"/>
      <c r="BD219" s="938"/>
      <c r="BE219" s="938"/>
      <c r="BF219" s="938"/>
      <c r="BG219" s="938"/>
      <c r="BH219" s="938"/>
      <c r="BI219" s="938"/>
      <c r="BJ219" s="938"/>
      <c r="BK219" s="938"/>
      <c r="BL219" s="938"/>
      <c r="BM219" s="938"/>
      <c r="BN219" s="938"/>
      <c r="BO219" s="938"/>
      <c r="BP219" s="938"/>
      <c r="BQ219" s="938"/>
      <c r="BR219" s="938"/>
      <c r="BS219" s="938"/>
      <c r="BT219" s="938"/>
    </row>
    <row r="220" spans="1:72" x14ac:dyDescent="0.25">
      <c r="A220" s="938" t="s">
        <v>792</v>
      </c>
      <c r="B220" s="938"/>
      <c r="C220" s="938"/>
      <c r="D220" s="938"/>
      <c r="E220" s="938"/>
      <c r="F220" s="938"/>
      <c r="G220" s="938"/>
      <c r="H220" s="938"/>
      <c r="I220" s="938"/>
      <c r="J220" s="938"/>
      <c r="K220" s="938"/>
      <c r="L220" s="938"/>
      <c r="M220" s="938"/>
      <c r="N220" s="938"/>
      <c r="O220" s="938"/>
      <c r="P220" s="938"/>
      <c r="Q220" s="938"/>
      <c r="R220" s="938"/>
      <c r="S220" s="938"/>
      <c r="T220" s="938"/>
      <c r="U220" s="938"/>
      <c r="V220" s="938"/>
      <c r="W220" s="938"/>
      <c r="X220" s="938"/>
      <c r="Y220" s="938"/>
      <c r="Z220" s="938"/>
      <c r="AA220" s="938"/>
      <c r="AB220" s="938"/>
      <c r="AC220" s="938"/>
      <c r="AD220" s="938"/>
      <c r="AE220" s="938"/>
      <c r="AF220" s="938"/>
      <c r="AG220" s="938"/>
      <c r="AH220" s="938"/>
      <c r="AI220" s="938"/>
      <c r="AJ220" s="938"/>
      <c r="AK220" s="938"/>
      <c r="AL220" s="938"/>
      <c r="AM220" s="938"/>
      <c r="AN220" s="938"/>
      <c r="AO220" s="938"/>
      <c r="AP220" s="938"/>
      <c r="AQ220" s="938"/>
      <c r="AR220" s="938"/>
      <c r="AS220" s="938"/>
      <c r="AT220" s="938"/>
      <c r="AU220" s="938"/>
      <c r="AV220" s="938"/>
      <c r="AW220" s="938"/>
      <c r="AX220" s="938"/>
      <c r="AY220" s="938"/>
      <c r="AZ220" s="938"/>
      <c r="BA220" s="938"/>
      <c r="BB220" s="938"/>
      <c r="BC220" s="938"/>
      <c r="BD220" s="938"/>
      <c r="BE220" s="938"/>
      <c r="BF220" s="938"/>
      <c r="BG220" s="938"/>
      <c r="BH220" s="938"/>
      <c r="BI220" s="938"/>
      <c r="BJ220" s="938"/>
      <c r="BK220" s="938"/>
      <c r="BL220" s="938"/>
      <c r="BM220" s="938"/>
      <c r="BN220" s="938"/>
      <c r="BO220" s="938"/>
      <c r="BP220" s="938"/>
      <c r="BQ220" s="938"/>
      <c r="BR220" s="938"/>
      <c r="BS220" s="938"/>
      <c r="BT220" s="938"/>
    </row>
    <row r="221" spans="1:72" x14ac:dyDescent="0.25">
      <c r="A221" s="938" t="s">
        <v>793</v>
      </c>
      <c r="B221" s="938"/>
      <c r="C221" s="938"/>
      <c r="D221" s="938"/>
      <c r="E221" s="938"/>
      <c r="F221" s="938"/>
      <c r="G221" s="938"/>
      <c r="H221" s="938"/>
      <c r="I221" s="938"/>
      <c r="J221" s="938"/>
      <c r="K221" s="938"/>
      <c r="L221" s="938"/>
      <c r="M221" s="938"/>
      <c r="N221" s="938"/>
      <c r="O221" s="938"/>
      <c r="P221" s="938"/>
      <c r="Q221" s="938"/>
      <c r="R221" s="938"/>
      <c r="S221" s="938"/>
      <c r="T221" s="938"/>
      <c r="U221" s="938"/>
      <c r="V221" s="938"/>
      <c r="W221" s="938"/>
      <c r="X221" s="938"/>
      <c r="Y221" s="938"/>
      <c r="Z221" s="938"/>
      <c r="AA221" s="938"/>
      <c r="AB221" s="938"/>
      <c r="AC221" s="938"/>
      <c r="AD221" s="938"/>
      <c r="AE221" s="938"/>
      <c r="AF221" s="938"/>
      <c r="AG221" s="938"/>
      <c r="AH221" s="938"/>
      <c r="AI221" s="938"/>
      <c r="AJ221" s="938"/>
      <c r="AK221" s="938"/>
      <c r="AL221" s="938"/>
      <c r="AM221" s="938"/>
      <c r="AN221" s="938"/>
      <c r="AO221" s="938"/>
      <c r="AP221" s="938"/>
      <c r="AQ221" s="938"/>
      <c r="AR221" s="938"/>
      <c r="AS221" s="938"/>
      <c r="AT221" s="938"/>
      <c r="AU221" s="938"/>
      <c r="AV221" s="938"/>
      <c r="AW221" s="938"/>
      <c r="AX221" s="938"/>
      <c r="AY221" s="938"/>
      <c r="AZ221" s="938"/>
      <c r="BA221" s="938"/>
      <c r="BB221" s="938"/>
      <c r="BC221" s="938"/>
      <c r="BD221" s="938"/>
      <c r="BE221" s="938"/>
      <c r="BF221" s="938"/>
      <c r="BG221" s="938"/>
      <c r="BH221" s="938"/>
      <c r="BI221" s="938"/>
      <c r="BJ221" s="938"/>
      <c r="BK221" s="938"/>
      <c r="BL221" s="938"/>
      <c r="BM221" s="938"/>
      <c r="BN221" s="938"/>
      <c r="BO221" s="938"/>
      <c r="BP221" s="938"/>
      <c r="BQ221" s="938"/>
      <c r="BR221" s="938"/>
      <c r="BS221" s="938"/>
      <c r="BT221" s="938"/>
    </row>
    <row r="222" spans="1:72" x14ac:dyDescent="0.25">
      <c r="A222" s="938" t="s">
        <v>794</v>
      </c>
      <c r="B222" s="938"/>
      <c r="C222" s="938"/>
      <c r="D222" s="938"/>
      <c r="E222" s="938"/>
      <c r="F222" s="938"/>
      <c r="G222" s="938"/>
      <c r="H222" s="938"/>
      <c r="I222" s="938"/>
      <c r="J222" s="938"/>
      <c r="K222" s="938"/>
      <c r="L222" s="938"/>
      <c r="M222" s="938"/>
      <c r="N222" s="938"/>
      <c r="O222" s="938"/>
      <c r="P222" s="938"/>
      <c r="Q222" s="938"/>
      <c r="R222" s="938"/>
      <c r="S222" s="938"/>
      <c r="T222" s="938"/>
      <c r="U222" s="938"/>
      <c r="V222" s="938"/>
      <c r="W222" s="938"/>
      <c r="X222" s="938"/>
      <c r="Y222" s="938"/>
      <c r="Z222" s="938"/>
      <c r="AA222" s="938"/>
      <c r="AB222" s="938"/>
      <c r="AC222" s="938"/>
      <c r="AD222" s="938"/>
      <c r="AE222" s="938"/>
      <c r="AF222" s="938"/>
      <c r="AG222" s="938"/>
      <c r="AH222" s="938"/>
      <c r="AI222" s="938"/>
      <c r="AJ222" s="938"/>
      <c r="AK222" s="938"/>
      <c r="AL222" s="938"/>
      <c r="AM222" s="938"/>
      <c r="AN222" s="938"/>
      <c r="AO222" s="938"/>
      <c r="AP222" s="938"/>
      <c r="AQ222" s="938"/>
      <c r="AR222" s="938"/>
      <c r="AS222" s="938"/>
      <c r="AT222" s="938"/>
      <c r="AU222" s="938"/>
      <c r="AV222" s="938"/>
      <c r="AW222" s="938"/>
      <c r="AX222" s="938"/>
      <c r="AY222" s="938"/>
      <c r="AZ222" s="938"/>
      <c r="BA222" s="938"/>
      <c r="BB222" s="938"/>
      <c r="BC222" s="938"/>
      <c r="BD222" s="938"/>
      <c r="BE222" s="938"/>
      <c r="BF222" s="938"/>
      <c r="BG222" s="938"/>
      <c r="BH222" s="938"/>
      <c r="BI222" s="938"/>
      <c r="BJ222" s="938"/>
      <c r="BK222" s="938"/>
      <c r="BL222" s="938"/>
      <c r="BM222" s="938"/>
      <c r="BN222" s="938"/>
      <c r="BO222" s="938"/>
      <c r="BP222" s="938"/>
      <c r="BQ222" s="938"/>
      <c r="BR222" s="938"/>
      <c r="BS222" s="938"/>
      <c r="BT222" s="938"/>
    </row>
    <row r="223" spans="1:72" x14ac:dyDescent="0.25">
      <c r="A223" s="938" t="s">
        <v>795</v>
      </c>
      <c r="B223" s="938"/>
      <c r="C223" s="938"/>
      <c r="D223" s="938"/>
      <c r="E223" s="938"/>
      <c r="F223" s="938"/>
      <c r="G223" s="938"/>
      <c r="H223" s="938"/>
      <c r="I223" s="938"/>
      <c r="J223" s="938"/>
      <c r="K223" s="938"/>
      <c r="L223" s="938"/>
      <c r="M223" s="938"/>
      <c r="N223" s="938"/>
      <c r="O223" s="938"/>
      <c r="P223" s="938"/>
      <c r="Q223" s="938"/>
      <c r="R223" s="938"/>
      <c r="S223" s="938"/>
      <c r="T223" s="938"/>
      <c r="U223" s="938"/>
      <c r="V223" s="938"/>
      <c r="W223" s="938"/>
      <c r="X223" s="938"/>
      <c r="Y223" s="938"/>
      <c r="Z223" s="938"/>
      <c r="AA223" s="938"/>
      <c r="AB223" s="938"/>
      <c r="AC223" s="938"/>
      <c r="AD223" s="938"/>
      <c r="AE223" s="938"/>
      <c r="AF223" s="938"/>
      <c r="AG223" s="938"/>
      <c r="AH223" s="938"/>
      <c r="AI223" s="938"/>
      <c r="AJ223" s="938"/>
      <c r="AK223" s="938"/>
      <c r="AL223" s="938"/>
      <c r="AM223" s="938"/>
      <c r="AN223" s="938"/>
      <c r="AO223" s="938"/>
      <c r="AP223" s="938"/>
      <c r="AQ223" s="938"/>
      <c r="AR223" s="938"/>
      <c r="AS223" s="938"/>
      <c r="AT223" s="938"/>
      <c r="AU223" s="938"/>
      <c r="AV223" s="938"/>
      <c r="AW223" s="938"/>
      <c r="AX223" s="938"/>
      <c r="AY223" s="938"/>
      <c r="AZ223" s="938"/>
      <c r="BA223" s="938"/>
      <c r="BB223" s="938"/>
      <c r="BC223" s="938"/>
      <c r="BD223" s="938"/>
      <c r="BE223" s="938"/>
      <c r="BF223" s="938"/>
      <c r="BG223" s="938"/>
      <c r="BH223" s="938"/>
      <c r="BI223" s="938"/>
      <c r="BJ223" s="938"/>
      <c r="BK223" s="938"/>
      <c r="BL223" s="938"/>
      <c r="BM223" s="938"/>
      <c r="BN223" s="938"/>
      <c r="BO223" s="938"/>
      <c r="BP223" s="938"/>
      <c r="BQ223" s="938"/>
      <c r="BR223" s="938"/>
      <c r="BS223" s="938"/>
      <c r="BT223" s="938"/>
    </row>
    <row r="224" spans="1:72" x14ac:dyDescent="0.25">
      <c r="A224" s="938" t="s">
        <v>796</v>
      </c>
      <c r="B224" s="938"/>
      <c r="C224" s="938"/>
      <c r="D224" s="938"/>
      <c r="E224" s="938"/>
      <c r="F224" s="938"/>
      <c r="G224" s="938"/>
      <c r="H224" s="938"/>
      <c r="I224" s="938"/>
      <c r="J224" s="938"/>
      <c r="K224" s="938"/>
      <c r="L224" s="938"/>
      <c r="M224" s="938"/>
      <c r="N224" s="938"/>
      <c r="O224" s="938"/>
      <c r="P224" s="938"/>
      <c r="Q224" s="938"/>
      <c r="R224" s="938"/>
      <c r="S224" s="938"/>
      <c r="T224" s="938"/>
      <c r="U224" s="938"/>
      <c r="V224" s="938"/>
      <c r="W224" s="938"/>
      <c r="X224" s="938"/>
      <c r="Y224" s="938"/>
      <c r="Z224" s="938"/>
      <c r="AA224" s="938"/>
      <c r="AB224" s="938"/>
      <c r="AC224" s="938"/>
      <c r="AD224" s="938"/>
      <c r="AE224" s="938"/>
      <c r="AF224" s="938"/>
      <c r="AG224" s="938"/>
      <c r="AH224" s="938"/>
      <c r="AI224" s="938"/>
      <c r="AJ224" s="938"/>
      <c r="AK224" s="938"/>
      <c r="AL224" s="938"/>
      <c r="AM224" s="938"/>
      <c r="AN224" s="938"/>
      <c r="AO224" s="938"/>
      <c r="AP224" s="938"/>
      <c r="AQ224" s="938"/>
      <c r="AR224" s="938"/>
      <c r="AS224" s="938"/>
      <c r="AT224" s="938"/>
      <c r="AU224" s="938"/>
      <c r="AV224" s="938"/>
      <c r="AW224" s="938"/>
      <c r="AX224" s="938"/>
      <c r="AY224" s="938"/>
      <c r="AZ224" s="938"/>
      <c r="BA224" s="938"/>
      <c r="BB224" s="938"/>
      <c r="BC224" s="938"/>
      <c r="BD224" s="938"/>
      <c r="BE224" s="938"/>
      <c r="BF224" s="938"/>
      <c r="BG224" s="938"/>
      <c r="BH224" s="938"/>
      <c r="BI224" s="938"/>
      <c r="BJ224" s="938"/>
      <c r="BK224" s="938"/>
      <c r="BL224" s="938"/>
      <c r="BM224" s="938"/>
      <c r="BN224" s="938"/>
      <c r="BO224" s="938"/>
      <c r="BP224" s="938"/>
      <c r="BQ224" s="938"/>
      <c r="BR224" s="938"/>
      <c r="BS224" s="938"/>
      <c r="BT224" s="938"/>
    </row>
    <row r="225" spans="1:72" x14ac:dyDescent="0.25">
      <c r="A225" s="938" t="s">
        <v>797</v>
      </c>
      <c r="B225" s="938"/>
      <c r="C225" s="938"/>
      <c r="D225" s="938"/>
      <c r="E225" s="938"/>
      <c r="F225" s="938"/>
      <c r="G225" s="938"/>
      <c r="H225" s="938"/>
      <c r="I225" s="938"/>
      <c r="J225" s="938"/>
      <c r="K225" s="938"/>
      <c r="L225" s="938"/>
      <c r="M225" s="938"/>
      <c r="N225" s="938"/>
      <c r="O225" s="938"/>
      <c r="P225" s="938"/>
      <c r="Q225" s="938"/>
      <c r="R225" s="938"/>
      <c r="S225" s="938"/>
      <c r="T225" s="938"/>
      <c r="U225" s="938"/>
      <c r="V225" s="938"/>
      <c r="W225" s="938"/>
      <c r="X225" s="938"/>
      <c r="Y225" s="938"/>
      <c r="Z225" s="938"/>
      <c r="AA225" s="938"/>
      <c r="AB225" s="938"/>
      <c r="AC225" s="938"/>
      <c r="AD225" s="938"/>
      <c r="AE225" s="938"/>
      <c r="AF225" s="938"/>
      <c r="AG225" s="938"/>
      <c r="AH225" s="938"/>
      <c r="AI225" s="938"/>
      <c r="AJ225" s="938"/>
      <c r="AK225" s="938"/>
      <c r="AL225" s="938"/>
      <c r="AM225" s="938"/>
      <c r="AN225" s="938"/>
      <c r="AO225" s="938"/>
      <c r="AP225" s="938"/>
      <c r="AQ225" s="938"/>
      <c r="AR225" s="938"/>
      <c r="AS225" s="938"/>
      <c r="AT225" s="938"/>
      <c r="AU225" s="938"/>
      <c r="AV225" s="938"/>
      <c r="AW225" s="938"/>
      <c r="AX225" s="938"/>
      <c r="AY225" s="938"/>
      <c r="AZ225" s="938"/>
      <c r="BA225" s="938"/>
      <c r="BB225" s="938"/>
      <c r="BC225" s="938"/>
      <c r="BD225" s="938"/>
      <c r="BE225" s="938"/>
      <c r="BF225" s="938"/>
      <c r="BG225" s="938"/>
      <c r="BH225" s="938"/>
      <c r="BI225" s="938"/>
      <c r="BJ225" s="938"/>
      <c r="BK225" s="938"/>
      <c r="BL225" s="938"/>
      <c r="BM225" s="938"/>
      <c r="BN225" s="938"/>
      <c r="BO225" s="938"/>
      <c r="BP225" s="938"/>
      <c r="BQ225" s="938"/>
      <c r="BR225" s="938"/>
      <c r="BS225" s="938"/>
      <c r="BT225" s="938"/>
    </row>
    <row r="226" spans="1:72" x14ac:dyDescent="0.25">
      <c r="A226" s="938" t="s">
        <v>798</v>
      </c>
      <c r="B226" s="938"/>
      <c r="C226" s="938"/>
      <c r="D226" s="938"/>
      <c r="E226" s="938"/>
      <c r="F226" s="938"/>
      <c r="G226" s="938"/>
      <c r="H226" s="938"/>
      <c r="I226" s="938"/>
      <c r="J226" s="938"/>
      <c r="K226" s="938"/>
      <c r="L226" s="938"/>
      <c r="M226" s="938"/>
      <c r="N226" s="938"/>
      <c r="O226" s="938"/>
      <c r="P226" s="938"/>
      <c r="Q226" s="938"/>
      <c r="R226" s="938"/>
      <c r="S226" s="938"/>
      <c r="T226" s="938"/>
      <c r="U226" s="938"/>
      <c r="V226" s="938"/>
      <c r="W226" s="938"/>
      <c r="X226" s="938"/>
      <c r="Y226" s="938"/>
      <c r="Z226" s="938"/>
      <c r="AA226" s="938"/>
      <c r="AB226" s="938"/>
      <c r="AC226" s="938"/>
      <c r="AD226" s="938"/>
      <c r="AE226" s="938"/>
      <c r="AF226" s="938"/>
      <c r="AG226" s="938"/>
      <c r="AH226" s="938"/>
      <c r="AI226" s="938"/>
      <c r="AJ226" s="938"/>
      <c r="AK226" s="938"/>
      <c r="AL226" s="938"/>
      <c r="AM226" s="938"/>
      <c r="AN226" s="938"/>
      <c r="AO226" s="938"/>
      <c r="AP226" s="938"/>
      <c r="AQ226" s="938"/>
      <c r="AR226" s="938"/>
      <c r="AS226" s="938"/>
      <c r="AT226" s="938"/>
      <c r="AU226" s="938"/>
      <c r="AV226" s="938"/>
      <c r="AW226" s="938"/>
      <c r="AX226" s="938"/>
      <c r="AY226" s="938"/>
      <c r="AZ226" s="938"/>
      <c r="BA226" s="938"/>
      <c r="BB226" s="938"/>
      <c r="BC226" s="938"/>
      <c r="BD226" s="938"/>
      <c r="BE226" s="938"/>
      <c r="BF226" s="938"/>
      <c r="BG226" s="938"/>
      <c r="BH226" s="938"/>
      <c r="BI226" s="938"/>
      <c r="BJ226" s="938"/>
      <c r="BK226" s="938"/>
      <c r="BL226" s="938"/>
      <c r="BM226" s="938"/>
      <c r="BN226" s="938"/>
      <c r="BO226" s="938"/>
      <c r="BP226" s="938"/>
      <c r="BQ226" s="938"/>
      <c r="BR226" s="938"/>
      <c r="BS226" s="938"/>
      <c r="BT226" s="938"/>
    </row>
    <row r="227" spans="1:72" x14ac:dyDescent="0.25">
      <c r="A227" s="938" t="s">
        <v>799</v>
      </c>
      <c r="B227" s="938"/>
      <c r="C227" s="938"/>
      <c r="D227" s="938"/>
      <c r="E227" s="938"/>
      <c r="F227" s="938"/>
      <c r="G227" s="938"/>
      <c r="H227" s="938"/>
      <c r="I227" s="938"/>
      <c r="J227" s="938"/>
      <c r="K227" s="938"/>
      <c r="L227" s="938"/>
      <c r="M227" s="938"/>
      <c r="N227" s="938"/>
      <c r="O227" s="938"/>
      <c r="P227" s="938"/>
      <c r="Q227" s="938"/>
      <c r="R227" s="938"/>
      <c r="S227" s="938"/>
      <c r="T227" s="938"/>
      <c r="U227" s="938"/>
      <c r="V227" s="938"/>
      <c r="W227" s="938"/>
      <c r="X227" s="938"/>
      <c r="Y227" s="938"/>
      <c r="Z227" s="938"/>
      <c r="AA227" s="938"/>
      <c r="AB227" s="938"/>
      <c r="AC227" s="938"/>
      <c r="AD227" s="938"/>
      <c r="AE227" s="938"/>
      <c r="AF227" s="938"/>
      <c r="AG227" s="938"/>
      <c r="AH227" s="938"/>
      <c r="AI227" s="938"/>
      <c r="AJ227" s="938"/>
      <c r="AK227" s="938"/>
      <c r="AL227" s="938"/>
      <c r="AM227" s="938"/>
      <c r="AN227" s="938"/>
      <c r="AO227" s="938"/>
      <c r="AP227" s="938"/>
      <c r="AQ227" s="938"/>
      <c r="AR227" s="938"/>
      <c r="AS227" s="938"/>
      <c r="AT227" s="938"/>
      <c r="AU227" s="938"/>
      <c r="AV227" s="938"/>
      <c r="AW227" s="938"/>
      <c r="AX227" s="938"/>
      <c r="AY227" s="938"/>
      <c r="AZ227" s="938"/>
      <c r="BA227" s="938"/>
      <c r="BB227" s="938"/>
      <c r="BC227" s="938"/>
      <c r="BD227" s="938"/>
      <c r="BE227" s="938"/>
      <c r="BF227" s="938"/>
      <c r="BG227" s="938"/>
      <c r="BH227" s="938"/>
      <c r="BI227" s="938"/>
      <c r="BJ227" s="938"/>
      <c r="BK227" s="938"/>
      <c r="BL227" s="938"/>
      <c r="BM227" s="938"/>
      <c r="BN227" s="938"/>
      <c r="BO227" s="938"/>
      <c r="BP227" s="938"/>
      <c r="BQ227" s="938"/>
      <c r="BR227" s="938"/>
      <c r="BS227" s="938"/>
      <c r="BT227" s="938"/>
    </row>
    <row r="228" spans="1:72" x14ac:dyDescent="0.25">
      <c r="A228" s="938" t="s">
        <v>800</v>
      </c>
      <c r="B228" s="938"/>
      <c r="C228" s="938"/>
      <c r="D228" s="938"/>
      <c r="E228" s="938"/>
      <c r="F228" s="938"/>
      <c r="G228" s="938"/>
      <c r="H228" s="938"/>
      <c r="I228" s="938"/>
      <c r="J228" s="938"/>
      <c r="K228" s="938"/>
      <c r="L228" s="938"/>
      <c r="M228" s="938"/>
      <c r="N228" s="938"/>
      <c r="O228" s="938"/>
      <c r="P228" s="938"/>
      <c r="Q228" s="938"/>
      <c r="R228" s="938"/>
      <c r="S228" s="938"/>
      <c r="T228" s="938"/>
      <c r="U228" s="938"/>
      <c r="V228" s="938"/>
      <c r="W228" s="938"/>
      <c r="X228" s="938"/>
      <c r="Y228" s="938"/>
      <c r="Z228" s="938"/>
      <c r="AA228" s="938"/>
      <c r="AB228" s="938"/>
      <c r="AC228" s="938"/>
      <c r="AD228" s="938"/>
      <c r="AE228" s="938"/>
      <c r="AF228" s="938"/>
      <c r="AG228" s="938"/>
      <c r="AH228" s="938"/>
      <c r="AI228" s="938"/>
      <c r="AJ228" s="938"/>
      <c r="AK228" s="938"/>
      <c r="AL228" s="938"/>
      <c r="AM228" s="938"/>
      <c r="AN228" s="938"/>
      <c r="AO228" s="938"/>
      <c r="AP228" s="938"/>
      <c r="AQ228" s="938"/>
      <c r="AR228" s="938"/>
      <c r="AS228" s="938"/>
      <c r="AT228" s="938"/>
      <c r="AU228" s="938"/>
      <c r="AV228" s="938"/>
      <c r="AW228" s="938"/>
      <c r="AX228" s="938"/>
      <c r="AY228" s="938"/>
      <c r="AZ228" s="938"/>
      <c r="BA228" s="938"/>
      <c r="BB228" s="938"/>
      <c r="BC228" s="938"/>
      <c r="BD228" s="938"/>
      <c r="BE228" s="938"/>
      <c r="BF228" s="938"/>
      <c r="BG228" s="938"/>
      <c r="BH228" s="938"/>
      <c r="BI228" s="938"/>
      <c r="BJ228" s="938"/>
      <c r="BK228" s="938"/>
      <c r="BL228" s="938"/>
      <c r="BM228" s="938"/>
      <c r="BN228" s="938"/>
      <c r="BO228" s="938"/>
      <c r="BP228" s="938"/>
      <c r="BQ228" s="938"/>
      <c r="BR228" s="938"/>
      <c r="BS228" s="938"/>
      <c r="BT228" s="938"/>
    </row>
    <row r="229" spans="1:72" x14ac:dyDescent="0.25">
      <c r="A229" s="938" t="s">
        <v>801</v>
      </c>
      <c r="B229" s="938"/>
      <c r="C229" s="938"/>
      <c r="D229" s="938"/>
      <c r="E229" s="938"/>
      <c r="F229" s="938"/>
      <c r="G229" s="938"/>
      <c r="H229" s="938"/>
      <c r="I229" s="938"/>
      <c r="J229" s="938"/>
      <c r="K229" s="938"/>
      <c r="L229" s="938"/>
      <c r="M229" s="938"/>
      <c r="N229" s="938"/>
      <c r="O229" s="938"/>
      <c r="P229" s="938"/>
      <c r="Q229" s="938"/>
      <c r="R229" s="938"/>
      <c r="S229" s="938"/>
      <c r="T229" s="938"/>
      <c r="U229" s="938"/>
      <c r="V229" s="938"/>
      <c r="W229" s="938"/>
      <c r="X229" s="938"/>
      <c r="Y229" s="938"/>
      <c r="Z229" s="938"/>
      <c r="AA229" s="938"/>
      <c r="AB229" s="938"/>
      <c r="AC229" s="938"/>
      <c r="AD229" s="938"/>
      <c r="AE229" s="938"/>
      <c r="AF229" s="938"/>
      <c r="AG229" s="938"/>
      <c r="AH229" s="938"/>
      <c r="AI229" s="938"/>
      <c r="AJ229" s="938"/>
      <c r="AK229" s="938"/>
      <c r="AL229" s="938"/>
      <c r="AM229" s="938"/>
      <c r="AN229" s="938"/>
      <c r="AO229" s="938"/>
      <c r="AP229" s="938"/>
      <c r="AQ229" s="938"/>
      <c r="AR229" s="938"/>
      <c r="AS229" s="938"/>
      <c r="AT229" s="938"/>
      <c r="AU229" s="938"/>
      <c r="AV229" s="938"/>
      <c r="AW229" s="938"/>
      <c r="AX229" s="938"/>
      <c r="AY229" s="938"/>
      <c r="AZ229" s="938"/>
      <c r="BA229" s="938"/>
      <c r="BB229" s="938"/>
      <c r="BC229" s="938"/>
      <c r="BD229" s="938"/>
      <c r="BE229" s="938"/>
      <c r="BF229" s="938"/>
      <c r="BG229" s="938"/>
      <c r="BH229" s="938"/>
      <c r="BI229" s="938"/>
      <c r="BJ229" s="938"/>
      <c r="BK229" s="938"/>
      <c r="BL229" s="938"/>
      <c r="BM229" s="938"/>
      <c r="BN229" s="938"/>
      <c r="BO229" s="938"/>
      <c r="BP229" s="938"/>
      <c r="BQ229" s="938"/>
      <c r="BR229" s="938"/>
      <c r="BS229" s="938"/>
      <c r="BT229" s="938"/>
    </row>
    <row r="230" spans="1:72" x14ac:dyDescent="0.25">
      <c r="A230" s="938" t="s">
        <v>802</v>
      </c>
      <c r="B230" s="938"/>
      <c r="C230" s="938"/>
      <c r="D230" s="938"/>
      <c r="E230" s="938"/>
      <c r="F230" s="938"/>
      <c r="G230" s="938"/>
      <c r="H230" s="938"/>
      <c r="I230" s="938"/>
      <c r="J230" s="938"/>
      <c r="K230" s="938"/>
      <c r="L230" s="938"/>
      <c r="M230" s="938"/>
      <c r="N230" s="938"/>
      <c r="O230" s="938"/>
      <c r="P230" s="938"/>
      <c r="Q230" s="938"/>
      <c r="R230" s="938"/>
      <c r="S230" s="938"/>
      <c r="T230" s="938"/>
      <c r="U230" s="938"/>
      <c r="V230" s="938"/>
      <c r="W230" s="938"/>
      <c r="X230" s="938"/>
      <c r="Y230" s="938"/>
      <c r="Z230" s="938"/>
      <c r="AA230" s="938"/>
      <c r="AB230" s="938"/>
      <c r="AC230" s="938"/>
      <c r="AD230" s="938"/>
      <c r="AE230" s="938"/>
      <c r="AF230" s="938"/>
      <c r="AG230" s="938"/>
      <c r="AH230" s="938"/>
      <c r="AI230" s="938"/>
      <c r="AJ230" s="938"/>
      <c r="AK230" s="938"/>
      <c r="AL230" s="938"/>
      <c r="AM230" s="938"/>
      <c r="AN230" s="938"/>
      <c r="AO230" s="938"/>
      <c r="AP230" s="938"/>
      <c r="AQ230" s="938"/>
      <c r="AR230" s="938"/>
      <c r="AS230" s="938"/>
      <c r="AT230" s="938"/>
      <c r="AU230" s="938"/>
      <c r="AV230" s="938"/>
      <c r="AW230" s="938"/>
      <c r="AX230" s="938"/>
      <c r="AY230" s="938"/>
      <c r="AZ230" s="938"/>
      <c r="BA230" s="938"/>
      <c r="BB230" s="938"/>
      <c r="BC230" s="938"/>
      <c r="BD230" s="938"/>
      <c r="BE230" s="938"/>
      <c r="BF230" s="938"/>
      <c r="BG230" s="938"/>
      <c r="BH230" s="938"/>
      <c r="BI230" s="938"/>
      <c r="BJ230" s="938"/>
      <c r="BK230" s="938"/>
      <c r="BL230" s="938"/>
      <c r="BM230" s="938"/>
      <c r="BN230" s="938"/>
      <c r="BO230" s="938"/>
      <c r="BP230" s="938"/>
      <c r="BQ230" s="938"/>
      <c r="BR230" s="938"/>
      <c r="BS230" s="938"/>
      <c r="BT230" s="938"/>
    </row>
    <row r="231" spans="1:72" x14ac:dyDescent="0.25">
      <c r="A231" s="938" t="s">
        <v>803</v>
      </c>
      <c r="B231" s="938"/>
      <c r="C231" s="938"/>
      <c r="D231" s="938"/>
      <c r="E231" s="938"/>
      <c r="F231" s="938"/>
      <c r="G231" s="938"/>
      <c r="H231" s="938"/>
      <c r="I231" s="938"/>
      <c r="J231" s="938"/>
      <c r="K231" s="938"/>
      <c r="L231" s="938"/>
      <c r="M231" s="938"/>
      <c r="N231" s="938"/>
      <c r="O231" s="938"/>
      <c r="P231" s="938"/>
      <c r="Q231" s="938"/>
      <c r="R231" s="938"/>
      <c r="S231" s="938"/>
      <c r="T231" s="938"/>
      <c r="U231" s="938"/>
      <c r="V231" s="938"/>
      <c r="W231" s="938"/>
      <c r="X231" s="938"/>
      <c r="Y231" s="938"/>
      <c r="Z231" s="938"/>
      <c r="AA231" s="938"/>
      <c r="AB231" s="938"/>
      <c r="AC231" s="938"/>
      <c r="AD231" s="938"/>
      <c r="AE231" s="938"/>
      <c r="AF231" s="938"/>
      <c r="AG231" s="938"/>
      <c r="AH231" s="938"/>
      <c r="AI231" s="938"/>
      <c r="AJ231" s="938"/>
      <c r="AK231" s="938"/>
      <c r="AL231" s="938"/>
      <c r="AM231" s="938"/>
      <c r="AN231" s="938"/>
      <c r="AO231" s="938"/>
      <c r="AP231" s="938"/>
      <c r="AQ231" s="938"/>
      <c r="AR231" s="938"/>
      <c r="AS231" s="938"/>
      <c r="AT231" s="938"/>
      <c r="AU231" s="938"/>
      <c r="AV231" s="938"/>
      <c r="AW231" s="938"/>
      <c r="AX231" s="938"/>
      <c r="AY231" s="938"/>
      <c r="AZ231" s="938"/>
      <c r="BA231" s="938"/>
      <c r="BB231" s="938"/>
      <c r="BC231" s="938"/>
      <c r="BD231" s="938"/>
      <c r="BE231" s="938"/>
      <c r="BF231" s="938"/>
      <c r="BG231" s="938"/>
      <c r="BH231" s="938"/>
      <c r="BI231" s="938"/>
      <c r="BJ231" s="938"/>
      <c r="BK231" s="938"/>
      <c r="BL231" s="938"/>
      <c r="BM231" s="938"/>
      <c r="BN231" s="938"/>
      <c r="BO231" s="938"/>
      <c r="BP231" s="938"/>
      <c r="BQ231" s="938"/>
      <c r="BR231" s="938"/>
      <c r="BS231" s="938"/>
      <c r="BT231" s="938"/>
    </row>
    <row r="232" spans="1:72" x14ac:dyDescent="0.25">
      <c r="A232" s="938" t="s">
        <v>804</v>
      </c>
      <c r="B232" s="938"/>
      <c r="C232" s="938"/>
      <c r="D232" s="938"/>
      <c r="E232" s="938"/>
      <c r="F232" s="938"/>
      <c r="G232" s="938"/>
      <c r="H232" s="938"/>
      <c r="I232" s="938"/>
      <c r="J232" s="938"/>
      <c r="K232" s="938"/>
      <c r="L232" s="938"/>
      <c r="M232" s="938"/>
      <c r="N232" s="938"/>
      <c r="O232" s="938"/>
      <c r="P232" s="938"/>
      <c r="Q232" s="938"/>
      <c r="R232" s="938"/>
      <c r="S232" s="938"/>
      <c r="T232" s="938"/>
      <c r="U232" s="938"/>
      <c r="V232" s="938"/>
      <c r="W232" s="938"/>
      <c r="X232" s="938"/>
      <c r="Y232" s="938"/>
      <c r="Z232" s="938"/>
      <c r="AA232" s="938"/>
      <c r="AB232" s="938"/>
      <c r="AC232" s="938"/>
      <c r="AD232" s="938"/>
      <c r="AE232" s="938"/>
      <c r="AF232" s="938"/>
      <c r="AG232" s="938"/>
      <c r="AH232" s="938"/>
      <c r="AI232" s="938"/>
      <c r="AJ232" s="938"/>
      <c r="AK232" s="938"/>
      <c r="AL232" s="938"/>
      <c r="AM232" s="938"/>
      <c r="AN232" s="938"/>
      <c r="AO232" s="938"/>
      <c r="AP232" s="938"/>
      <c r="AQ232" s="938"/>
      <c r="AR232" s="938"/>
      <c r="AS232" s="938"/>
      <c r="AT232" s="938"/>
      <c r="AU232" s="938"/>
      <c r="AV232" s="938"/>
      <c r="AW232" s="938"/>
      <c r="AX232" s="938"/>
      <c r="AY232" s="938"/>
      <c r="AZ232" s="938"/>
      <c r="BA232" s="938"/>
      <c r="BB232" s="938"/>
      <c r="BC232" s="938"/>
      <c r="BD232" s="938"/>
      <c r="BE232" s="938"/>
      <c r="BF232" s="938"/>
      <c r="BG232" s="938"/>
      <c r="BH232" s="938"/>
      <c r="BI232" s="938"/>
      <c r="BJ232" s="938"/>
      <c r="BK232" s="938"/>
      <c r="BL232" s="938"/>
      <c r="BM232" s="938"/>
      <c r="BN232" s="938"/>
      <c r="BO232" s="938"/>
      <c r="BP232" s="938"/>
      <c r="BQ232" s="938"/>
      <c r="BR232" s="938"/>
      <c r="BS232" s="938"/>
      <c r="BT232" s="938"/>
    </row>
    <row r="233" spans="1:72" x14ac:dyDescent="0.25">
      <c r="A233" s="915" t="s">
        <v>805</v>
      </c>
      <c r="AA233" s="310"/>
      <c r="AB233" s="310"/>
      <c r="AC233" s="310"/>
      <c r="AD233" s="310"/>
    </row>
    <row r="234" spans="1:72" x14ac:dyDescent="0.25">
      <c r="A234" s="915" t="s">
        <v>806</v>
      </c>
      <c r="AA234" s="310"/>
      <c r="AB234" s="310"/>
      <c r="AC234" s="310"/>
      <c r="AD234" s="310"/>
    </row>
    <row r="235" spans="1:72" x14ac:dyDescent="0.25">
      <c r="A235" s="915" t="s">
        <v>718</v>
      </c>
      <c r="B235" t="s">
        <v>719</v>
      </c>
      <c r="C235" t="s">
        <v>720</v>
      </c>
      <c r="E235" t="s">
        <v>721</v>
      </c>
      <c r="AA235" s="310"/>
      <c r="AB235" s="310"/>
      <c r="AC235" s="310"/>
      <c r="AD235" s="310"/>
    </row>
    <row r="236" spans="1:72" x14ac:dyDescent="0.25">
      <c r="AA236" s="310"/>
      <c r="AB236" s="310"/>
      <c r="AC236" s="310"/>
      <c r="AD236" s="310"/>
    </row>
    <row r="237" spans="1:72" x14ac:dyDescent="0.25">
      <c r="A237" s="915" t="s">
        <v>447</v>
      </c>
      <c r="AA237" s="310"/>
      <c r="AB237" s="310"/>
      <c r="AC237" s="310"/>
      <c r="AD237" s="310"/>
    </row>
    <row r="238" spans="1:72" x14ac:dyDescent="0.25">
      <c r="A238" s="915" t="s">
        <v>722</v>
      </c>
      <c r="AA238" s="310"/>
      <c r="AB238" s="310"/>
      <c r="AC238" s="310"/>
      <c r="AD238" s="310"/>
    </row>
    <row r="239" spans="1:72" x14ac:dyDescent="0.25">
      <c r="AA239" s="310"/>
      <c r="AB239" s="310"/>
      <c r="AC239" s="310"/>
      <c r="AD239" s="310"/>
    </row>
    <row r="240" spans="1:72" x14ac:dyDescent="0.25">
      <c r="AA240" s="310"/>
      <c r="AB240" s="310"/>
      <c r="AC240" s="310"/>
      <c r="AD240" s="310"/>
    </row>
    <row r="241" spans="1:70" x14ac:dyDescent="0.25">
      <c r="AA241" s="310"/>
      <c r="AB241" s="310"/>
      <c r="AC241" s="310"/>
      <c r="AD241" s="310"/>
    </row>
    <row r="242" spans="1:70" x14ac:dyDescent="0.25">
      <c r="B242" s="916" t="s">
        <v>453</v>
      </c>
      <c r="C242" s="916" t="s">
        <v>454</v>
      </c>
      <c r="D242" s="916" t="s">
        <v>455</v>
      </c>
      <c r="E242" s="916" t="s">
        <v>456</v>
      </c>
      <c r="F242" s="916" t="s">
        <v>457</v>
      </c>
      <c r="G242" s="916" t="s">
        <v>458</v>
      </c>
      <c r="H242" s="916" t="s">
        <v>459</v>
      </c>
      <c r="I242" s="916" t="s">
        <v>460</v>
      </c>
      <c r="J242" s="916" t="s">
        <v>461</v>
      </c>
      <c r="K242" s="916" t="s">
        <v>462</v>
      </c>
      <c r="L242" s="916" t="s">
        <v>463</v>
      </c>
      <c r="M242" s="916" t="s">
        <v>464</v>
      </c>
      <c r="N242" s="916" t="s">
        <v>465</v>
      </c>
      <c r="O242" s="916" t="s">
        <v>466</v>
      </c>
      <c r="P242" s="916" t="s">
        <v>467</v>
      </c>
      <c r="Q242" s="916" t="s">
        <v>468</v>
      </c>
      <c r="R242" s="916" t="s">
        <v>469</v>
      </c>
      <c r="S242" s="916" t="s">
        <v>470</v>
      </c>
      <c r="T242" s="916" t="s">
        <v>471</v>
      </c>
      <c r="U242" s="916" t="s">
        <v>472</v>
      </c>
      <c r="V242" s="916" t="s">
        <v>604</v>
      </c>
      <c r="W242" s="916" t="s">
        <v>605</v>
      </c>
      <c r="X242" s="916" t="s">
        <v>606</v>
      </c>
      <c r="Y242" s="916" t="s">
        <v>607</v>
      </c>
      <c r="Z242" s="916" t="s">
        <v>608</v>
      </c>
      <c r="AA242" s="310" t="s">
        <v>605</v>
      </c>
      <c r="AB242" s="310" t="s">
        <v>606</v>
      </c>
      <c r="AC242" s="310" t="s">
        <v>607</v>
      </c>
      <c r="AD242" s="310" t="s">
        <v>608</v>
      </c>
      <c r="AE242">
        <v>2031</v>
      </c>
      <c r="AF242">
        <v>2032</v>
      </c>
      <c r="AG242">
        <v>2033</v>
      </c>
      <c r="AH242">
        <v>2034</v>
      </c>
      <c r="AI242">
        <v>2035</v>
      </c>
      <c r="AJ242">
        <v>2036</v>
      </c>
      <c r="AK242">
        <v>2037</v>
      </c>
      <c r="AL242">
        <v>2038</v>
      </c>
      <c r="AM242">
        <v>2039</v>
      </c>
      <c r="AN242">
        <v>2040</v>
      </c>
      <c r="AO242">
        <v>2041</v>
      </c>
      <c r="AP242">
        <v>2042</v>
      </c>
      <c r="AQ242">
        <v>2043</v>
      </c>
      <c r="AR242">
        <v>2044</v>
      </c>
      <c r="AS242">
        <v>2045</v>
      </c>
      <c r="AT242">
        <v>2046</v>
      </c>
      <c r="AU242">
        <v>2047</v>
      </c>
      <c r="AV242">
        <v>2048</v>
      </c>
      <c r="AW242">
        <v>2049</v>
      </c>
      <c r="AX242">
        <v>2050</v>
      </c>
      <c r="AY242">
        <v>2051</v>
      </c>
      <c r="AZ242">
        <v>2052</v>
      </c>
      <c r="BA242">
        <v>2053</v>
      </c>
      <c r="BB242">
        <v>2054</v>
      </c>
      <c r="BC242">
        <v>2055</v>
      </c>
      <c r="BD242">
        <v>2056</v>
      </c>
      <c r="BE242">
        <v>2057</v>
      </c>
      <c r="BF242">
        <v>2058</v>
      </c>
      <c r="BG242">
        <v>2059</v>
      </c>
      <c r="BH242">
        <v>2060</v>
      </c>
      <c r="BI242">
        <v>2061</v>
      </c>
      <c r="BJ242">
        <v>2062</v>
      </c>
      <c r="BK242">
        <v>2063</v>
      </c>
      <c r="BL242">
        <v>2064</v>
      </c>
      <c r="BM242">
        <v>2065</v>
      </c>
      <c r="BN242">
        <v>2066</v>
      </c>
      <c r="BO242">
        <v>2067</v>
      </c>
      <c r="BP242">
        <v>2068</v>
      </c>
      <c r="BQ242">
        <v>2069</v>
      </c>
      <c r="BR242">
        <v>2070</v>
      </c>
    </row>
    <row r="243" spans="1:70" x14ac:dyDescent="0.25">
      <c r="AA243" s="310"/>
      <c r="AB243" s="310"/>
      <c r="AC243" s="310"/>
      <c r="AD243" s="310"/>
    </row>
    <row r="244" spans="1:70" x14ac:dyDescent="0.25">
      <c r="AA244" s="310"/>
      <c r="AB244" s="310"/>
      <c r="AC244" s="310"/>
      <c r="AD244" s="310"/>
    </row>
    <row r="245" spans="1:70" x14ac:dyDescent="0.25">
      <c r="A245" s="915" t="s">
        <v>473</v>
      </c>
      <c r="AA245" s="310"/>
      <c r="AB245" s="310"/>
      <c r="AC245" s="310"/>
      <c r="AD245" s="310"/>
    </row>
    <row r="246" spans="1:70" x14ac:dyDescent="0.25">
      <c r="A246" s="915" t="s">
        <v>609</v>
      </c>
      <c r="B246" s="917">
        <v>23.882804870605501</v>
      </c>
      <c r="C246" s="917">
        <v>24.973464965820298</v>
      </c>
      <c r="D246" s="917">
        <v>28.470840454101602</v>
      </c>
      <c r="E246" s="917">
        <v>21.505495071411101</v>
      </c>
      <c r="F246" s="917">
        <v>20.697200775146499</v>
      </c>
      <c r="G246" s="917">
        <v>23.0020751953125</v>
      </c>
      <c r="H246" s="917">
        <v>24.980747222900401</v>
      </c>
      <c r="I246" s="917">
        <v>26.7403888702393</v>
      </c>
      <c r="J246" s="917">
        <v>28.254840850830099</v>
      </c>
      <c r="K246" s="917">
        <v>29.8807067871094</v>
      </c>
      <c r="L246" s="917">
        <v>30.930690765380898</v>
      </c>
      <c r="M246" s="917">
        <v>31.804765701293899</v>
      </c>
      <c r="N246" s="917">
        <v>32.682899475097699</v>
      </c>
      <c r="O246" s="917">
        <v>33.084945678710902</v>
      </c>
      <c r="P246" s="917">
        <v>33.339298248291001</v>
      </c>
      <c r="Q246" s="917">
        <v>33.569530487060497</v>
      </c>
      <c r="R246" s="917">
        <v>33.692008972167997</v>
      </c>
      <c r="S246" s="917">
        <v>34.029460906982401</v>
      </c>
      <c r="T246" s="917">
        <v>34.165733337402301</v>
      </c>
      <c r="U246" s="917">
        <v>33.722698211669901</v>
      </c>
      <c r="V246" s="917">
        <v>33.999015808105497</v>
      </c>
      <c r="W246" s="917">
        <v>34.276668548583999</v>
      </c>
      <c r="X246" s="917">
        <v>34.616855621337898</v>
      </c>
      <c r="Y246" s="917">
        <v>34.804977416992202</v>
      </c>
      <c r="Z246" s="917">
        <v>35.163482666015597</v>
      </c>
      <c r="AA246" s="310">
        <v>23.653226852416999</v>
      </c>
      <c r="AB246" s="310">
        <v>23.781959533691399</v>
      </c>
      <c r="AC246" s="310">
        <v>23.869001388549801</v>
      </c>
      <c r="AD246" s="310">
        <v>23.909082412719702</v>
      </c>
    </row>
    <row r="247" spans="1:70" x14ac:dyDescent="0.25">
      <c r="A247" s="915" t="s">
        <v>610</v>
      </c>
      <c r="B247" s="917">
        <v>18.4642543792725</v>
      </c>
      <c r="C247" s="917">
        <v>19.664405822753899</v>
      </c>
      <c r="D247" s="917">
        <v>23.940315246581999</v>
      </c>
      <c r="E247" s="917">
        <v>15.6857194900513</v>
      </c>
      <c r="F247" s="917">
        <v>13.3512983322144</v>
      </c>
      <c r="G247" s="917">
        <v>15.708171844482401</v>
      </c>
      <c r="H247" s="917">
        <v>17.491518020629901</v>
      </c>
      <c r="I247" s="917">
        <v>18.8044624328613</v>
      </c>
      <c r="J247" s="917">
        <v>20.071212768554702</v>
      </c>
      <c r="K247" s="917">
        <v>21.571735382080099</v>
      </c>
      <c r="L247" s="917">
        <v>22.444984436035199</v>
      </c>
      <c r="M247" s="917">
        <v>23.2645053863525</v>
      </c>
      <c r="N247" s="917">
        <v>23.975505828857401</v>
      </c>
      <c r="O247" s="917">
        <v>24.350082397460898</v>
      </c>
      <c r="P247" s="917">
        <v>24.6401481628418</v>
      </c>
      <c r="Q247" s="917">
        <v>24.7862453460693</v>
      </c>
      <c r="R247" s="917">
        <v>24.899822235107401</v>
      </c>
      <c r="S247" s="917">
        <v>25.1952934265137</v>
      </c>
      <c r="T247" s="917">
        <v>25.492937088012699</v>
      </c>
      <c r="U247" s="917">
        <v>25.134300231933601</v>
      </c>
      <c r="V247" s="917">
        <v>25.433099746704102</v>
      </c>
      <c r="W247" s="917">
        <v>25.7546691894531</v>
      </c>
      <c r="X247" s="917">
        <v>26.098386764526399</v>
      </c>
      <c r="Y247" s="917">
        <v>26.3820476531982</v>
      </c>
      <c r="Z247" s="917">
        <v>26.7700805664063</v>
      </c>
      <c r="AA247" s="310">
        <v>13.801754951477101</v>
      </c>
      <c r="AB247" s="310">
        <v>13.897899627685501</v>
      </c>
      <c r="AC247" s="310">
        <v>14.058331489563001</v>
      </c>
      <c r="AD247" s="310">
        <v>14.125551223754901</v>
      </c>
    </row>
    <row r="248" spans="1:70" x14ac:dyDescent="0.25">
      <c r="A248" s="915" t="s">
        <v>510</v>
      </c>
      <c r="B248" s="917">
        <v>13.7000589370728</v>
      </c>
      <c r="C248" s="917">
        <v>12.691158294677701</v>
      </c>
      <c r="D248" s="917">
        <v>12.9778490066528</v>
      </c>
      <c r="E248" s="917">
        <v>10.717614173889199</v>
      </c>
      <c r="F248" s="917">
        <v>11.192774772644</v>
      </c>
      <c r="G248" s="917">
        <v>11.487280845642101</v>
      </c>
      <c r="H248" s="917">
        <v>11.3991556167603</v>
      </c>
      <c r="I248" s="917">
        <v>11.307798385620099</v>
      </c>
      <c r="J248" s="917">
        <v>11.2896461486816</v>
      </c>
      <c r="K248" s="917">
        <v>11.345415115356399</v>
      </c>
      <c r="L248" s="917">
        <v>11.538298606872599</v>
      </c>
      <c r="M248" s="917">
        <v>11.7583208084106</v>
      </c>
      <c r="N248" s="917">
        <v>11.975100517272899</v>
      </c>
      <c r="O248" s="917">
        <v>12.23952293396</v>
      </c>
      <c r="P248" s="917">
        <v>12.557071685791</v>
      </c>
      <c r="Q248" s="917">
        <v>12.7957820892334</v>
      </c>
      <c r="R248" s="917">
        <v>12.871651649475099</v>
      </c>
      <c r="S248" s="917">
        <v>12.660281181335399</v>
      </c>
      <c r="T248" s="917">
        <v>12.6240320205688</v>
      </c>
      <c r="U248" s="917">
        <v>12.5992183685303</v>
      </c>
      <c r="V248" s="917">
        <v>12.7868556976318</v>
      </c>
      <c r="W248" s="917">
        <v>13.07555103302</v>
      </c>
      <c r="X248" s="917">
        <v>13.407883644104</v>
      </c>
      <c r="Y248" s="917">
        <v>13.6725673675537</v>
      </c>
      <c r="Z248" s="917">
        <v>13.962038993835399</v>
      </c>
      <c r="AA248" s="310">
        <v>11.116808891296399</v>
      </c>
      <c r="AB248" s="310">
        <v>11.2574377059937</v>
      </c>
      <c r="AC248" s="310">
        <v>11.3709173202515</v>
      </c>
      <c r="AD248" s="310">
        <v>11.426144599914601</v>
      </c>
    </row>
    <row r="249" spans="1:70" x14ac:dyDescent="0.25">
      <c r="A249" s="915" t="s">
        <v>479</v>
      </c>
      <c r="B249" s="917">
        <v>31.206779479980501</v>
      </c>
      <c r="C249" s="917">
        <v>31.181957244873001</v>
      </c>
      <c r="D249" s="917">
        <v>31.772819519043001</v>
      </c>
      <c r="E249" s="917">
        <v>30.736837387085</v>
      </c>
      <c r="F249" s="917">
        <v>28.616357803344702</v>
      </c>
      <c r="G249" s="917">
        <v>29.873619079589801</v>
      </c>
      <c r="H249" s="917">
        <v>30.101655960083001</v>
      </c>
      <c r="I249" s="917">
        <v>30.425390243530298</v>
      </c>
      <c r="J249" s="917">
        <v>30.7938537597656</v>
      </c>
      <c r="K249" s="917">
        <v>30.883028030395501</v>
      </c>
      <c r="L249" s="917">
        <v>31.149145126342798</v>
      </c>
      <c r="M249" s="917">
        <v>31.4898681640625</v>
      </c>
      <c r="N249" s="917">
        <v>31.815629959106399</v>
      </c>
      <c r="O249" s="917">
        <v>32.020698547363303</v>
      </c>
      <c r="P249" s="917">
        <v>32.4303588867188</v>
      </c>
      <c r="Q249" s="917">
        <v>32.7907905578613</v>
      </c>
      <c r="R249" s="917">
        <v>32.994007110595703</v>
      </c>
      <c r="S249" s="917">
        <v>32.923465728759801</v>
      </c>
      <c r="T249" s="917">
        <v>32.920154571533203</v>
      </c>
      <c r="U249" s="917">
        <v>32.902271270752003</v>
      </c>
      <c r="V249" s="917">
        <v>32.958240509033203</v>
      </c>
      <c r="W249" s="917">
        <v>33.321102142333999</v>
      </c>
      <c r="X249" s="917">
        <v>33.734363555908203</v>
      </c>
      <c r="Y249" s="917">
        <v>34.149539947509801</v>
      </c>
      <c r="Z249" s="917">
        <v>34.490489959716797</v>
      </c>
      <c r="AA249" s="310">
        <v>26.5695495605469</v>
      </c>
      <c r="AB249" s="310">
        <v>26.6057014465332</v>
      </c>
      <c r="AC249" s="310">
        <v>26.7373046875</v>
      </c>
      <c r="AD249" s="310">
        <v>26.757972717285199</v>
      </c>
    </row>
    <row r="250" spans="1:70" x14ac:dyDescent="0.25">
      <c r="AA250" s="310"/>
      <c r="AB250" s="310"/>
      <c r="AC250" s="310"/>
      <c r="AD250" s="310"/>
    </row>
    <row r="251" spans="1:70" x14ac:dyDescent="0.25">
      <c r="A251" s="915" t="s">
        <v>480</v>
      </c>
      <c r="AA251" s="310">
        <v>12.0537929534912</v>
      </c>
      <c r="AB251" s="310">
        <v>12.2529897689819</v>
      </c>
      <c r="AC251" s="310">
        <v>12.3258762359619</v>
      </c>
      <c r="AD251" s="310">
        <v>12.452996253967299</v>
      </c>
    </row>
    <row r="252" spans="1:70" ht="13" thickBot="1" x14ac:dyDescent="0.3">
      <c r="A252" s="915" t="s">
        <v>609</v>
      </c>
      <c r="B252" s="917">
        <v>21.1974983215332</v>
      </c>
      <c r="C252" s="917">
        <v>23.041419982910199</v>
      </c>
      <c r="D252" s="917">
        <v>23.540430068969702</v>
      </c>
      <c r="E252" s="917">
        <v>20.975297927856399</v>
      </c>
      <c r="F252" s="917">
        <v>17.540355682373001</v>
      </c>
      <c r="G252" s="917">
        <v>19.827720642089801</v>
      </c>
      <c r="H252" s="917">
        <v>21.7962131500244</v>
      </c>
      <c r="I252" s="917">
        <v>23.5440998077393</v>
      </c>
      <c r="J252" s="917">
        <v>25.047388076782202</v>
      </c>
      <c r="K252" s="917">
        <v>26.6623840332031</v>
      </c>
      <c r="L252" s="917">
        <v>27.701774597168001</v>
      </c>
      <c r="M252" s="917">
        <v>28.565574645996101</v>
      </c>
      <c r="N252" s="917">
        <v>29.4346523284912</v>
      </c>
      <c r="O252" s="917">
        <v>29.8274021148682</v>
      </c>
      <c r="P252" s="917">
        <v>30.0731811523438</v>
      </c>
      <c r="Q252" s="917">
        <v>30.2960014343262</v>
      </c>
      <c r="R252" s="917">
        <v>30.4115695953369</v>
      </c>
      <c r="S252" s="917">
        <v>30.7421360015869</v>
      </c>
      <c r="T252" s="917">
        <v>30.871879577636701</v>
      </c>
      <c r="U252" s="917">
        <v>30.422807693481399</v>
      </c>
      <c r="V252" s="917">
        <v>30.6932373046875</v>
      </c>
      <c r="W252" s="917">
        <v>30.965314865112301</v>
      </c>
      <c r="X252" s="917">
        <v>31.299940109252901</v>
      </c>
      <c r="Y252" s="917">
        <v>31.482862472534201</v>
      </c>
      <c r="Z252" s="917">
        <v>31.836189270019499</v>
      </c>
      <c r="AA252" s="310">
        <v>7.3951959609985396</v>
      </c>
      <c r="AB252" s="310">
        <v>7.4624595642089799</v>
      </c>
      <c r="AC252" s="310">
        <v>7.2386937141418501</v>
      </c>
      <c r="AD252" s="310">
        <v>7.3113985061645499</v>
      </c>
    </row>
    <row r="253" spans="1:70" ht="13" thickBot="1" x14ac:dyDescent="0.3">
      <c r="A253" s="915" t="s">
        <v>610</v>
      </c>
      <c r="B253" s="917">
        <v>15.019946098327599</v>
      </c>
      <c r="C253" s="917">
        <v>16.054100036621101</v>
      </c>
      <c r="D253" s="917">
        <v>20.9568576812744</v>
      </c>
      <c r="E253" s="917">
        <v>13.740292549133301</v>
      </c>
      <c r="F253" s="917">
        <v>10.759732246398899</v>
      </c>
      <c r="G253" s="917">
        <v>13.277551651001</v>
      </c>
      <c r="H253" s="917">
        <v>15.102119445800801</v>
      </c>
      <c r="I253" s="917">
        <v>16.819028854370099</v>
      </c>
      <c r="J253" s="917">
        <v>18.163129806518601</v>
      </c>
      <c r="K253" s="917">
        <v>19.404659271240199</v>
      </c>
      <c r="L253" s="917">
        <v>20.2805690765381</v>
      </c>
      <c r="M253" s="917">
        <v>21.141357421875</v>
      </c>
      <c r="N253" s="917">
        <v>21.870569229126001</v>
      </c>
      <c r="O253" s="917">
        <v>22.288406372070298</v>
      </c>
      <c r="P253" s="917">
        <v>22.606428146362301</v>
      </c>
      <c r="Q253" s="917">
        <v>22.643785476684599</v>
      </c>
      <c r="R253" s="917">
        <v>22.862098693847699</v>
      </c>
      <c r="S253" s="917">
        <v>23.111530303955099</v>
      </c>
      <c r="T253" s="917">
        <v>23.2818489074707</v>
      </c>
      <c r="U253" s="917">
        <v>23.1139316558838</v>
      </c>
      <c r="V253" s="917">
        <v>23.4434604644775</v>
      </c>
      <c r="W253" s="917">
        <v>23.529294967651399</v>
      </c>
      <c r="X253" s="917">
        <v>23.9437866210938</v>
      </c>
      <c r="Y253" s="917">
        <v>24.471529006958001</v>
      </c>
      <c r="Z253" s="917">
        <v>24.6476936340332</v>
      </c>
      <c r="AA253" s="310">
        <v>9.0512752532959002</v>
      </c>
      <c r="AB253" s="310">
        <v>9.1702537536621094</v>
      </c>
      <c r="AC253" s="310">
        <v>9.2454566955566406</v>
      </c>
      <c r="AD253" s="310">
        <v>9.3029346466064506</v>
      </c>
      <c r="AE253" s="287">
        <f>AD253+($AI$253-$AD$253)/5</f>
        <v>9.3577216364198588</v>
      </c>
      <c r="AF253" s="287">
        <f>AE253+($AI$253-$AD$253)/5</f>
        <v>9.4125086262332669</v>
      </c>
      <c r="AG253" s="287">
        <f>AF253+($AI$253-$AD$253)/5</f>
        <v>9.467295616046675</v>
      </c>
      <c r="AH253" s="287">
        <f>AG253+($AI$253-$AD$253)/5</f>
        <v>9.5220826058600831</v>
      </c>
      <c r="AI253" s="288">
        <f>T423*$E$742</f>
        <v>9.5768695956734877</v>
      </c>
      <c r="AJ253" s="287">
        <f>AI253+($AX$253-$AI$253)/15</f>
        <v>9.6852727225982509</v>
      </c>
      <c r="AK253" s="287">
        <f t="shared" ref="AK253:AW253" si="3">AJ253+($AX$253-$AI$253)/15</f>
        <v>9.7936758495230141</v>
      </c>
      <c r="AL253" s="287">
        <f t="shared" si="3"/>
        <v>9.9020789764477772</v>
      </c>
      <c r="AM253" s="287">
        <f t="shared" si="3"/>
        <v>10.01048210337254</v>
      </c>
      <c r="AN253" s="287">
        <f t="shared" si="3"/>
        <v>10.118885230297304</v>
      </c>
      <c r="AO253" s="287">
        <f t="shared" si="3"/>
        <v>10.227288357222067</v>
      </c>
      <c r="AP253" s="287">
        <f t="shared" si="3"/>
        <v>10.33569148414683</v>
      </c>
      <c r="AQ253" s="287">
        <f t="shared" si="3"/>
        <v>10.444094611071593</v>
      </c>
      <c r="AR253" s="287">
        <f t="shared" si="3"/>
        <v>10.552497737996356</v>
      </c>
      <c r="AS253" s="287">
        <f t="shared" si="3"/>
        <v>10.660900864921119</v>
      </c>
      <c r="AT253" s="287">
        <f t="shared" si="3"/>
        <v>10.769303991845883</v>
      </c>
      <c r="AU253" s="287">
        <f t="shared" si="3"/>
        <v>10.877707118770646</v>
      </c>
      <c r="AV253" s="287">
        <f t="shared" si="3"/>
        <v>10.986110245695409</v>
      </c>
      <c r="AW253" s="287">
        <f t="shared" si="3"/>
        <v>11.094513372620172</v>
      </c>
      <c r="AX253" s="288">
        <f>AI253*$B$742</f>
        <v>11.202916499544939</v>
      </c>
      <c r="AY253" s="287">
        <f>AX253+($BM$253-$AX$253)/15</f>
        <v>11.313845014700993</v>
      </c>
      <c r="AZ253" s="287">
        <f t="shared" ref="AZ253:BL253" si="4">AY253+($BM$253-$AX$253)/15</f>
        <v>11.424773529857047</v>
      </c>
      <c r="BA253" s="287">
        <f t="shared" si="4"/>
        <v>11.535702045013101</v>
      </c>
      <c r="BB253" s="287">
        <f t="shared" si="4"/>
        <v>11.646630560169156</v>
      </c>
      <c r="BC253" s="287">
        <f t="shared" si="4"/>
        <v>11.75755907532521</v>
      </c>
      <c r="BD253" s="287">
        <f t="shared" si="4"/>
        <v>11.868487590481264</v>
      </c>
      <c r="BE253" s="287">
        <f t="shared" si="4"/>
        <v>11.979416105637318</v>
      </c>
      <c r="BF253" s="287">
        <f t="shared" si="4"/>
        <v>12.090344620793372</v>
      </c>
      <c r="BG253" s="287">
        <f t="shared" si="4"/>
        <v>12.201273135949426</v>
      </c>
      <c r="BH253" s="287">
        <f t="shared" si="4"/>
        <v>12.312201651105481</v>
      </c>
      <c r="BI253" s="287">
        <f t="shared" si="4"/>
        <v>12.423130166261535</v>
      </c>
      <c r="BJ253" s="287">
        <f t="shared" si="4"/>
        <v>12.534058681417589</v>
      </c>
      <c r="BK253" s="287">
        <f t="shared" si="4"/>
        <v>12.644987196573643</v>
      </c>
      <c r="BL253" s="287">
        <f t="shared" si="4"/>
        <v>12.755915711729697</v>
      </c>
      <c r="BM253" s="288">
        <f>AX253*$C$742</f>
        <v>12.866844226885757</v>
      </c>
      <c r="BN253" s="287">
        <f>BM253+($BR$253-$BM$253)/5</f>
        <v>12.994248543867917</v>
      </c>
      <c r="BO253" s="287">
        <f>BN253+($BR$253-$BM$253)/5</f>
        <v>13.121652860850077</v>
      </c>
      <c r="BP253" s="287">
        <f>BO253+($BR$253-$BM$253)/5</f>
        <v>13.249057177832237</v>
      </c>
      <c r="BQ253" s="287">
        <f>BP253+($BR$253-$BM$253)/5</f>
        <v>13.376461494814397</v>
      </c>
      <c r="BR253" s="288">
        <f>BM253*$D$742</f>
        <v>13.503865811796555</v>
      </c>
    </row>
    <row r="254" spans="1:70" ht="13" thickBot="1" x14ac:dyDescent="0.3">
      <c r="A254" s="915" t="s">
        <v>723</v>
      </c>
      <c r="B254" s="917">
        <v>8.8815975189209002</v>
      </c>
      <c r="C254" s="917">
        <v>10.3074436187744</v>
      </c>
      <c r="D254" s="917">
        <v>13.411918640136699</v>
      </c>
      <c r="E254" s="917">
        <v>6.6991925239562997</v>
      </c>
      <c r="F254" s="917">
        <v>5.8016228675842303</v>
      </c>
      <c r="G254" s="917">
        <v>8.5975322723388707</v>
      </c>
      <c r="H254" s="917">
        <v>10.1285858154297</v>
      </c>
      <c r="I254" s="917">
        <v>11.654000282287599</v>
      </c>
      <c r="J254" s="917">
        <v>12.9474182128906</v>
      </c>
      <c r="K254" s="917">
        <v>14.400235176086399</v>
      </c>
      <c r="L254" s="917">
        <v>15.2041673660278</v>
      </c>
      <c r="M254" s="917">
        <v>15.658245086669901</v>
      </c>
      <c r="N254" s="917">
        <v>16.352220535278299</v>
      </c>
      <c r="O254" s="917">
        <v>16.605510711669901</v>
      </c>
      <c r="P254" s="917">
        <v>16.856744766235401</v>
      </c>
      <c r="Q254" s="917">
        <v>17.043632507324201</v>
      </c>
      <c r="R254" s="917">
        <v>17.1953125</v>
      </c>
      <c r="S254" s="917">
        <v>17.403110504150401</v>
      </c>
      <c r="T254" s="917">
        <v>17.4520969390869</v>
      </c>
      <c r="U254" s="917">
        <v>17.016120910644499</v>
      </c>
      <c r="V254" s="917">
        <v>17.163618087768601</v>
      </c>
      <c r="W254" s="917">
        <v>17.311967849731399</v>
      </c>
      <c r="X254" s="917">
        <v>17.516565322876001</v>
      </c>
      <c r="Y254" s="917">
        <v>17.704761505126999</v>
      </c>
      <c r="Z254" s="917">
        <v>17.873653411865199</v>
      </c>
      <c r="AA254" s="310">
        <v>24.1571254730225</v>
      </c>
      <c r="AB254" s="310">
        <v>24.207300186157202</v>
      </c>
      <c r="AC254" s="310">
        <v>24.2876873016357</v>
      </c>
      <c r="AD254" s="310">
        <v>24.267208099365199</v>
      </c>
      <c r="AE254" s="289">
        <f>AD254+($AI$254-$AD$254)/5</f>
        <v>24.075703794494256</v>
      </c>
      <c r="AF254" s="289">
        <f>AE254+($AI$254-$AD$254)/5</f>
        <v>23.884199489623313</v>
      </c>
      <c r="AG254" s="289">
        <f>AF254+($AI$254-$AD$254)/5</f>
        <v>23.69269518475237</v>
      </c>
      <c r="AH254" s="289">
        <f>AG254+($AI$254-$AD$254)/5</f>
        <v>23.501190879881428</v>
      </c>
      <c r="AI254" s="290">
        <f>T424*$E$745</f>
        <v>23.309686575010492</v>
      </c>
      <c r="AJ254" s="289">
        <f>AI254+($AX$254-$AI$254)/15</f>
        <v>23.300523054015734</v>
      </c>
      <c r="AK254" s="289">
        <f t="shared" ref="AK254:AW254" si="5">AJ254+($AX$254-$AI$254)/15</f>
        <v>23.291359533020977</v>
      </c>
      <c r="AL254" s="289">
        <f t="shared" si="5"/>
        <v>23.282196012026219</v>
      </c>
      <c r="AM254" s="289">
        <f t="shared" si="5"/>
        <v>23.273032491031461</v>
      </c>
      <c r="AN254" s="289">
        <f t="shared" si="5"/>
        <v>23.263868970036704</v>
      </c>
      <c r="AO254" s="289">
        <f t="shared" si="5"/>
        <v>23.254705449041946</v>
      </c>
      <c r="AP254" s="289">
        <f t="shared" si="5"/>
        <v>23.245541928047189</v>
      </c>
      <c r="AQ254" s="289">
        <f t="shared" si="5"/>
        <v>23.236378407052431</v>
      </c>
      <c r="AR254" s="289">
        <f t="shared" si="5"/>
        <v>23.227214886057673</v>
      </c>
      <c r="AS254" s="289">
        <f t="shared" si="5"/>
        <v>23.218051365062916</v>
      </c>
      <c r="AT254" s="289">
        <f t="shared" si="5"/>
        <v>23.208887844068158</v>
      </c>
      <c r="AU254" s="289">
        <f t="shared" si="5"/>
        <v>23.199724323073401</v>
      </c>
      <c r="AV254" s="289">
        <f t="shared" si="5"/>
        <v>23.190560802078643</v>
      </c>
      <c r="AW254" s="289">
        <f t="shared" si="5"/>
        <v>23.181397281083886</v>
      </c>
      <c r="AX254" s="290">
        <f>AI254*$B$745</f>
        <v>23.172233760089139</v>
      </c>
      <c r="AY254" s="289">
        <f>AX254+($BM$254-$AX$254)/15</f>
        <v>23.186953863011141</v>
      </c>
      <c r="AZ254" s="289">
        <f t="shared" ref="AZ254:BL254" si="6">AY254+($BM$254-$AX$254)/15</f>
        <v>23.201673965933143</v>
      </c>
      <c r="BA254" s="289">
        <f t="shared" si="6"/>
        <v>23.216394068855145</v>
      </c>
      <c r="BB254" s="289">
        <f t="shared" si="6"/>
        <v>23.231114171777147</v>
      </c>
      <c r="BC254" s="289">
        <f t="shared" si="6"/>
        <v>23.245834274699149</v>
      </c>
      <c r="BD254" s="289">
        <f t="shared" si="6"/>
        <v>23.260554377621151</v>
      </c>
      <c r="BE254" s="289">
        <f t="shared" si="6"/>
        <v>23.275274480543153</v>
      </c>
      <c r="BF254" s="289">
        <f t="shared" si="6"/>
        <v>23.289994583465155</v>
      </c>
      <c r="BG254" s="289">
        <f t="shared" si="6"/>
        <v>23.304714686387157</v>
      </c>
      <c r="BH254" s="289">
        <f t="shared" si="6"/>
        <v>23.31943478930916</v>
      </c>
      <c r="BI254" s="289">
        <f t="shared" si="6"/>
        <v>23.334154892231162</v>
      </c>
      <c r="BJ254" s="289">
        <f t="shared" si="6"/>
        <v>23.348874995153164</v>
      </c>
      <c r="BK254" s="289">
        <f t="shared" si="6"/>
        <v>23.363595098075166</v>
      </c>
      <c r="BL254" s="289">
        <f t="shared" si="6"/>
        <v>23.378315200997168</v>
      </c>
      <c r="BM254" s="290">
        <f>AX254*$C$745</f>
        <v>23.393035303919145</v>
      </c>
      <c r="BN254" s="289">
        <f>BM254+($BR$254-$BM$254)/5</f>
        <v>23.407895670463727</v>
      </c>
      <c r="BO254" s="289">
        <f>BN254+($BR$254-$BM$254)/5</f>
        <v>23.422756037008309</v>
      </c>
      <c r="BP254" s="289">
        <f>BO254+($BR$254-$BM$254)/5</f>
        <v>23.437616403552891</v>
      </c>
      <c r="BQ254" s="289">
        <f>BP254+($BR$254-$BM$254)/5</f>
        <v>23.452476770097473</v>
      </c>
      <c r="BR254" s="290">
        <f>BM254*$D$745</f>
        <v>23.467337136642058</v>
      </c>
    </row>
    <row r="255" spans="1:70" x14ac:dyDescent="0.25">
      <c r="A255" s="915" t="s">
        <v>510</v>
      </c>
      <c r="B255" s="917">
        <v>11.896094322204601</v>
      </c>
      <c r="C255" s="917">
        <v>10.9898433685303</v>
      </c>
      <c r="D255" s="917">
        <v>11.3387994766235</v>
      </c>
      <c r="E255" s="917">
        <v>8.9075946807861293</v>
      </c>
      <c r="F255" s="917">
        <v>9.4656057357788104</v>
      </c>
      <c r="G255" s="917">
        <v>9.7463216781616193</v>
      </c>
      <c r="H255" s="917">
        <v>9.7210922241210902</v>
      </c>
      <c r="I255" s="917">
        <v>9.6719341278076207</v>
      </c>
      <c r="J255" s="917">
        <v>9.7138872146606392</v>
      </c>
      <c r="K255" s="917">
        <v>9.8306560516357404</v>
      </c>
      <c r="L255" s="917">
        <v>10.038209915161101</v>
      </c>
      <c r="M255" s="917">
        <v>10.2545003890991</v>
      </c>
      <c r="N255" s="917">
        <v>10.476261138916</v>
      </c>
      <c r="O255" s="917">
        <v>10.746561050415</v>
      </c>
      <c r="P255" s="917">
        <v>11.0803880691528</v>
      </c>
      <c r="Q255" s="917">
        <v>11.314369201660201</v>
      </c>
      <c r="R255" s="917">
        <v>11.4017143249512</v>
      </c>
      <c r="S255" s="917">
        <v>11.212500572204601</v>
      </c>
      <c r="T255" s="917">
        <v>11.1975994110107</v>
      </c>
      <c r="U255" s="917">
        <v>11.159740447998001</v>
      </c>
      <c r="V255" s="917">
        <v>11.3503875732422</v>
      </c>
      <c r="W255" s="917">
        <v>11.640952110290501</v>
      </c>
      <c r="X255" s="917">
        <v>11.9785671234131</v>
      </c>
      <c r="Y255" s="917">
        <v>12.2332496643066</v>
      </c>
      <c r="Z255" s="917">
        <v>12.5188312530518</v>
      </c>
      <c r="AA255" s="310"/>
      <c r="AB255" s="310"/>
      <c r="AC255" s="310"/>
      <c r="AD255" s="310"/>
    </row>
    <row r="256" spans="1:70" x14ac:dyDescent="0.25">
      <c r="A256" s="915" t="s">
        <v>479</v>
      </c>
      <c r="B256" s="917">
        <v>28.3762531280518</v>
      </c>
      <c r="C256" s="917">
        <v>28.029735565185501</v>
      </c>
      <c r="D256" s="917">
        <v>29.057315826416001</v>
      </c>
      <c r="E256" s="917">
        <v>27.6067714691162</v>
      </c>
      <c r="F256" s="917">
        <v>24.835584640502901</v>
      </c>
      <c r="G256" s="917">
        <v>25.581251144409201</v>
      </c>
      <c r="H256" s="917">
        <v>25.4402256011963</v>
      </c>
      <c r="I256" s="917">
        <v>25.470129013061499</v>
      </c>
      <c r="J256" s="917">
        <v>25.672283172607401</v>
      </c>
      <c r="K256" s="917">
        <v>25.763282775878899</v>
      </c>
      <c r="L256" s="917">
        <v>26.100669860839801</v>
      </c>
      <c r="M256" s="917">
        <v>26.468044281005898</v>
      </c>
      <c r="N256" s="917">
        <v>26.885612487793001</v>
      </c>
      <c r="O256" s="917">
        <v>27.169450759887699</v>
      </c>
      <c r="P256" s="917">
        <v>27.620109558105501</v>
      </c>
      <c r="Q256" s="917">
        <v>28.002447128295898</v>
      </c>
      <c r="R256" s="917">
        <v>28.245407104492202</v>
      </c>
      <c r="S256" s="917">
        <v>28.186374664306602</v>
      </c>
      <c r="T256" s="917">
        <v>28.203248977661101</v>
      </c>
      <c r="U256" s="917">
        <v>28.139711380004901</v>
      </c>
      <c r="V256" s="917">
        <v>28.178466796875</v>
      </c>
      <c r="W256" s="917">
        <v>28.495182037353501</v>
      </c>
      <c r="X256" s="917">
        <v>28.915565490722699</v>
      </c>
      <c r="Y256" s="917">
        <v>29.289411544799801</v>
      </c>
      <c r="Z256" s="917">
        <v>29.651695251464801</v>
      </c>
      <c r="AA256" s="310">
        <v>16.318952560424801</v>
      </c>
      <c r="AB256" s="310">
        <v>16.4172878265381</v>
      </c>
      <c r="AC256" s="310">
        <v>16.5084934234619</v>
      </c>
      <c r="AD256" s="310">
        <v>16.549221038818398</v>
      </c>
    </row>
    <row r="257" spans="1:70" x14ac:dyDescent="0.25">
      <c r="AA257" s="310">
        <v>12.788073539733899</v>
      </c>
      <c r="AB257" s="310">
        <v>13.069622039794901</v>
      </c>
      <c r="AC257" s="310">
        <v>13.0597486495972</v>
      </c>
      <c r="AD257" s="310">
        <v>13.2463188171387</v>
      </c>
    </row>
    <row r="258" spans="1:70" ht="13" thickBot="1" x14ac:dyDescent="0.3">
      <c r="A258" s="915" t="s">
        <v>612</v>
      </c>
      <c r="AA258" s="310">
        <v>9.5039434432983398</v>
      </c>
      <c r="AB258" s="310">
        <v>9.4975557327270508</v>
      </c>
      <c r="AC258" s="310">
        <v>9.6068582534790004</v>
      </c>
      <c r="AD258" s="310">
        <v>9.5831336975097692</v>
      </c>
    </row>
    <row r="259" spans="1:70" ht="13" thickBot="1" x14ac:dyDescent="0.3">
      <c r="A259" s="915" t="s">
        <v>609</v>
      </c>
      <c r="B259" s="917">
        <v>21.041078567504901</v>
      </c>
      <c r="C259" s="917">
        <v>23.3795166015625</v>
      </c>
      <c r="D259" s="917">
        <v>26.646581649780298</v>
      </c>
      <c r="E259" s="917">
        <v>22.2440700531006</v>
      </c>
      <c r="F259" s="917">
        <v>16.6379299163818</v>
      </c>
      <c r="G259" s="917">
        <v>18.920274734497099</v>
      </c>
      <c r="H259" s="917">
        <v>20.8892612457275</v>
      </c>
      <c r="I259" s="917">
        <v>22.636520385742202</v>
      </c>
      <c r="J259" s="917">
        <v>24.1346244812012</v>
      </c>
      <c r="K259" s="917">
        <v>25.742292404174801</v>
      </c>
      <c r="L259" s="917">
        <v>26.783767700195298</v>
      </c>
      <c r="M259" s="917">
        <v>27.652248382568398</v>
      </c>
      <c r="N259" s="917">
        <v>28.520401000976602</v>
      </c>
      <c r="O259" s="917">
        <v>28.932659149169901</v>
      </c>
      <c r="P259" s="917">
        <v>29.169765472412099</v>
      </c>
      <c r="Q259" s="917">
        <v>29.4143581390381</v>
      </c>
      <c r="R259" s="917">
        <v>29.524629592895501</v>
      </c>
      <c r="S259" s="917">
        <v>29.853767395019499</v>
      </c>
      <c r="T259" s="917">
        <v>29.959171295166001</v>
      </c>
      <c r="U259" s="917">
        <v>29.528638839721701</v>
      </c>
      <c r="V259" s="917">
        <v>29.7813510894775</v>
      </c>
      <c r="W259" s="917">
        <v>30.054143905639599</v>
      </c>
      <c r="X259" s="917">
        <v>30.3852443695068</v>
      </c>
      <c r="Y259" s="917">
        <v>30.4649448394775</v>
      </c>
      <c r="Z259" s="917">
        <v>30.849096298217798</v>
      </c>
      <c r="AA259" s="310">
        <v>6.3330101966857901</v>
      </c>
      <c r="AB259" s="310">
        <v>6.4338274002075204</v>
      </c>
      <c r="AC259" s="310">
        <v>6.5134425163268999</v>
      </c>
      <c r="AD259" s="310">
        <v>6.5598897933959996</v>
      </c>
      <c r="AE259" s="287">
        <f>AD259+($AI$259-$AD$259)/5</f>
        <v>6.5507078532683796</v>
      </c>
      <c r="AF259" s="287">
        <f>AE259+($AI$259-$AD$259)/5</f>
        <v>6.5415259131407595</v>
      </c>
      <c r="AG259" s="287">
        <f>AF259+($AI$259-$AD$259)/5</f>
        <v>6.5323439730131394</v>
      </c>
      <c r="AH259" s="287">
        <f>AG259+($AI$259-$AD$259)/5</f>
        <v>6.5231620328855193</v>
      </c>
      <c r="AI259" s="288">
        <f>T429*$E$742</f>
        <v>6.5139800927579001</v>
      </c>
      <c r="AJ259" s="287">
        <f>AI259+($AX$259-$AI$259)/15</f>
        <v>6.5877135610615332</v>
      </c>
      <c r="AK259" s="287">
        <f t="shared" ref="AK259:AW259" si="7">AJ259+($AX$259-$AI$259)/15</f>
        <v>6.6614470293651662</v>
      </c>
      <c r="AL259" s="287">
        <f t="shared" si="7"/>
        <v>6.7351804976687992</v>
      </c>
      <c r="AM259" s="287">
        <f t="shared" si="7"/>
        <v>6.8089139659724323</v>
      </c>
      <c r="AN259" s="287">
        <f t="shared" si="7"/>
        <v>6.8826474342760653</v>
      </c>
      <c r="AO259" s="287">
        <f t="shared" si="7"/>
        <v>6.9563809025796983</v>
      </c>
      <c r="AP259" s="287">
        <f t="shared" si="7"/>
        <v>7.0301143708833314</v>
      </c>
      <c r="AQ259" s="287">
        <f t="shared" si="7"/>
        <v>7.1038478391869644</v>
      </c>
      <c r="AR259" s="287">
        <f t="shared" si="7"/>
        <v>7.1775813074905974</v>
      </c>
      <c r="AS259" s="287">
        <f t="shared" si="7"/>
        <v>7.2513147757942304</v>
      </c>
      <c r="AT259" s="287">
        <f t="shared" si="7"/>
        <v>7.3250482440978635</v>
      </c>
      <c r="AU259" s="287">
        <f t="shared" si="7"/>
        <v>7.3987817124014965</v>
      </c>
      <c r="AV259" s="287">
        <f t="shared" si="7"/>
        <v>7.4725151807051295</v>
      </c>
      <c r="AW259" s="287">
        <f t="shared" si="7"/>
        <v>7.5462486490087626</v>
      </c>
      <c r="AX259" s="288">
        <f>AI259*$B$742</f>
        <v>7.6199821173123929</v>
      </c>
      <c r="AY259" s="287">
        <f>AX259+($BM$259-$AX$259)/15</f>
        <v>7.6954333002095865</v>
      </c>
      <c r="AZ259" s="287">
        <f t="shared" ref="AZ259:BL259" si="8">AY259+($BM$259-$AX$259)/15</f>
        <v>7.77088448310678</v>
      </c>
      <c r="BA259" s="287">
        <f t="shared" si="8"/>
        <v>7.8463356660039736</v>
      </c>
      <c r="BB259" s="287">
        <f t="shared" si="8"/>
        <v>7.9217868489011671</v>
      </c>
      <c r="BC259" s="287">
        <f t="shared" si="8"/>
        <v>7.9972380317983607</v>
      </c>
      <c r="BD259" s="287">
        <f t="shared" si="8"/>
        <v>8.0726892146955542</v>
      </c>
      <c r="BE259" s="287">
        <f t="shared" si="8"/>
        <v>8.1481403975927478</v>
      </c>
      <c r="BF259" s="287">
        <f t="shared" si="8"/>
        <v>8.2235915804899413</v>
      </c>
      <c r="BG259" s="287">
        <f t="shared" si="8"/>
        <v>8.2990427633871349</v>
      </c>
      <c r="BH259" s="287">
        <f t="shared" si="8"/>
        <v>8.3744939462843284</v>
      </c>
      <c r="BI259" s="287">
        <f t="shared" si="8"/>
        <v>8.449945129181522</v>
      </c>
      <c r="BJ259" s="287">
        <f t="shared" si="8"/>
        <v>8.5253963120787155</v>
      </c>
      <c r="BK259" s="287">
        <f t="shared" si="8"/>
        <v>8.6008474949759091</v>
      </c>
      <c r="BL259" s="287">
        <f t="shared" si="8"/>
        <v>8.6762986778731026</v>
      </c>
      <c r="BM259" s="288">
        <f>AX259*$C$742</f>
        <v>8.7517498607702962</v>
      </c>
      <c r="BN259" s="287">
        <f>BM259+($BR$259-$BM$259)/5</f>
        <v>8.8384075286295438</v>
      </c>
      <c r="BO259" s="287">
        <f>BN259+($BR$259-$BM$259)/5</f>
        <v>8.9250651964887915</v>
      </c>
      <c r="BP259" s="287">
        <f>BO259+($BR$259-$BM$259)/5</f>
        <v>9.0117228643480392</v>
      </c>
      <c r="BQ259" s="287">
        <f>BP259+($BR$259-$BM$259)/5</f>
        <v>9.0983805322072868</v>
      </c>
      <c r="BR259" s="288">
        <f>BM259*$D$742</f>
        <v>9.1850382000665363</v>
      </c>
    </row>
    <row r="260" spans="1:70" x14ac:dyDescent="0.25">
      <c r="A260" s="915" t="s">
        <v>610</v>
      </c>
      <c r="B260" s="917">
        <v>15.7354278564453</v>
      </c>
      <c r="C260" s="917">
        <v>16.8219394683838</v>
      </c>
      <c r="D260" s="917">
        <v>21.937858581543001</v>
      </c>
      <c r="E260" s="917">
        <v>14.291754722595201</v>
      </c>
      <c r="F260" s="917">
        <v>10.6247463226318</v>
      </c>
      <c r="G260" s="917">
        <v>13.4027051925659</v>
      </c>
      <c r="H260" s="917">
        <v>15.2648477554321</v>
      </c>
      <c r="I260" s="917">
        <v>17.266075134277301</v>
      </c>
      <c r="J260" s="917">
        <v>18.658037185668899</v>
      </c>
      <c r="K260" s="917">
        <v>19.740333557128899</v>
      </c>
      <c r="L260" s="917">
        <v>20.622322082519499</v>
      </c>
      <c r="M260" s="917">
        <v>21.514814376831101</v>
      </c>
      <c r="N260" s="917">
        <v>22.261856079101602</v>
      </c>
      <c r="O260" s="917">
        <v>22.720048904418899</v>
      </c>
      <c r="P260" s="917">
        <v>23.0620517730713</v>
      </c>
      <c r="Q260" s="917">
        <v>23.029100418090799</v>
      </c>
      <c r="R260" s="917">
        <v>23.327865600585898</v>
      </c>
      <c r="S260" s="917">
        <v>23.5460414886475</v>
      </c>
      <c r="T260" s="917">
        <v>23.635374069213899</v>
      </c>
      <c r="U260" s="917">
        <v>23.588466644287099</v>
      </c>
      <c r="V260" s="917">
        <v>23.9423828125</v>
      </c>
      <c r="W260" s="917">
        <v>23.870851516723601</v>
      </c>
      <c r="X260" s="917">
        <v>24.336980819702099</v>
      </c>
      <c r="Y260" s="917">
        <v>25.037542343139599</v>
      </c>
      <c r="Z260" s="917">
        <v>25.073137283325199</v>
      </c>
      <c r="AA260" s="310">
        <v>2.7168338298797599</v>
      </c>
      <c r="AB260" s="310">
        <v>2.7307398319244398</v>
      </c>
      <c r="AC260" s="310">
        <v>2.7413196563720699</v>
      </c>
      <c r="AD260" s="310">
        <v>2.7546591758728001</v>
      </c>
    </row>
    <row r="261" spans="1:70" x14ac:dyDescent="0.25">
      <c r="A261" s="915" t="s">
        <v>611</v>
      </c>
      <c r="B261" s="917">
        <v>9.2125787734985405</v>
      </c>
      <c r="C261" s="917">
        <v>10.5954837799072</v>
      </c>
      <c r="D261" s="917">
        <v>13.7473258972168</v>
      </c>
      <c r="E261" s="917">
        <v>6.9127345085143999</v>
      </c>
      <c r="F261" s="917">
        <v>9.8444128036499006</v>
      </c>
      <c r="G261" s="917">
        <v>12.2499532699585</v>
      </c>
      <c r="H261" s="917">
        <v>13.9352369308472</v>
      </c>
      <c r="I261" s="917">
        <v>15.428977966308601</v>
      </c>
      <c r="J261" s="917">
        <v>16.646518707275401</v>
      </c>
      <c r="K261" s="917">
        <v>18.037969589233398</v>
      </c>
      <c r="L261" s="917">
        <v>18.8180332183838</v>
      </c>
      <c r="M261" s="917">
        <v>19.4296264648438</v>
      </c>
      <c r="N261" s="917">
        <v>20.112428665161101</v>
      </c>
      <c r="O261" s="917">
        <v>20.448431015014599</v>
      </c>
      <c r="P261" s="917">
        <v>20.727931976318398</v>
      </c>
      <c r="Q261" s="917">
        <v>20.973798751831101</v>
      </c>
      <c r="R261" s="917">
        <v>21.101537704467798</v>
      </c>
      <c r="S261" s="917">
        <v>21.306892395019499</v>
      </c>
      <c r="T261" s="917">
        <v>21.394767761230501</v>
      </c>
      <c r="U261" s="917">
        <v>21.017236709594702</v>
      </c>
      <c r="V261" s="917">
        <v>21.180326461791999</v>
      </c>
      <c r="W261" s="917">
        <v>21.338615417480501</v>
      </c>
      <c r="X261" s="917">
        <v>21.660650253295898</v>
      </c>
      <c r="Y261" s="917">
        <v>21.793584823608398</v>
      </c>
      <c r="Z261" s="917">
        <v>22.078443527221701</v>
      </c>
      <c r="AA261" s="310">
        <v>2.2517027854919398</v>
      </c>
      <c r="AB261" s="310">
        <v>2.2682161331176802</v>
      </c>
      <c r="AC261" s="310">
        <v>2.2745745182037398</v>
      </c>
      <c r="AD261" s="310">
        <v>2.2862651348114</v>
      </c>
    </row>
    <row r="262" spans="1:70" ht="13" thickBot="1" x14ac:dyDescent="0.3">
      <c r="A262" s="915" t="s">
        <v>613</v>
      </c>
      <c r="B262" s="917">
        <v>7.9540700912475604</v>
      </c>
      <c r="C262" s="917">
        <v>7.5152516365051296</v>
      </c>
      <c r="D262" s="917">
        <v>8.8012723922729492</v>
      </c>
      <c r="E262" s="917">
        <v>4.8485679626464799</v>
      </c>
      <c r="F262" s="917">
        <v>5.4989199638366699</v>
      </c>
      <c r="G262" s="917">
        <v>5.8261642456054696</v>
      </c>
      <c r="H262" s="917">
        <v>5.87778615951538</v>
      </c>
      <c r="I262" s="917">
        <v>5.9538393020629901</v>
      </c>
      <c r="J262" s="917">
        <v>6.1098570823669398</v>
      </c>
      <c r="K262" s="917">
        <v>6.3294844627380398</v>
      </c>
      <c r="L262" s="917">
        <v>6.5125813484191903</v>
      </c>
      <c r="M262" s="917">
        <v>6.7027301788330096</v>
      </c>
      <c r="N262" s="917">
        <v>6.8988709449768102</v>
      </c>
      <c r="O262" s="917">
        <v>7.1528282165527299</v>
      </c>
      <c r="P262" s="917">
        <v>7.4686021804809597</v>
      </c>
      <c r="Q262" s="917">
        <v>7.6786775588989302</v>
      </c>
      <c r="R262" s="917">
        <v>7.7538070678710902</v>
      </c>
      <c r="S262" s="917">
        <v>7.5584783554077104</v>
      </c>
      <c r="T262" s="917">
        <v>7.5461778640747097</v>
      </c>
      <c r="U262" s="917">
        <v>7.4592709541320801</v>
      </c>
      <c r="V262" s="917">
        <v>7.6002230644226101</v>
      </c>
      <c r="W262" s="917">
        <v>7.8596048355102504</v>
      </c>
      <c r="X262" s="917">
        <v>8.1941757202148402</v>
      </c>
      <c r="Y262" s="917">
        <v>8.4216127395629901</v>
      </c>
      <c r="Z262" s="917">
        <v>8.6935501098632795</v>
      </c>
      <c r="AA262" s="310">
        <v>1.2833950519561801</v>
      </c>
      <c r="AB262" s="310">
        <v>1.3286876678466799</v>
      </c>
      <c r="AC262" s="310">
        <v>1.33012855052948</v>
      </c>
      <c r="AD262" s="310">
        <v>1.33445107936859</v>
      </c>
    </row>
    <row r="263" spans="1:70" ht="13" thickBot="1" x14ac:dyDescent="0.3">
      <c r="A263" s="915" t="s">
        <v>614</v>
      </c>
      <c r="B263" s="917">
        <v>3.6353600025177002</v>
      </c>
      <c r="C263" s="917">
        <v>3.6099998950958301</v>
      </c>
      <c r="D263" s="917">
        <v>4.0558156967163104</v>
      </c>
      <c r="E263" s="917">
        <v>4.0487108230590803</v>
      </c>
      <c r="F263" s="917">
        <v>3.9977276325225799</v>
      </c>
      <c r="G263" s="917">
        <v>4.1121706962585396</v>
      </c>
      <c r="H263" s="917">
        <v>4.1809573173522896</v>
      </c>
      <c r="I263" s="917">
        <v>4.2343683242797896</v>
      </c>
      <c r="J263" s="917">
        <v>4.27162742614746</v>
      </c>
      <c r="K263" s="917">
        <v>4.2985162734985396</v>
      </c>
      <c r="L263" s="917">
        <v>4.3192996978759801</v>
      </c>
      <c r="M263" s="917">
        <v>4.3337044715881303</v>
      </c>
      <c r="N263" s="917">
        <v>4.3530845642089799</v>
      </c>
      <c r="O263" s="917">
        <v>4.3696141242981001</v>
      </c>
      <c r="P263" s="917">
        <v>4.3899216651916504</v>
      </c>
      <c r="Q263" s="917">
        <v>4.4470157623290998</v>
      </c>
      <c r="R263" s="917">
        <v>4.5093812942504901</v>
      </c>
      <c r="S263" s="917">
        <v>4.5352845191955602</v>
      </c>
      <c r="T263" s="917">
        <v>4.5618190765380904</v>
      </c>
      <c r="U263" s="917">
        <v>4.5643453598022496</v>
      </c>
      <c r="V263" s="917">
        <v>4.5493078231811497</v>
      </c>
      <c r="W263" s="917">
        <v>4.5490665435790998</v>
      </c>
      <c r="X263" s="917">
        <v>4.5331215858459499</v>
      </c>
      <c r="Y263" s="917">
        <v>4.4955492019653303</v>
      </c>
      <c r="Z263" s="917">
        <v>4.4319190979003897</v>
      </c>
      <c r="AA263" s="310">
        <v>17.3004150390625</v>
      </c>
      <c r="AB263" s="310">
        <v>17.331628799438501</v>
      </c>
      <c r="AC263" s="310">
        <v>17.425392150878899</v>
      </c>
      <c r="AD263" s="310">
        <v>17.430723190307599</v>
      </c>
      <c r="AE263" s="289">
        <f>AD263+($AI$263-$AD$263)/5</f>
        <v>17.267158349957999</v>
      </c>
      <c r="AF263" s="289">
        <f>AE263+($AI$263-$AD$263)/5</f>
        <v>17.103593509608398</v>
      </c>
      <c r="AG263" s="289">
        <f>AF263+($AI$263-$AD$263)/5</f>
        <v>16.940028669258798</v>
      </c>
      <c r="AH263" s="289">
        <f>AG263+($AI$263-$AD$263)/5</f>
        <v>16.776463828909197</v>
      </c>
      <c r="AI263" s="290">
        <f>T433*$E$745</f>
        <v>16.612898988559596</v>
      </c>
      <c r="AJ263" s="289">
        <f>AI263+($AX$263-$AI$263)/15</f>
        <v>16.606368113587273</v>
      </c>
      <c r="AK263" s="289">
        <f t="shared" ref="AK263:AW263" si="9">AJ263+($AX$263-$AI$263)/15</f>
        <v>16.599837238614949</v>
      </c>
      <c r="AL263" s="289">
        <f t="shared" si="9"/>
        <v>16.593306363642625</v>
      </c>
      <c r="AM263" s="289">
        <f t="shared" si="9"/>
        <v>16.586775488670302</v>
      </c>
      <c r="AN263" s="289">
        <f t="shared" si="9"/>
        <v>16.580244613697978</v>
      </c>
      <c r="AO263" s="289">
        <f t="shared" si="9"/>
        <v>16.573713738725655</v>
      </c>
      <c r="AP263" s="289">
        <f t="shared" si="9"/>
        <v>16.567182863753331</v>
      </c>
      <c r="AQ263" s="289">
        <f t="shared" si="9"/>
        <v>16.560651988781007</v>
      </c>
      <c r="AR263" s="289">
        <f t="shared" si="9"/>
        <v>16.554121113808684</v>
      </c>
      <c r="AS263" s="289">
        <f t="shared" si="9"/>
        <v>16.54759023883636</v>
      </c>
      <c r="AT263" s="289">
        <f t="shared" si="9"/>
        <v>16.541059363864036</v>
      </c>
      <c r="AU263" s="289">
        <f t="shared" si="9"/>
        <v>16.534528488891713</v>
      </c>
      <c r="AV263" s="289">
        <f t="shared" si="9"/>
        <v>16.527997613919389</v>
      </c>
      <c r="AW263" s="289">
        <f t="shared" si="9"/>
        <v>16.521466738947066</v>
      </c>
      <c r="AX263" s="290">
        <f>AI263*$B$745</f>
        <v>16.514935863974742</v>
      </c>
      <c r="AY263" s="289">
        <f>AX263+($BM$263-$AX$263)/15</f>
        <v>16.525426935236357</v>
      </c>
      <c r="AZ263" s="289">
        <f t="shared" ref="AZ263:BL263" si="10">AY263+($BM$263-$AX$263)/15</f>
        <v>16.535918006497972</v>
      </c>
      <c r="BA263" s="289">
        <f t="shared" si="10"/>
        <v>16.546409077759588</v>
      </c>
      <c r="BB263" s="289">
        <f t="shared" si="10"/>
        <v>16.556900149021203</v>
      </c>
      <c r="BC263" s="289">
        <f t="shared" si="10"/>
        <v>16.567391220282818</v>
      </c>
      <c r="BD263" s="289">
        <f t="shared" si="10"/>
        <v>16.577882291544434</v>
      </c>
      <c r="BE263" s="289">
        <f t="shared" si="10"/>
        <v>16.588373362806049</v>
      </c>
      <c r="BF263" s="289">
        <f t="shared" si="10"/>
        <v>16.598864434067664</v>
      </c>
      <c r="BG263" s="289">
        <f t="shared" si="10"/>
        <v>16.60935550532928</v>
      </c>
      <c r="BH263" s="289">
        <f t="shared" si="10"/>
        <v>16.619846576590895</v>
      </c>
      <c r="BI263" s="289">
        <f t="shared" si="10"/>
        <v>16.63033764785251</v>
      </c>
      <c r="BJ263" s="289">
        <f t="shared" si="10"/>
        <v>16.640828719114126</v>
      </c>
      <c r="BK263" s="289">
        <f t="shared" si="10"/>
        <v>16.651319790375741</v>
      </c>
      <c r="BL263" s="289">
        <f t="shared" si="10"/>
        <v>16.661810861637356</v>
      </c>
      <c r="BM263" s="290">
        <f>AX263*$C$745</f>
        <v>16.672301932898996</v>
      </c>
      <c r="BN263" s="289">
        <f>BM263+($BR$263-$BM$263)/5</f>
        <v>16.682892970558111</v>
      </c>
      <c r="BO263" s="289">
        <f>BN263+($BR$263-$BM$263)/5</f>
        <v>16.693484008217226</v>
      </c>
      <c r="BP263" s="289">
        <f>BO263+($BR$263-$BM$263)/5</f>
        <v>16.704075045876341</v>
      </c>
      <c r="BQ263" s="289">
        <f>BP263+($BR$263-$BM$263)/5</f>
        <v>16.714666083535455</v>
      </c>
      <c r="BR263" s="290">
        <f>BM263*$D$745</f>
        <v>16.725257121194577</v>
      </c>
    </row>
    <row r="264" spans="1:70" x14ac:dyDescent="0.25">
      <c r="A264" s="915" t="s">
        <v>615</v>
      </c>
      <c r="B264" s="917">
        <v>2.4029970169067401</v>
      </c>
      <c r="C264" s="917">
        <v>2.4299483299255402</v>
      </c>
      <c r="D264" s="917">
        <v>2.5420303344726598</v>
      </c>
      <c r="E264" s="917">
        <v>2.4490520954132098</v>
      </c>
      <c r="F264" s="917">
        <v>2.3906834125518799</v>
      </c>
      <c r="G264" s="917">
        <v>2.4765830039978001</v>
      </c>
      <c r="H264" s="917">
        <v>2.4936084747314502</v>
      </c>
      <c r="I264" s="917">
        <v>2.5247271060943599</v>
      </c>
      <c r="J264" s="917">
        <v>2.54471778869629</v>
      </c>
      <c r="K264" s="917">
        <v>2.53918480873108</v>
      </c>
      <c r="L264" s="917">
        <v>2.54552221298218</v>
      </c>
      <c r="M264" s="917">
        <v>2.5526983737945601</v>
      </c>
      <c r="N264" s="917">
        <v>2.5639333724975599</v>
      </c>
      <c r="O264" s="917">
        <v>2.5611753463745099</v>
      </c>
      <c r="P264" s="917">
        <v>2.56861472129822</v>
      </c>
      <c r="Q264" s="917">
        <v>2.5710935592651398</v>
      </c>
      <c r="R264" s="917">
        <v>2.57420825958252</v>
      </c>
      <c r="S264" s="917">
        <v>2.5741758346557599</v>
      </c>
      <c r="T264" s="917">
        <v>2.5788726806640598</v>
      </c>
      <c r="U264" s="917">
        <v>2.5789062976837198</v>
      </c>
      <c r="V264" s="917">
        <v>2.59378290176392</v>
      </c>
      <c r="W264" s="917">
        <v>2.6088099479675302</v>
      </c>
      <c r="X264" s="917">
        <v>2.6259028911590598</v>
      </c>
      <c r="Y264" s="917">
        <v>2.64452123641968</v>
      </c>
      <c r="Z264" s="917">
        <v>2.6644773483276398</v>
      </c>
      <c r="AA264" s="310"/>
      <c r="AB264" s="310"/>
      <c r="AC264" s="310"/>
      <c r="AD264" s="310"/>
    </row>
    <row r="265" spans="1:70" ht="13" thickBot="1" x14ac:dyDescent="0.3">
      <c r="A265" s="915" t="s">
        <v>616</v>
      </c>
      <c r="B265" s="917">
        <v>0</v>
      </c>
      <c r="C265" s="917">
        <v>0</v>
      </c>
      <c r="D265" s="917">
        <v>0</v>
      </c>
      <c r="E265" s="917">
        <v>0</v>
      </c>
      <c r="F265" s="917">
        <v>0</v>
      </c>
      <c r="G265" s="917">
        <v>1.5133428573608401</v>
      </c>
      <c r="H265" s="917">
        <v>1.3742095232009901</v>
      </c>
      <c r="I265" s="917">
        <v>1.19064140319824</v>
      </c>
      <c r="J265" s="917">
        <v>1.3664953708648699</v>
      </c>
      <c r="K265" s="917">
        <v>1.33487153053284</v>
      </c>
      <c r="L265" s="917">
        <v>1.31654036045074</v>
      </c>
      <c r="M265" s="917">
        <v>1.30223417282104</v>
      </c>
      <c r="N265" s="917">
        <v>1.30838906764984</v>
      </c>
      <c r="O265" s="917">
        <v>1.32146644592285</v>
      </c>
      <c r="P265" s="917">
        <v>1.3489345312118499</v>
      </c>
      <c r="Q265" s="917">
        <v>1.3524934053421001</v>
      </c>
      <c r="R265" s="917">
        <v>1.3570195436477701</v>
      </c>
      <c r="S265" s="917">
        <v>1.3626403808593801</v>
      </c>
      <c r="T265" s="917">
        <v>1.37119424343109</v>
      </c>
      <c r="U265" s="917">
        <v>1.3635557889938399</v>
      </c>
      <c r="V265" s="917">
        <v>1.3662919998168901</v>
      </c>
      <c r="W265" s="917">
        <v>1.37254309654236</v>
      </c>
      <c r="X265" s="917">
        <v>1.37609398365021</v>
      </c>
      <c r="Y265" s="917">
        <v>1.3784751892089799</v>
      </c>
      <c r="Z265" s="917">
        <v>1.3805129528045701</v>
      </c>
      <c r="AA265" s="310">
        <v>24.056577682495099</v>
      </c>
      <c r="AB265" s="310">
        <v>24.1739406585693</v>
      </c>
      <c r="AC265" s="310">
        <v>24.2586994171143</v>
      </c>
      <c r="AD265" s="310">
        <v>24.288969039916999</v>
      </c>
    </row>
    <row r="266" spans="1:70" ht="13" thickBot="1" x14ac:dyDescent="0.3">
      <c r="A266" s="915" t="s">
        <v>479</v>
      </c>
      <c r="B266" s="917">
        <v>18.400894165039102</v>
      </c>
      <c r="C266" s="917">
        <v>18.6226921081543</v>
      </c>
      <c r="D266" s="917">
        <v>20.334409713745099</v>
      </c>
      <c r="E266" s="917">
        <v>19.159486770629901</v>
      </c>
      <c r="F266" s="917">
        <v>16.828172683715799</v>
      </c>
      <c r="G266" s="917">
        <v>17.264308929443398</v>
      </c>
      <c r="H266" s="917">
        <v>17.156070709228501</v>
      </c>
      <c r="I266" s="917">
        <v>17.083604812622099</v>
      </c>
      <c r="J266" s="917">
        <v>17.1988334655762</v>
      </c>
      <c r="K266" s="917">
        <v>17.318143844604499</v>
      </c>
      <c r="L266" s="917">
        <v>17.615074157714801</v>
      </c>
      <c r="M266" s="917">
        <v>17.910154342651399</v>
      </c>
      <c r="N266" s="917">
        <v>18.210170745849599</v>
      </c>
      <c r="O266" s="917">
        <v>18.456880569458001</v>
      </c>
      <c r="P266" s="917">
        <v>18.803001403808601</v>
      </c>
      <c r="Q266" s="917">
        <v>19.085206985473601</v>
      </c>
      <c r="R266" s="917">
        <v>19.30615234375</v>
      </c>
      <c r="S266" s="917">
        <v>19.3043308258057</v>
      </c>
      <c r="T266" s="917">
        <v>19.3253479003906</v>
      </c>
      <c r="U266" s="917">
        <v>19.324813842773398</v>
      </c>
      <c r="V266" s="917">
        <v>19.354219436645501</v>
      </c>
      <c r="W266" s="917">
        <v>19.614883422851602</v>
      </c>
      <c r="X266" s="917">
        <v>19.97239112854</v>
      </c>
      <c r="Y266" s="917">
        <v>20.29469871521</v>
      </c>
      <c r="Z266" s="917">
        <v>20.560989379882798</v>
      </c>
      <c r="AA266" s="310">
        <v>21.3195495605469</v>
      </c>
      <c r="AB266" s="310">
        <v>21.43874168396</v>
      </c>
      <c r="AC266" s="310">
        <v>21.398374557495099</v>
      </c>
      <c r="AD266" s="310">
        <v>21.4992275238037</v>
      </c>
      <c r="AE266" s="293">
        <f>AD266+($AI$266-$AD$266)/5</f>
        <v>21.318281718011935</v>
      </c>
      <c r="AF266" s="293">
        <f>AE266+($AI$266-$AD$266)/5</f>
        <v>21.13733591222017</v>
      </c>
      <c r="AG266" s="293">
        <f>AF266+($AI$266-$AD$266)/5</f>
        <v>20.956390106428405</v>
      </c>
      <c r="AH266" s="293">
        <f>AG266+($AI$266-$AD$266)/5</f>
        <v>20.775444300636639</v>
      </c>
      <c r="AI266" s="294">
        <f>T436*$E$747</f>
        <v>20.594498494844878</v>
      </c>
      <c r="AJ266" s="293">
        <f>AI266+($AX$266-$AI$266)/15</f>
        <v>20.60819416894353</v>
      </c>
      <c r="AK266" s="293">
        <f t="shared" ref="AK266:AW266" si="11">AJ266+($AX$266-$AI$266)/15</f>
        <v>20.621889843042183</v>
      </c>
      <c r="AL266" s="293">
        <f t="shared" si="11"/>
        <v>20.635585517140836</v>
      </c>
      <c r="AM266" s="293">
        <f t="shared" si="11"/>
        <v>20.649281191239488</v>
      </c>
      <c r="AN266" s="293">
        <f t="shared" si="11"/>
        <v>20.662976865338141</v>
      </c>
      <c r="AO266" s="293">
        <f t="shared" si="11"/>
        <v>20.676672539436794</v>
      </c>
      <c r="AP266" s="293">
        <f t="shared" si="11"/>
        <v>20.690368213535447</v>
      </c>
      <c r="AQ266" s="293">
        <f t="shared" si="11"/>
        <v>20.704063887634099</v>
      </c>
      <c r="AR266" s="293">
        <f t="shared" si="11"/>
        <v>20.717759561732752</v>
      </c>
      <c r="AS266" s="293">
        <f t="shared" si="11"/>
        <v>20.731455235831405</v>
      </c>
      <c r="AT266" s="293">
        <f t="shared" si="11"/>
        <v>20.745150909930057</v>
      </c>
      <c r="AU266" s="293">
        <f t="shared" si="11"/>
        <v>20.75884658402871</v>
      </c>
      <c r="AV266" s="293">
        <f t="shared" si="11"/>
        <v>20.772542258127363</v>
      </c>
      <c r="AW266" s="293">
        <f t="shared" si="11"/>
        <v>20.786237932226015</v>
      </c>
      <c r="AX266" s="294">
        <f>AI266*$B$747</f>
        <v>20.799933606324664</v>
      </c>
      <c r="AY266" s="293">
        <f>AX266+($BM$266-$AX$266)/15</f>
        <v>20.807002050879195</v>
      </c>
      <c r="AZ266" s="293">
        <f t="shared" ref="AZ266:BL266" si="12">AY266+($BM$266-$AX$266)/15</f>
        <v>20.814070495433725</v>
      </c>
      <c r="BA266" s="293">
        <f t="shared" si="12"/>
        <v>20.821138939988256</v>
      </c>
      <c r="BB266" s="293">
        <f t="shared" si="12"/>
        <v>20.828207384542786</v>
      </c>
      <c r="BC266" s="293">
        <f t="shared" si="12"/>
        <v>20.835275829097316</v>
      </c>
      <c r="BD266" s="293">
        <f t="shared" si="12"/>
        <v>20.842344273651847</v>
      </c>
      <c r="BE266" s="293">
        <f t="shared" si="12"/>
        <v>20.849412718206377</v>
      </c>
      <c r="BF266" s="293">
        <f t="shared" si="12"/>
        <v>20.856481162760907</v>
      </c>
      <c r="BG266" s="293">
        <f t="shared" si="12"/>
        <v>20.863549607315438</v>
      </c>
      <c r="BH266" s="293">
        <f t="shared" si="12"/>
        <v>20.870618051869968</v>
      </c>
      <c r="BI266" s="293">
        <f t="shared" si="12"/>
        <v>20.877686496424499</v>
      </c>
      <c r="BJ266" s="293">
        <f t="shared" si="12"/>
        <v>20.884754940979029</v>
      </c>
      <c r="BK266" s="293">
        <f t="shared" si="12"/>
        <v>20.891823385533559</v>
      </c>
      <c r="BL266" s="293">
        <f t="shared" si="12"/>
        <v>20.89889183008809</v>
      </c>
      <c r="BM266" s="294">
        <f>AX266*$C$747</f>
        <v>20.905960274642634</v>
      </c>
      <c r="BN266" s="293">
        <f>BM266+($BR$266-$BM$266)/5</f>
        <v>20.913064750255749</v>
      </c>
      <c r="BO266" s="293">
        <f>BN266+($BR$266-$BM$266)/5</f>
        <v>20.920169225868865</v>
      </c>
      <c r="BP266" s="293">
        <f>BO266+($BR$266-$BM$266)/5</f>
        <v>20.92727370148198</v>
      </c>
      <c r="BQ266" s="293">
        <f>BP266+($BR$266-$BM$266)/5</f>
        <v>20.934378177095095</v>
      </c>
      <c r="BR266" s="294">
        <f>BM266*$D$747</f>
        <v>20.94148265270821</v>
      </c>
    </row>
    <row r="267" spans="1:70" ht="13" thickBot="1" x14ac:dyDescent="0.3">
      <c r="AA267" s="310">
        <v>17.292875289916999</v>
      </c>
      <c r="AB267" s="310">
        <v>17.531343460083001</v>
      </c>
      <c r="AC267" s="310">
        <v>17.526832580566399</v>
      </c>
      <c r="AD267" s="310">
        <v>17.756109237670898</v>
      </c>
      <c r="AE267" s="291">
        <f>AD267+($AI$267-$AD$267)/5</f>
        <v>18.740759573600641</v>
      </c>
      <c r="AF267" s="291">
        <f>AE267+($AI$267-$AD$267)/5</f>
        <v>19.725409909530384</v>
      </c>
      <c r="AG267" s="291">
        <f>AF267+($AI$267-$AD$267)/5</f>
        <v>20.710060245460127</v>
      </c>
      <c r="AH267" s="291">
        <f>AG267+($AI$267-$AD$267)/5</f>
        <v>21.69471058138987</v>
      </c>
      <c r="AI267" s="292">
        <f>T437*$E$744</f>
        <v>22.67936091731961</v>
      </c>
      <c r="AJ267" s="291">
        <f>AI267+($AX$267-$AI$267)/15</f>
        <v>22.91940642537169</v>
      </c>
      <c r="AK267" s="291">
        <f t="shared" ref="AK267:AW267" si="13">AJ267+($AX$267-$AI$267)/15</f>
        <v>23.159451933423771</v>
      </c>
      <c r="AL267" s="291">
        <f t="shared" si="13"/>
        <v>23.399497441475852</v>
      </c>
      <c r="AM267" s="291">
        <f t="shared" si="13"/>
        <v>23.639542949527932</v>
      </c>
      <c r="AN267" s="291">
        <f t="shared" si="13"/>
        <v>23.879588457580013</v>
      </c>
      <c r="AO267" s="291">
        <f t="shared" si="13"/>
        <v>24.119633965632094</v>
      </c>
      <c r="AP267" s="291">
        <f t="shared" si="13"/>
        <v>24.359679473684174</v>
      </c>
      <c r="AQ267" s="291">
        <f t="shared" si="13"/>
        <v>24.599724981736255</v>
      </c>
      <c r="AR267" s="291">
        <f t="shared" si="13"/>
        <v>24.839770489788336</v>
      </c>
      <c r="AS267" s="291">
        <f t="shared" si="13"/>
        <v>25.079815997840416</v>
      </c>
      <c r="AT267" s="291">
        <f t="shared" si="13"/>
        <v>25.319861505892497</v>
      </c>
      <c r="AU267" s="291">
        <f t="shared" si="13"/>
        <v>25.559907013944578</v>
      </c>
      <c r="AV267" s="291">
        <f t="shared" si="13"/>
        <v>25.799952521996659</v>
      </c>
      <c r="AW267" s="291">
        <f t="shared" si="13"/>
        <v>26.039998030048739</v>
      </c>
      <c r="AX267" s="292">
        <f>AI267*$B$744</f>
        <v>26.28004353810082</v>
      </c>
      <c r="AY267" s="291">
        <f>AX267+($BM$267-$AX$267)/15</f>
        <v>26.429681543018035</v>
      </c>
      <c r="AZ267" s="291">
        <f t="shared" ref="AZ267:BL267" si="14">AY267+($BM$267-$AX$267)/15</f>
        <v>26.579319547935249</v>
      </c>
      <c r="BA267" s="291">
        <f t="shared" si="14"/>
        <v>26.728957552852464</v>
      </c>
      <c r="BB267" s="291">
        <f t="shared" si="14"/>
        <v>26.878595557769678</v>
      </c>
      <c r="BC267" s="291">
        <f t="shared" si="14"/>
        <v>27.028233562686893</v>
      </c>
      <c r="BD267" s="291">
        <f t="shared" si="14"/>
        <v>27.177871567604107</v>
      </c>
      <c r="BE267" s="291">
        <f t="shared" si="14"/>
        <v>27.327509572521322</v>
      </c>
      <c r="BF267" s="291">
        <f t="shared" si="14"/>
        <v>27.477147577438537</v>
      </c>
      <c r="BG267" s="291">
        <f t="shared" si="14"/>
        <v>27.626785582355751</v>
      </c>
      <c r="BH267" s="291">
        <f t="shared" si="14"/>
        <v>27.776423587272966</v>
      </c>
      <c r="BI267" s="291">
        <f t="shared" si="14"/>
        <v>27.92606159219018</v>
      </c>
      <c r="BJ267" s="291">
        <f t="shared" si="14"/>
        <v>28.075699597107395</v>
      </c>
      <c r="BK267" s="291">
        <f t="shared" si="14"/>
        <v>28.225337602024609</v>
      </c>
      <c r="BL267" s="291">
        <f t="shared" si="14"/>
        <v>28.374975606941824</v>
      </c>
      <c r="BM267" s="292">
        <f>AX267*$C$744</f>
        <v>28.524613611859053</v>
      </c>
      <c r="BN267" s="291">
        <f>BM267+($BR$267-$BM$267)/5</f>
        <v>28.687032150691561</v>
      </c>
      <c r="BO267" s="291">
        <f>BN267+($BR$267-$BM$267)/5</f>
        <v>28.849450689524069</v>
      </c>
      <c r="BP267" s="291">
        <f>BO267+($BR$267-$BM$267)/5</f>
        <v>29.011869228356577</v>
      </c>
      <c r="BQ267" s="291">
        <f>BP267+($BR$267-$BM$267)/5</f>
        <v>29.174287767189085</v>
      </c>
      <c r="BR267" s="292">
        <f>BM267*$D$744</f>
        <v>29.336706306021593</v>
      </c>
    </row>
    <row r="268" spans="1:70" ht="13" thickBot="1" x14ac:dyDescent="0.3">
      <c r="A268" s="915" t="s">
        <v>487</v>
      </c>
      <c r="AA268" s="310">
        <v>11.227470397949199</v>
      </c>
      <c r="AB268" s="310">
        <v>11.517865180969199</v>
      </c>
      <c r="AC268" s="310">
        <v>11.5089683532715</v>
      </c>
      <c r="AD268" s="310">
        <v>11.7493782043457</v>
      </c>
    </row>
    <row r="269" spans="1:70" ht="13" thickBot="1" x14ac:dyDescent="0.3">
      <c r="A269" s="915" t="s">
        <v>617</v>
      </c>
      <c r="B269" s="917">
        <v>22.296371459960898</v>
      </c>
      <c r="C269" s="917">
        <v>25.0072345733643</v>
      </c>
      <c r="D269" s="917">
        <v>28.759458541870099</v>
      </c>
      <c r="E269" s="917">
        <v>21.685003280639599</v>
      </c>
      <c r="F269" s="917">
        <v>20.534326553344702</v>
      </c>
      <c r="G269" s="917">
        <v>22.796831130981399</v>
      </c>
      <c r="H269" s="917">
        <v>24.8035278320313</v>
      </c>
      <c r="I269" s="917">
        <v>26.570152282714801</v>
      </c>
      <c r="J269" s="917">
        <v>28.076972961425799</v>
      </c>
      <c r="K269" s="917">
        <v>29.693559646606399</v>
      </c>
      <c r="L269" s="917">
        <v>30.7330017089844</v>
      </c>
      <c r="M269" s="917">
        <v>31.595745086669901</v>
      </c>
      <c r="N269" s="917">
        <v>32.463813781738303</v>
      </c>
      <c r="O269" s="917">
        <v>32.853603363037102</v>
      </c>
      <c r="P269" s="917">
        <v>33.095050811767599</v>
      </c>
      <c r="Q269" s="917">
        <v>33.3141899108887</v>
      </c>
      <c r="R269" s="917">
        <v>33.425758361816399</v>
      </c>
      <c r="S269" s="917">
        <v>33.752655029296903</v>
      </c>
      <c r="T269" s="917">
        <v>33.878787994384801</v>
      </c>
      <c r="U269" s="917">
        <v>33.426109313964801</v>
      </c>
      <c r="V269" s="917">
        <v>33.692680358886697</v>
      </c>
      <c r="W269" s="917">
        <v>33.960933685302699</v>
      </c>
      <c r="X269" s="917">
        <v>34.291332244872997</v>
      </c>
      <c r="Y269" s="917">
        <v>34.467491149902301</v>
      </c>
      <c r="Z269" s="917">
        <v>34.819602966308601</v>
      </c>
      <c r="AA269" s="310">
        <v>16.025825500488299</v>
      </c>
      <c r="AB269" s="310">
        <v>16.333782196044901</v>
      </c>
      <c r="AC269" s="310">
        <v>16.2625331878662</v>
      </c>
      <c r="AD269" s="310">
        <v>16.470952987670898</v>
      </c>
      <c r="AE269" s="291">
        <f>AD269+($AI$269-$AD$269)/5</f>
        <v>17.380928094850553</v>
      </c>
      <c r="AF269" s="291">
        <f>AE269+($AI$269-$AD$269)/5</f>
        <v>18.290903202030208</v>
      </c>
      <c r="AG269" s="291">
        <f>AF269+($AI$269-$AD$269)/5</f>
        <v>19.200878309209862</v>
      </c>
      <c r="AH269" s="291">
        <f>AG269+($AI$269-$AD$269)/5</f>
        <v>20.110853416389517</v>
      </c>
      <c r="AI269" s="292">
        <f>T439*$E$744</f>
        <v>21.020828523569172</v>
      </c>
      <c r="AJ269" s="291">
        <f>AI269+($AX$269-$AI$269)/15</f>
        <v>21.243319601735415</v>
      </c>
      <c r="AK269" s="291">
        <f t="shared" ref="AK269:AW269" si="15">AJ269+($AX$269-$AI$269)/15</f>
        <v>21.465810679901658</v>
      </c>
      <c r="AL269" s="291">
        <f t="shared" si="15"/>
        <v>21.688301758067901</v>
      </c>
      <c r="AM269" s="291">
        <f t="shared" si="15"/>
        <v>21.910792836234144</v>
      </c>
      <c r="AN269" s="291">
        <f t="shared" si="15"/>
        <v>22.133283914400387</v>
      </c>
      <c r="AO269" s="291">
        <f t="shared" si="15"/>
        <v>22.35577499256663</v>
      </c>
      <c r="AP269" s="291">
        <f t="shared" si="15"/>
        <v>22.578266070732873</v>
      </c>
      <c r="AQ269" s="291">
        <f t="shared" si="15"/>
        <v>22.800757148899116</v>
      </c>
      <c r="AR269" s="291">
        <f t="shared" si="15"/>
        <v>23.023248227065359</v>
      </c>
      <c r="AS269" s="291">
        <f t="shared" si="15"/>
        <v>23.245739305231602</v>
      </c>
      <c r="AT269" s="291">
        <f t="shared" si="15"/>
        <v>23.468230383397845</v>
      </c>
      <c r="AU269" s="291">
        <f t="shared" si="15"/>
        <v>23.690721461564088</v>
      </c>
      <c r="AV269" s="291">
        <f t="shared" si="15"/>
        <v>23.913212539730331</v>
      </c>
      <c r="AW269" s="291">
        <f t="shared" si="15"/>
        <v>24.135703617896574</v>
      </c>
      <c r="AX269" s="292">
        <f>AI269*$B$744</f>
        <v>24.358194696062842</v>
      </c>
      <c r="AY269" s="291">
        <f>AX269+($BM$269-$AX$269)/15</f>
        <v>24.496889734844629</v>
      </c>
      <c r="AZ269" s="291">
        <f t="shared" ref="AZ269:BL269" si="16">AY269+($BM$269-$AX$269)/15</f>
        <v>24.635584773626416</v>
      </c>
      <c r="BA269" s="291">
        <f t="shared" si="16"/>
        <v>24.774279812408203</v>
      </c>
      <c r="BB269" s="291">
        <f t="shared" si="16"/>
        <v>24.91297485118999</v>
      </c>
      <c r="BC269" s="291">
        <f t="shared" si="16"/>
        <v>25.051669889971777</v>
      </c>
      <c r="BD269" s="291">
        <f t="shared" si="16"/>
        <v>25.190364928753564</v>
      </c>
      <c r="BE269" s="291">
        <f t="shared" si="16"/>
        <v>25.32905996753535</v>
      </c>
      <c r="BF269" s="291">
        <f t="shared" si="16"/>
        <v>25.467755006317137</v>
      </c>
      <c r="BG269" s="291">
        <f t="shared" si="16"/>
        <v>25.606450045098924</v>
      </c>
      <c r="BH269" s="291">
        <f t="shared" si="16"/>
        <v>25.745145083880711</v>
      </c>
      <c r="BI269" s="291">
        <f t="shared" si="16"/>
        <v>25.883840122662498</v>
      </c>
      <c r="BJ269" s="291">
        <f t="shared" si="16"/>
        <v>26.022535161444285</v>
      </c>
      <c r="BK269" s="291">
        <f t="shared" si="16"/>
        <v>26.161230200226072</v>
      </c>
      <c r="BL269" s="291">
        <f t="shared" si="16"/>
        <v>26.299925239007859</v>
      </c>
      <c r="BM269" s="292">
        <f>AX269*$C$744</f>
        <v>26.438620277789649</v>
      </c>
      <c r="BN269" s="291">
        <f>BM269+($BR$269-$BM$269)/5</f>
        <v>26.589161215265516</v>
      </c>
      <c r="BO269" s="291">
        <f>BN269+($BR$269-$BM$269)/5</f>
        <v>26.739702152741383</v>
      </c>
      <c r="BP269" s="291">
        <f>BO269+($BR$269-$BM$269)/5</f>
        <v>26.89024309021725</v>
      </c>
      <c r="BQ269" s="291">
        <f>BP269+($BR$269-$BM$269)/5</f>
        <v>27.040784027693118</v>
      </c>
      <c r="BR269" s="292">
        <f>BM269*$D$744</f>
        <v>27.191324965168981</v>
      </c>
    </row>
    <row r="270" spans="1:70" x14ac:dyDescent="0.25">
      <c r="A270" s="915" t="s">
        <v>618</v>
      </c>
      <c r="B270" s="917">
        <v>25.5142211914063</v>
      </c>
      <c r="C270" s="917">
        <v>26.818180084228501</v>
      </c>
      <c r="D270" s="917">
        <v>34.073703765869098</v>
      </c>
      <c r="E270" s="917">
        <v>20.3962516784668</v>
      </c>
      <c r="F270" s="917">
        <v>18.869060516357401</v>
      </c>
      <c r="G270" s="917">
        <v>22.499189376831101</v>
      </c>
      <c r="H270" s="917">
        <v>24.345371246337901</v>
      </c>
      <c r="I270" s="917">
        <v>25.8835773468018</v>
      </c>
      <c r="J270" s="917">
        <v>27.376197814941399</v>
      </c>
      <c r="K270" s="917">
        <v>25.5507621765137</v>
      </c>
      <c r="L270" s="917">
        <v>26.3307495117188</v>
      </c>
      <c r="M270" s="917">
        <v>27.042121887206999</v>
      </c>
      <c r="N270" s="917">
        <v>27.074653625488299</v>
      </c>
      <c r="O270" s="917">
        <v>28.861484527587901</v>
      </c>
      <c r="P270" s="917">
        <v>29.593324661254901</v>
      </c>
      <c r="Q270" s="917">
        <v>29.691083908081101</v>
      </c>
      <c r="R270" s="917">
        <v>29.8394565582275</v>
      </c>
      <c r="S270" s="917">
        <v>30.056737899780298</v>
      </c>
      <c r="T270" s="917">
        <v>30.123649597168001</v>
      </c>
      <c r="U270" s="917">
        <v>30.045396804809599</v>
      </c>
      <c r="V270" s="917">
        <v>30.335887908935501</v>
      </c>
      <c r="W270" s="917">
        <v>30.1821899414063</v>
      </c>
      <c r="X270" s="917">
        <v>30.567377090454102</v>
      </c>
      <c r="Y270" s="917">
        <v>31.227724075317401</v>
      </c>
      <c r="Z270" s="917">
        <v>30.935503005981399</v>
      </c>
      <c r="AA270" s="310">
        <v>8.1832656860351598</v>
      </c>
      <c r="AB270" s="310">
        <v>8.1197490692138707</v>
      </c>
      <c r="AC270" s="310">
        <v>8.3803300857543892</v>
      </c>
      <c r="AD270" s="310">
        <v>8.2735004425048793</v>
      </c>
    </row>
    <row r="271" spans="1:70" x14ac:dyDescent="0.25">
      <c r="A271" s="915" t="s">
        <v>619</v>
      </c>
      <c r="B271" s="917">
        <v>21.784559249877901</v>
      </c>
      <c r="C271" s="917">
        <v>22.982162475585898</v>
      </c>
      <c r="D271" s="917">
        <v>26.1744689941406</v>
      </c>
      <c r="E271" s="917">
        <v>15.6736001968384</v>
      </c>
      <c r="F271" s="917">
        <v>17.7131462097168</v>
      </c>
      <c r="G271" s="917">
        <v>20.6617527008057</v>
      </c>
      <c r="H271" s="917">
        <v>22.301433563232401</v>
      </c>
      <c r="I271" s="917">
        <v>23.517950057983398</v>
      </c>
      <c r="J271" s="917">
        <v>24.816135406494102</v>
      </c>
      <c r="K271" s="917">
        <v>26.137458801269499</v>
      </c>
      <c r="L271" s="917">
        <v>27.061580657958999</v>
      </c>
      <c r="M271" s="917">
        <v>27.993299484252901</v>
      </c>
      <c r="N271" s="917">
        <v>28.802474975585898</v>
      </c>
      <c r="O271" s="917">
        <v>29.411088943481399</v>
      </c>
      <c r="P271" s="917">
        <v>29.938217163085898</v>
      </c>
      <c r="Q271" s="917">
        <v>30.057752609252901</v>
      </c>
      <c r="R271" s="917">
        <v>30.3159790039063</v>
      </c>
      <c r="S271" s="917">
        <v>30.494945526123001</v>
      </c>
      <c r="T271" s="917">
        <v>30.528341293335</v>
      </c>
      <c r="U271" s="917">
        <v>30.4458103179932</v>
      </c>
      <c r="V271" s="917">
        <v>30.726751327514599</v>
      </c>
      <c r="W271" s="917">
        <v>30.704950332641602</v>
      </c>
      <c r="X271" s="917">
        <v>31.110511779785199</v>
      </c>
      <c r="Y271" s="917">
        <v>31.9617519378662</v>
      </c>
      <c r="Z271" s="917">
        <v>31.583656311035199</v>
      </c>
      <c r="AA271" s="310">
        <v>13.240598678588899</v>
      </c>
      <c r="AB271" s="310">
        <v>13.359972000122101</v>
      </c>
      <c r="AC271" s="310">
        <v>13.395259857177701</v>
      </c>
      <c r="AD271" s="310">
        <v>13.453570365905801</v>
      </c>
    </row>
    <row r="272" spans="1:70" x14ac:dyDescent="0.25">
      <c r="A272" s="915" t="s">
        <v>620</v>
      </c>
      <c r="B272" s="917">
        <v>15.2446508407593</v>
      </c>
      <c r="C272" s="917">
        <v>16.0964660644531</v>
      </c>
      <c r="D272" s="917">
        <v>22.1856594085693</v>
      </c>
      <c r="E272" s="917">
        <v>10.540905952453601</v>
      </c>
      <c r="F272" s="917">
        <v>10.4131317138672</v>
      </c>
      <c r="G272" s="917">
        <v>12.992267608642599</v>
      </c>
      <c r="H272" s="917">
        <v>14.8510446548462</v>
      </c>
      <c r="I272" s="917">
        <v>16.4927158355713</v>
      </c>
      <c r="J272" s="917">
        <v>17.888269424438501</v>
      </c>
      <c r="K272" s="917">
        <v>19.120731353759801</v>
      </c>
      <c r="L272" s="917">
        <v>20.025011062622099</v>
      </c>
      <c r="M272" s="917">
        <v>20.925888061523398</v>
      </c>
      <c r="N272" s="917">
        <v>21.650459289550799</v>
      </c>
      <c r="O272" s="917">
        <v>22.054113388061499</v>
      </c>
      <c r="P272" s="917">
        <v>22.358533859252901</v>
      </c>
      <c r="Q272" s="917">
        <v>22.535087585449201</v>
      </c>
      <c r="R272" s="917">
        <v>22.624557495117202</v>
      </c>
      <c r="S272" s="917">
        <v>22.875423431396499</v>
      </c>
      <c r="T272" s="917">
        <v>23.088819503784201</v>
      </c>
      <c r="U272" s="917">
        <v>22.878332138061499</v>
      </c>
      <c r="V272" s="917">
        <v>23.229129791259801</v>
      </c>
      <c r="W272" s="917">
        <v>23.440977096557599</v>
      </c>
      <c r="X272" s="917">
        <v>23.911849975585898</v>
      </c>
      <c r="Y272" s="917">
        <v>24.3618278503418</v>
      </c>
      <c r="Z272" s="917">
        <v>24.669164657592798</v>
      </c>
      <c r="AA272" s="310">
        <v>24.345100402831999</v>
      </c>
      <c r="AB272" s="310">
        <v>24.401657104492202</v>
      </c>
      <c r="AC272" s="310">
        <v>24.482112884521499</v>
      </c>
      <c r="AD272" s="310">
        <v>24.4609375</v>
      </c>
    </row>
    <row r="273" spans="1:70" x14ac:dyDescent="0.25">
      <c r="A273" s="915" t="s">
        <v>724</v>
      </c>
      <c r="B273" s="917">
        <v>20.2724208831787</v>
      </c>
      <c r="C273" s="917">
        <v>20.921422958373999</v>
      </c>
      <c r="D273" s="917">
        <v>27.066003799438501</v>
      </c>
      <c r="E273" s="917">
        <v>15.379162788391101</v>
      </c>
      <c r="F273" s="917">
        <v>14.6322994232178</v>
      </c>
      <c r="G273" s="917">
        <v>17.082887649536101</v>
      </c>
      <c r="H273" s="917">
        <v>18.906814575195298</v>
      </c>
      <c r="I273" s="917">
        <v>21.012025833129901</v>
      </c>
      <c r="J273" s="917">
        <v>22.391767501831101</v>
      </c>
      <c r="K273" s="917">
        <v>23.401908874511701</v>
      </c>
      <c r="L273" s="917">
        <v>24.249780654907202</v>
      </c>
      <c r="M273" s="917">
        <v>25.151100158691399</v>
      </c>
      <c r="N273" s="917">
        <v>25.830009460449201</v>
      </c>
      <c r="O273" s="917">
        <v>26.267305374145501</v>
      </c>
      <c r="P273" s="917">
        <v>26.5901203155518</v>
      </c>
      <c r="Q273" s="917">
        <v>26.487575531005898</v>
      </c>
      <c r="R273" s="917">
        <v>26.7318305969238</v>
      </c>
      <c r="S273" s="917">
        <v>26.979133605956999</v>
      </c>
      <c r="T273" s="917">
        <v>27.001283645629901</v>
      </c>
      <c r="U273" s="917">
        <v>26.997362136840799</v>
      </c>
      <c r="V273" s="917">
        <v>27.317785263061499</v>
      </c>
      <c r="W273" s="917">
        <v>27.182266235351602</v>
      </c>
      <c r="X273" s="917">
        <v>27.638069152831999</v>
      </c>
      <c r="Y273" s="917">
        <v>28.388862609863299</v>
      </c>
      <c r="Z273" s="917">
        <v>28.337171554565401</v>
      </c>
      <c r="AA273" s="310"/>
      <c r="AB273" s="310"/>
      <c r="AC273" s="310"/>
      <c r="AD273" s="310"/>
    </row>
    <row r="274" spans="1:70" x14ac:dyDescent="0.25">
      <c r="A274" s="915" t="s">
        <v>611</v>
      </c>
      <c r="B274" s="917">
        <v>8.20648097991943</v>
      </c>
      <c r="C274" s="917">
        <v>9.4357099533081108</v>
      </c>
      <c r="D274" s="917">
        <v>14.2847747802734</v>
      </c>
      <c r="E274" s="917">
        <v>6.3925981521606401</v>
      </c>
      <c r="F274" s="917">
        <v>6.5852246284484899</v>
      </c>
      <c r="G274" s="917">
        <v>8.6673641204834002</v>
      </c>
      <c r="H274" s="917">
        <v>10.3328533172607</v>
      </c>
      <c r="I274" s="917">
        <v>11.815202713012701</v>
      </c>
      <c r="J274" s="917">
        <v>13.023598670959499</v>
      </c>
      <c r="K274" s="917">
        <v>14.4141092300415</v>
      </c>
      <c r="L274" s="917">
        <v>15.219378471374499</v>
      </c>
      <c r="M274" s="917">
        <v>15.915946006774901</v>
      </c>
      <c r="N274" s="917">
        <v>16.592523574829102</v>
      </c>
      <c r="O274" s="917">
        <v>16.9536838531494</v>
      </c>
      <c r="P274" s="917">
        <v>17.162534713745099</v>
      </c>
      <c r="Q274" s="917">
        <v>17.429744720458999</v>
      </c>
      <c r="R274" s="917">
        <v>17.456914901733398</v>
      </c>
      <c r="S274" s="917">
        <v>17.5628662109375</v>
      </c>
      <c r="T274" s="917">
        <v>17.630765914916999</v>
      </c>
      <c r="U274" s="917">
        <v>17.410764694213899</v>
      </c>
      <c r="V274" s="917">
        <v>17.6028347015381</v>
      </c>
      <c r="W274" s="917">
        <v>17.926630020141602</v>
      </c>
      <c r="X274" s="917">
        <v>18.257143020629901</v>
      </c>
      <c r="Y274" s="917">
        <v>18.451654434204102</v>
      </c>
      <c r="Z274" s="917">
        <v>18.835027694702099</v>
      </c>
      <c r="AA274" s="310">
        <v>10.4858131408691</v>
      </c>
      <c r="AB274" s="310">
        <v>10.572740554809601</v>
      </c>
      <c r="AC274" s="310">
        <v>10.740042686462401</v>
      </c>
      <c r="AD274" s="310">
        <v>10.786236763000501</v>
      </c>
    </row>
    <row r="275" spans="1:70" ht="13" thickBot="1" x14ac:dyDescent="0.3">
      <c r="A275" s="915" t="s">
        <v>622</v>
      </c>
      <c r="B275" s="917">
        <v>15.5415086746216</v>
      </c>
      <c r="C275" s="917">
        <v>15.4958410263062</v>
      </c>
      <c r="D275" s="917">
        <v>16.8896675109863</v>
      </c>
      <c r="E275" s="917">
        <v>12.7877197265625</v>
      </c>
      <c r="F275" s="917">
        <v>13.502610206604</v>
      </c>
      <c r="G275" s="917">
        <v>13.8291311264038</v>
      </c>
      <c r="H275" s="917">
        <v>13.8390712738037</v>
      </c>
      <c r="I275" s="917">
        <v>13.843875885009799</v>
      </c>
      <c r="J275" s="917">
        <v>13.934069633483899</v>
      </c>
      <c r="K275" s="917">
        <v>14.0993509292603</v>
      </c>
      <c r="L275" s="917">
        <v>14.229956626892101</v>
      </c>
      <c r="M275" s="917">
        <v>14.3684740066528</v>
      </c>
      <c r="N275" s="917">
        <v>14.5119123458862</v>
      </c>
      <c r="O275" s="917">
        <v>14.701403617858899</v>
      </c>
      <c r="P275" s="917">
        <v>14.9462375640869</v>
      </c>
      <c r="Q275" s="917">
        <v>15.0934410095215</v>
      </c>
      <c r="R275" s="917">
        <v>15.092455863952599</v>
      </c>
      <c r="S275" s="917">
        <v>14.8220539093018</v>
      </c>
      <c r="T275" s="917">
        <v>14.7596139907837</v>
      </c>
      <c r="U275" s="917">
        <v>14.661186218261699</v>
      </c>
      <c r="V275" s="917">
        <v>14.786495208740201</v>
      </c>
      <c r="W275" s="917">
        <v>15.012266159057599</v>
      </c>
      <c r="X275" s="917">
        <v>15.2852840423584</v>
      </c>
      <c r="Y275" s="917">
        <v>15.4684591293335</v>
      </c>
      <c r="Z275" s="917">
        <v>15.6974124908447</v>
      </c>
      <c r="AA275" s="310">
        <v>6.7344188690185502</v>
      </c>
      <c r="AB275" s="310">
        <v>6.7479009628295898</v>
      </c>
      <c r="AC275" s="310">
        <v>6.8497943878173801</v>
      </c>
      <c r="AD275" s="310">
        <v>6.84698486328125</v>
      </c>
    </row>
    <row r="276" spans="1:70" ht="13" thickBot="1" x14ac:dyDescent="0.3">
      <c r="A276" s="915" t="s">
        <v>479</v>
      </c>
      <c r="B276" s="917">
        <v>30.349004745483398</v>
      </c>
      <c r="C276" s="917">
        <v>30.777971267700199</v>
      </c>
      <c r="D276" s="917">
        <v>33.734138488769503</v>
      </c>
      <c r="E276" s="917">
        <v>31.501590728759801</v>
      </c>
      <c r="F276" s="917">
        <v>27.327030181884801</v>
      </c>
      <c r="G276" s="917">
        <v>28.561843872070298</v>
      </c>
      <c r="H276" s="917">
        <v>28.965305328369102</v>
      </c>
      <c r="I276" s="917">
        <v>28.9159030914307</v>
      </c>
      <c r="J276" s="917">
        <v>28.7644939422607</v>
      </c>
      <c r="K276" s="917">
        <v>28.526710510253899</v>
      </c>
      <c r="L276" s="917">
        <v>28.644361495971701</v>
      </c>
      <c r="M276" s="917">
        <v>28.6527919769287</v>
      </c>
      <c r="N276" s="917">
        <v>28.819505691528299</v>
      </c>
      <c r="O276" s="917">
        <v>28.888120651245099</v>
      </c>
      <c r="P276" s="917">
        <v>29.142557144165</v>
      </c>
      <c r="Q276" s="917">
        <v>29.470201492309599</v>
      </c>
      <c r="R276" s="917">
        <v>29.764074325561499</v>
      </c>
      <c r="S276" s="917">
        <v>29.801677703857401</v>
      </c>
      <c r="T276" s="917">
        <v>29.921939849853501</v>
      </c>
      <c r="U276" s="917">
        <v>30.035243988037099</v>
      </c>
      <c r="V276" s="917">
        <v>30.304817199706999</v>
      </c>
      <c r="W276" s="917">
        <v>30.8045558929443</v>
      </c>
      <c r="X276" s="917">
        <v>31.450147628784201</v>
      </c>
      <c r="Y276" s="917">
        <v>31.910936355590799</v>
      </c>
      <c r="Z276" s="917">
        <v>32.484222412109403</v>
      </c>
      <c r="AA276" s="310">
        <v>6.1479806900024396</v>
      </c>
      <c r="AB276" s="310">
        <v>6.2516684532165501</v>
      </c>
      <c r="AC276" s="310">
        <v>6.3134694099426296</v>
      </c>
      <c r="AD276" s="310">
        <v>6.3304243087768599</v>
      </c>
      <c r="AE276" s="287">
        <f>AD276+($AI$276-$AD$276)/5</f>
        <v>6.3370805697154289</v>
      </c>
      <c r="AF276" s="287">
        <f>AE276+($AI$276-$AD$276)/5</f>
        <v>6.3437368306539978</v>
      </c>
      <c r="AG276" s="287">
        <f>AF276+($AI$276-$AD$276)/5</f>
        <v>6.3503930915925668</v>
      </c>
      <c r="AH276" s="287">
        <f>AG276+($AI$276-$AD$276)/5</f>
        <v>6.3570493525311358</v>
      </c>
      <c r="AI276" s="288">
        <f>T446*$E$742</f>
        <v>6.363705613469703</v>
      </c>
      <c r="AJ276" s="287">
        <f>AI276+($AX$276-$AI$276)/15</f>
        <v>6.4357380850865695</v>
      </c>
      <c r="AK276" s="287">
        <f t="shared" ref="AK276:AW276" si="17">AJ276+($AX$276-$AI$276)/15</f>
        <v>6.5077705567034361</v>
      </c>
      <c r="AL276" s="287">
        <f t="shared" si="17"/>
        <v>6.5798030283203026</v>
      </c>
      <c r="AM276" s="287">
        <f t="shared" si="17"/>
        <v>6.6518354999371692</v>
      </c>
      <c r="AN276" s="287">
        <f t="shared" si="17"/>
        <v>6.7238679715540357</v>
      </c>
      <c r="AO276" s="287">
        <f t="shared" si="17"/>
        <v>6.7959004431709022</v>
      </c>
      <c r="AP276" s="287">
        <f t="shared" si="17"/>
        <v>6.8679329147877688</v>
      </c>
      <c r="AQ276" s="287">
        <f t="shared" si="17"/>
        <v>6.9399653864046353</v>
      </c>
      <c r="AR276" s="287">
        <f t="shared" si="17"/>
        <v>7.0119978580215019</v>
      </c>
      <c r="AS276" s="287">
        <f t="shared" si="17"/>
        <v>7.0840303296383684</v>
      </c>
      <c r="AT276" s="287">
        <f t="shared" si="17"/>
        <v>7.156062801255235</v>
      </c>
      <c r="AU276" s="287">
        <f t="shared" si="17"/>
        <v>7.2280952728721015</v>
      </c>
      <c r="AV276" s="287">
        <f t="shared" si="17"/>
        <v>7.3001277444889681</v>
      </c>
      <c r="AW276" s="287">
        <f t="shared" si="17"/>
        <v>7.3721602161058346</v>
      </c>
      <c r="AX276" s="288">
        <f>AI276*$B$742</f>
        <v>7.4441926877227056</v>
      </c>
      <c r="AY276" s="287">
        <f>AX276+($BM$276-$AX$276)/15</f>
        <v>7.51790324705948</v>
      </c>
      <c r="AZ276" s="287">
        <f t="shared" ref="AZ276:BL276" si="18">AY276+($BM$276-$AX$276)/15</f>
        <v>7.5916138063962544</v>
      </c>
      <c r="BA276" s="287">
        <f t="shared" si="18"/>
        <v>7.6653243657330288</v>
      </c>
      <c r="BB276" s="287">
        <f t="shared" si="18"/>
        <v>7.7390349250698032</v>
      </c>
      <c r="BC276" s="287">
        <f t="shared" si="18"/>
        <v>7.8127454844065776</v>
      </c>
      <c r="BD276" s="287">
        <f t="shared" si="18"/>
        <v>7.886456043743352</v>
      </c>
      <c r="BE276" s="287">
        <f t="shared" si="18"/>
        <v>7.9601666030801264</v>
      </c>
      <c r="BF276" s="287">
        <f t="shared" si="18"/>
        <v>8.0338771624169016</v>
      </c>
      <c r="BG276" s="287">
        <f t="shared" si="18"/>
        <v>8.107587721753676</v>
      </c>
      <c r="BH276" s="287">
        <f t="shared" si="18"/>
        <v>8.1812982810904504</v>
      </c>
      <c r="BI276" s="287">
        <f t="shared" si="18"/>
        <v>8.2550088404272248</v>
      </c>
      <c r="BJ276" s="287">
        <f t="shared" si="18"/>
        <v>8.3287193997639992</v>
      </c>
      <c r="BK276" s="287">
        <f t="shared" si="18"/>
        <v>8.4024299591007736</v>
      </c>
      <c r="BL276" s="287">
        <f t="shared" si="18"/>
        <v>8.476140518437548</v>
      </c>
      <c r="BM276" s="288">
        <f>AX276*$C$742</f>
        <v>8.5498510777743242</v>
      </c>
      <c r="BN276" s="287">
        <f>BM276+($BR$276-$BM$276)/5</f>
        <v>8.6345095936975138</v>
      </c>
      <c r="BO276" s="287">
        <f>BN276+($BR$276-$BM$276)/5</f>
        <v>8.7191681096207034</v>
      </c>
      <c r="BP276" s="287">
        <f>BO276+($BR$276-$BM$276)/5</f>
        <v>8.8038266255438931</v>
      </c>
      <c r="BQ276" s="287">
        <f>BP276+($BR$276-$BM$276)/5</f>
        <v>8.8884851414670827</v>
      </c>
      <c r="BR276" s="288">
        <f>BM276*$D$742</f>
        <v>8.9731436573902759</v>
      </c>
    </row>
    <row r="277" spans="1:70" ht="13" thickBot="1" x14ac:dyDescent="0.3">
      <c r="AA277" s="310">
        <v>1.65011918544769</v>
      </c>
      <c r="AB277" s="310">
        <v>1.6656291484832799</v>
      </c>
      <c r="AC277" s="310">
        <v>1.67491066455841</v>
      </c>
      <c r="AD277" s="310">
        <v>1.68971908092499</v>
      </c>
      <c r="AE277" s="295">
        <f>AD277+($AI$277-$AD$277)/5</f>
        <v>1.6902380098146863</v>
      </c>
      <c r="AF277" s="295">
        <f>AE277+($AI$277-$AD$277)/5</f>
        <v>1.6907569387043826</v>
      </c>
      <c r="AG277" s="295">
        <f>AF277+($AI$277-$AD$277)/5</f>
        <v>1.6912758675940789</v>
      </c>
      <c r="AH277" s="295">
        <f>AG277+($AI$277-$AD$277)/5</f>
        <v>1.6917947964837752</v>
      </c>
      <c r="AI277" s="296">
        <f>T447*$E$740</f>
        <v>1.692313725373471</v>
      </c>
      <c r="AJ277" s="295">
        <f>AI277+($AX$277-$AI$277)/15</f>
        <v>1.6972753042285647</v>
      </c>
      <c r="AK277" s="295">
        <f t="shared" ref="AK277:AW277" si="19">AJ277+($AX$277-$AI$277)/15</f>
        <v>1.7022368830836583</v>
      </c>
      <c r="AL277" s="295">
        <f t="shared" si="19"/>
        <v>1.7071984619387519</v>
      </c>
      <c r="AM277" s="295">
        <f t="shared" si="19"/>
        <v>1.7121600407938455</v>
      </c>
      <c r="AN277" s="295">
        <f t="shared" si="19"/>
        <v>1.7171216196489392</v>
      </c>
      <c r="AO277" s="295">
        <f t="shared" si="19"/>
        <v>1.7220831985040328</v>
      </c>
      <c r="AP277" s="295">
        <f t="shared" si="19"/>
        <v>1.7270447773591264</v>
      </c>
      <c r="AQ277" s="295">
        <f t="shared" si="19"/>
        <v>1.7320063562142201</v>
      </c>
      <c r="AR277" s="295">
        <f t="shared" si="19"/>
        <v>1.7369679350693137</v>
      </c>
      <c r="AS277" s="295">
        <f t="shared" si="19"/>
        <v>1.7419295139244073</v>
      </c>
      <c r="AT277" s="295">
        <f t="shared" si="19"/>
        <v>1.7468910927795009</v>
      </c>
      <c r="AU277" s="295">
        <f t="shared" si="19"/>
        <v>1.7518526716345946</v>
      </c>
      <c r="AV277" s="295">
        <f t="shared" si="19"/>
        <v>1.7568142504896882</v>
      </c>
      <c r="AW277" s="295">
        <f t="shared" si="19"/>
        <v>1.7617758293447818</v>
      </c>
      <c r="AX277" s="296">
        <f>AI277*$B$740</f>
        <v>1.7667374081998766</v>
      </c>
      <c r="AY277" s="295">
        <f>AX277+($BM$277-$AX$277)/15</f>
        <v>1.7700881577207939</v>
      </c>
      <c r="AZ277" s="295">
        <f t="shared" ref="AZ277:BL277" si="20">AY277+($BM$277-$AX$277)/15</f>
        <v>1.7734389072417112</v>
      </c>
      <c r="BA277" s="295">
        <f t="shared" si="20"/>
        <v>1.7767896567626285</v>
      </c>
      <c r="BB277" s="295">
        <f t="shared" si="20"/>
        <v>1.7801404062835458</v>
      </c>
      <c r="BC277" s="295">
        <f t="shared" si="20"/>
        <v>1.783491155804463</v>
      </c>
      <c r="BD277" s="295">
        <f t="shared" si="20"/>
        <v>1.7868419053253803</v>
      </c>
      <c r="BE277" s="295">
        <f t="shared" si="20"/>
        <v>1.7901926548462976</v>
      </c>
      <c r="BF277" s="295">
        <f t="shared" si="20"/>
        <v>1.7935434043672149</v>
      </c>
      <c r="BG277" s="295">
        <f t="shared" si="20"/>
        <v>1.7968941538881322</v>
      </c>
      <c r="BH277" s="295">
        <f t="shared" si="20"/>
        <v>1.8002449034090495</v>
      </c>
      <c r="BI277" s="295">
        <f t="shared" si="20"/>
        <v>1.8035956529299668</v>
      </c>
      <c r="BJ277" s="295">
        <f t="shared" si="20"/>
        <v>1.8069464024508841</v>
      </c>
      <c r="BK277" s="295">
        <f t="shared" si="20"/>
        <v>1.8102971519718014</v>
      </c>
      <c r="BL277" s="295">
        <f t="shared" si="20"/>
        <v>1.8136479014927187</v>
      </c>
      <c r="BM277" s="296">
        <f>AX277*$C$740</f>
        <v>1.8169986510136373</v>
      </c>
      <c r="BN277" s="295">
        <f>BM277+($BR$277-$BM$277)/5</f>
        <v>1.8204447247375162</v>
      </c>
      <c r="BO277" s="295">
        <f>BN277+($BR$277-$BM$277)/5</f>
        <v>1.823890798461395</v>
      </c>
      <c r="BP277" s="295">
        <f>BO277+($BR$277-$BM$277)/5</f>
        <v>1.8273368721852739</v>
      </c>
      <c r="BQ277" s="295">
        <f>BP277+($BR$277-$BM$277)/5</f>
        <v>1.8307829459091527</v>
      </c>
      <c r="BR277" s="296">
        <f>BM277*$D$740</f>
        <v>1.8342290196330318</v>
      </c>
    </row>
    <row r="278" spans="1:70" x14ac:dyDescent="0.25">
      <c r="A278" s="915" t="s">
        <v>623</v>
      </c>
      <c r="AA278" s="310"/>
      <c r="AB278" s="310"/>
      <c r="AC278" s="310"/>
      <c r="AD278" s="310"/>
    </row>
    <row r="279" spans="1:70" x14ac:dyDescent="0.25">
      <c r="A279" s="915" t="s">
        <v>610</v>
      </c>
      <c r="B279" s="917">
        <v>13.773189544677701</v>
      </c>
      <c r="C279" s="917">
        <v>14.7725219726563</v>
      </c>
      <c r="D279" s="917">
        <v>19.176651000976602</v>
      </c>
      <c r="E279" s="917">
        <v>12.4995737075806</v>
      </c>
      <c r="F279" s="917">
        <v>9.7914295196533203</v>
      </c>
      <c r="G279" s="917">
        <v>12.0805196762085</v>
      </c>
      <c r="H279" s="917">
        <v>13.8671321868896</v>
      </c>
      <c r="I279" s="917">
        <v>15.216549873352101</v>
      </c>
      <c r="J279" s="917">
        <v>16.469785690307599</v>
      </c>
      <c r="K279" s="917">
        <v>17.9636936187744</v>
      </c>
      <c r="L279" s="917">
        <v>18.832237243652301</v>
      </c>
      <c r="M279" s="917">
        <v>19.641151428222699</v>
      </c>
      <c r="N279" s="917">
        <v>20.348432540893601</v>
      </c>
      <c r="O279" s="917">
        <v>20.710233688354499</v>
      </c>
      <c r="P279" s="917">
        <v>20.980741500854499</v>
      </c>
      <c r="Q279" s="917">
        <v>21.161005020141602</v>
      </c>
      <c r="R279" s="917">
        <v>21.2950553894043</v>
      </c>
      <c r="S279" s="917">
        <v>21.596014022827099</v>
      </c>
      <c r="T279" s="917">
        <v>21.884708404541001</v>
      </c>
      <c r="U279" s="917">
        <v>21.582948684692401</v>
      </c>
      <c r="V279" s="917">
        <v>21.8727416992188</v>
      </c>
      <c r="W279" s="917">
        <v>22.200710296630898</v>
      </c>
      <c r="X279" s="917">
        <v>22.548530578613299</v>
      </c>
      <c r="Y279" s="917">
        <v>22.812198638916001</v>
      </c>
      <c r="Z279" s="917">
        <v>23.2114353179932</v>
      </c>
      <c r="AA279" s="310">
        <v>18.0768718719482</v>
      </c>
      <c r="AB279" s="310">
        <v>18.184886932373001</v>
      </c>
      <c r="AC279" s="310">
        <v>18.263076782226602</v>
      </c>
      <c r="AD279" s="310">
        <v>18.304286956787099</v>
      </c>
    </row>
    <row r="280" spans="1:70" x14ac:dyDescent="0.25">
      <c r="A280" s="915" t="s">
        <v>611</v>
      </c>
      <c r="B280" s="917">
        <v>8.3781757354736293</v>
      </c>
      <c r="C280" s="917">
        <v>8.5664386749267596</v>
      </c>
      <c r="D280" s="917">
        <v>14.309384346008301</v>
      </c>
      <c r="E280" s="917">
        <v>6.51324510574341</v>
      </c>
      <c r="F280" s="917">
        <v>6.6763448715209996</v>
      </c>
      <c r="G280" s="917">
        <v>9.3123388290405291</v>
      </c>
      <c r="H280" s="917">
        <v>10.994701385498001</v>
      </c>
      <c r="I280" s="917">
        <v>12.5300750732422</v>
      </c>
      <c r="J280" s="917">
        <v>13.7526693344116</v>
      </c>
      <c r="K280" s="917">
        <v>15.155575752258301</v>
      </c>
      <c r="L280" s="917">
        <v>15.963142395019499</v>
      </c>
      <c r="M280" s="917">
        <v>16.617677688598601</v>
      </c>
      <c r="N280" s="917">
        <v>17.274333953857401</v>
      </c>
      <c r="O280" s="917">
        <v>17.322587966918899</v>
      </c>
      <c r="P280" s="917">
        <v>17.542411804199201</v>
      </c>
      <c r="Q280" s="917">
        <v>17.799869537353501</v>
      </c>
      <c r="R280" s="917">
        <v>17.916141510009801</v>
      </c>
      <c r="S280" s="917">
        <v>18.075910568237301</v>
      </c>
      <c r="T280" s="917">
        <v>18.1613368988037</v>
      </c>
      <c r="U280" s="917">
        <v>17.935956954956101</v>
      </c>
      <c r="V280" s="917">
        <v>18.128087997436499</v>
      </c>
      <c r="W280" s="917">
        <v>18.400978088378899</v>
      </c>
      <c r="X280" s="917">
        <v>18.7218933105469</v>
      </c>
      <c r="Y280" s="917">
        <v>18.9085083007813</v>
      </c>
      <c r="Z280" s="917">
        <v>19.247135162353501</v>
      </c>
      <c r="AA280" s="310">
        <v>21.3195495605469</v>
      </c>
      <c r="AB280" s="310">
        <v>21.43874168396</v>
      </c>
      <c r="AC280" s="310">
        <v>21.398374557495099</v>
      </c>
      <c r="AD280" s="310">
        <v>21.4992275238037</v>
      </c>
    </row>
    <row r="281" spans="1:70" x14ac:dyDescent="0.25">
      <c r="A281" s="915" t="s">
        <v>510</v>
      </c>
      <c r="B281" s="917">
        <v>7.0546379089355504</v>
      </c>
      <c r="C281" s="917">
        <v>7.0191597938537598</v>
      </c>
      <c r="D281" s="917">
        <v>8.8716125488281303</v>
      </c>
      <c r="E281" s="917">
        <v>4.5556221008300799</v>
      </c>
      <c r="F281" s="917">
        <v>5.1293134689331099</v>
      </c>
      <c r="G281" s="917">
        <v>5.4535460472106898</v>
      </c>
      <c r="H281" s="917">
        <v>5.5187635421752903</v>
      </c>
      <c r="I281" s="917">
        <v>5.53977298736572</v>
      </c>
      <c r="J281" s="917">
        <v>5.6835036277770996</v>
      </c>
      <c r="K281" s="917">
        <v>5.8920464515686</v>
      </c>
      <c r="L281" s="917">
        <v>6.0819325447082502</v>
      </c>
      <c r="M281" s="917">
        <v>6.2693996429443404</v>
      </c>
      <c r="N281" s="917">
        <v>6.4775133132934597</v>
      </c>
      <c r="O281" s="917">
        <v>6.7354197502136204</v>
      </c>
      <c r="P281" s="917">
        <v>7.0278439521789604</v>
      </c>
      <c r="Q281" s="917">
        <v>7.2539091110229501</v>
      </c>
      <c r="R281" s="917">
        <v>7.3283839225768999</v>
      </c>
      <c r="S281" s="917">
        <v>7.1506276130676296</v>
      </c>
      <c r="T281" s="917">
        <v>7.1924118995666504</v>
      </c>
      <c r="U281" s="917">
        <v>7.1398839950561497</v>
      </c>
      <c r="V281" s="917">
        <v>7.2806253433227504</v>
      </c>
      <c r="W281" s="917">
        <v>7.5354790687561</v>
      </c>
      <c r="X281" s="917">
        <v>7.8600792884826696</v>
      </c>
      <c r="Y281" s="917">
        <v>8.0742120742797905</v>
      </c>
      <c r="Z281" s="917">
        <v>8.3395175933837908</v>
      </c>
      <c r="AA281" s="310">
        <v>17.291141510009801</v>
      </c>
      <c r="AB281" s="310">
        <v>17.529483795166001</v>
      </c>
      <c r="AC281" s="310">
        <v>17.525184631347699</v>
      </c>
      <c r="AD281" s="310">
        <v>17.7543029785156</v>
      </c>
    </row>
    <row r="282" spans="1:70" x14ac:dyDescent="0.25">
      <c r="A282" s="915" t="s">
        <v>624</v>
      </c>
      <c r="B282" s="917">
        <v>1.7355252504348799</v>
      </c>
      <c r="C282" s="917">
        <v>1.7800002098083501</v>
      </c>
      <c r="D282" s="917">
        <v>1.9310736656189</v>
      </c>
      <c r="E282" s="917">
        <v>1.98230564594269</v>
      </c>
      <c r="F282" s="917">
        <v>1.86225914955139</v>
      </c>
      <c r="G282" s="917">
        <v>1.87335216999054</v>
      </c>
      <c r="H282" s="917">
        <v>1.85759365558624</v>
      </c>
      <c r="I282" s="917">
        <v>1.8817487955093399</v>
      </c>
      <c r="J282" s="917">
        <v>1.9043176174163801</v>
      </c>
      <c r="K282" s="917">
        <v>1.90719401836395</v>
      </c>
      <c r="L282" s="917">
        <v>1.9170492887496899</v>
      </c>
      <c r="M282" s="917">
        <v>1.9259506464004501</v>
      </c>
      <c r="N282" s="917">
        <v>1.94080138206482</v>
      </c>
      <c r="O282" s="917">
        <v>1.94636797904968</v>
      </c>
      <c r="P282" s="917">
        <v>1.9562891721725499</v>
      </c>
      <c r="Q282" s="917">
        <v>1.9622501134872401</v>
      </c>
      <c r="R282" s="917">
        <v>1.9753552675247199</v>
      </c>
      <c r="S282" s="917">
        <v>1.9811542034149201</v>
      </c>
      <c r="T282" s="917">
        <v>1.98549652099609</v>
      </c>
      <c r="U282" s="917">
        <v>1.9898830652236901</v>
      </c>
      <c r="V282" s="917">
        <v>1.99634909629822</v>
      </c>
      <c r="W282" s="917">
        <v>2.00744533538818</v>
      </c>
      <c r="X282" s="917">
        <v>2.0202190876007098</v>
      </c>
      <c r="Y282" s="917">
        <v>2.0336120128631601</v>
      </c>
      <c r="Z282" s="917">
        <v>2.0445194244384801</v>
      </c>
      <c r="AA282" s="310">
        <v>11.227470397949199</v>
      </c>
      <c r="AB282" s="310">
        <v>11.517865180969199</v>
      </c>
      <c r="AC282" s="310">
        <v>11.5089683532715</v>
      </c>
      <c r="AD282" s="310">
        <v>11.7493782043457</v>
      </c>
    </row>
    <row r="283" spans="1:70" x14ac:dyDescent="0.25">
      <c r="AA283" s="310">
        <v>15.2353620529175</v>
      </c>
      <c r="AB283" s="310">
        <v>15.5302953720093</v>
      </c>
      <c r="AC283" s="310">
        <v>15.500846862793001</v>
      </c>
      <c r="AD283" s="310">
        <v>15.7047281265259</v>
      </c>
    </row>
    <row r="284" spans="1:70" x14ac:dyDescent="0.25">
      <c r="A284" s="915" t="s">
        <v>625</v>
      </c>
      <c r="AA284" s="310">
        <v>7.7013258934020996</v>
      </c>
      <c r="AB284" s="310">
        <v>7.6767330169677699</v>
      </c>
      <c r="AC284" s="310">
        <v>7.8322434425354004</v>
      </c>
      <c r="AD284" s="310">
        <v>7.7872447967529297</v>
      </c>
    </row>
    <row r="285" spans="1:70" x14ac:dyDescent="0.25">
      <c r="A285" s="915" t="s">
        <v>609</v>
      </c>
      <c r="B285" s="917">
        <v>15.657142639160201</v>
      </c>
      <c r="C285" s="917">
        <v>18.5313529968262</v>
      </c>
      <c r="D285" s="917">
        <v>19.701341629028299</v>
      </c>
      <c r="E285" s="917">
        <v>16.4090671539307</v>
      </c>
      <c r="F285" s="917">
        <v>16.297544479370099</v>
      </c>
      <c r="G285" s="917">
        <v>18.4262371063232</v>
      </c>
      <c r="H285" s="917">
        <v>20.2184352874756</v>
      </c>
      <c r="I285" s="917">
        <v>21.813219070434599</v>
      </c>
      <c r="J285" s="917">
        <v>23.252103805541999</v>
      </c>
      <c r="K285" s="917">
        <v>24.811630249023398</v>
      </c>
      <c r="L285" s="917">
        <v>25.812454223632798</v>
      </c>
      <c r="M285" s="917">
        <v>26.627546310424801</v>
      </c>
      <c r="N285" s="917">
        <v>27.460300445556602</v>
      </c>
      <c r="O285" s="917">
        <v>27.8579425811768</v>
      </c>
      <c r="P285" s="917">
        <v>28.113265991210898</v>
      </c>
      <c r="Q285" s="917">
        <v>28.325565338134801</v>
      </c>
      <c r="R285" s="917">
        <v>28.4571437835693</v>
      </c>
      <c r="S285" s="917">
        <v>28.7732944488525</v>
      </c>
      <c r="T285" s="917">
        <v>28.920036315918001</v>
      </c>
      <c r="U285" s="917">
        <v>28.525373458862301</v>
      </c>
      <c r="V285" s="917">
        <v>28.814060211181602</v>
      </c>
      <c r="W285" s="917">
        <v>29.1242790222168</v>
      </c>
      <c r="X285" s="917">
        <v>29.486963272094702</v>
      </c>
      <c r="Y285" s="917">
        <v>29.629682540893601</v>
      </c>
      <c r="Z285" s="917">
        <v>30.0484523773193</v>
      </c>
      <c r="AA285" s="310">
        <v>7.8213167190551802</v>
      </c>
      <c r="AB285" s="310">
        <v>7.9383788108825701</v>
      </c>
      <c r="AC285" s="310">
        <v>8.0273618698120099</v>
      </c>
      <c r="AD285" s="310">
        <v>8.0851049423217791</v>
      </c>
    </row>
    <row r="286" spans="1:70" x14ac:dyDescent="0.25">
      <c r="A286" s="915" t="s">
        <v>618</v>
      </c>
      <c r="B286" s="917">
        <v>25.5142211914063</v>
      </c>
      <c r="C286" s="917">
        <v>26.818180084228501</v>
      </c>
      <c r="D286" s="917">
        <v>34.073703765869098</v>
      </c>
      <c r="E286" s="917">
        <v>20.3962516784668</v>
      </c>
      <c r="F286" s="917">
        <v>18.869060516357401</v>
      </c>
      <c r="G286" s="917">
        <v>22.499189376831101</v>
      </c>
      <c r="H286" s="917">
        <v>24.345371246337901</v>
      </c>
      <c r="I286" s="917">
        <v>25.8835773468018</v>
      </c>
      <c r="J286" s="917">
        <v>27.376197814941399</v>
      </c>
      <c r="K286" s="917">
        <v>25.5507621765137</v>
      </c>
      <c r="L286" s="917">
        <v>26.3307495117188</v>
      </c>
      <c r="M286" s="917">
        <v>27.042121887206999</v>
      </c>
      <c r="N286" s="917">
        <v>27.074653625488299</v>
      </c>
      <c r="O286" s="917">
        <v>28.861484527587901</v>
      </c>
      <c r="P286" s="917">
        <v>29.593324661254901</v>
      </c>
      <c r="Q286" s="917">
        <v>29.691083908081101</v>
      </c>
      <c r="R286" s="917">
        <v>29.8394565582275</v>
      </c>
      <c r="S286" s="917">
        <v>30.056737899780298</v>
      </c>
      <c r="T286" s="917">
        <v>30.123649597168001</v>
      </c>
      <c r="U286" s="917">
        <v>30.045396804809599</v>
      </c>
      <c r="V286" s="917">
        <v>30.335887908935501</v>
      </c>
      <c r="W286" s="917">
        <v>30.1821899414063</v>
      </c>
      <c r="X286" s="917">
        <v>30.567377090454102</v>
      </c>
      <c r="Y286" s="917">
        <v>31.227724075317401</v>
      </c>
      <c r="Z286" s="917">
        <v>30.935503005981399</v>
      </c>
      <c r="AA286" s="310">
        <v>2.7168338298797599</v>
      </c>
      <c r="AB286" s="310">
        <v>2.7307398319244398</v>
      </c>
      <c r="AC286" s="310">
        <v>2.7413196563720699</v>
      </c>
      <c r="AD286" s="310">
        <v>2.7546591758728001</v>
      </c>
    </row>
    <row r="287" spans="1:70" x14ac:dyDescent="0.25">
      <c r="A287" s="915" t="s">
        <v>619</v>
      </c>
      <c r="B287" s="917">
        <v>21.649000167846701</v>
      </c>
      <c r="C287" s="917">
        <v>22.8191947937012</v>
      </c>
      <c r="D287" s="917">
        <v>26.0107421875</v>
      </c>
      <c r="E287" s="917">
        <v>15.8019914627075</v>
      </c>
      <c r="F287" s="917">
        <v>17.711067199706999</v>
      </c>
      <c r="G287" s="917">
        <v>20.6589241027832</v>
      </c>
      <c r="H287" s="917">
        <v>22.298402786254901</v>
      </c>
      <c r="I287" s="917">
        <v>23.5152263641357</v>
      </c>
      <c r="J287" s="917">
        <v>24.813198089599599</v>
      </c>
      <c r="K287" s="917">
        <v>26.134485244751001</v>
      </c>
      <c r="L287" s="917">
        <v>27.0586547851563</v>
      </c>
      <c r="M287" s="917">
        <v>27.9900207519531</v>
      </c>
      <c r="N287" s="917">
        <v>28.799554824829102</v>
      </c>
      <c r="O287" s="917">
        <v>29.408401489257798</v>
      </c>
      <c r="P287" s="917">
        <v>29.935087203979499</v>
      </c>
      <c r="Q287" s="917">
        <v>30.054672241210898</v>
      </c>
      <c r="R287" s="917">
        <v>30.314332962036101</v>
      </c>
      <c r="S287" s="917">
        <v>30.492042541503899</v>
      </c>
      <c r="T287" s="917">
        <v>30.525100708007798</v>
      </c>
      <c r="U287" s="917">
        <v>30.442491531372099</v>
      </c>
      <c r="V287" s="917">
        <v>30.723676681518601</v>
      </c>
      <c r="W287" s="917">
        <v>30.701581954956101</v>
      </c>
      <c r="X287" s="917">
        <v>31.107343673706101</v>
      </c>
      <c r="Y287" s="917">
        <v>31.957983016967798</v>
      </c>
      <c r="Z287" s="917">
        <v>31.580909729003899</v>
      </c>
      <c r="AA287" s="310">
        <v>1.67883205413818</v>
      </c>
      <c r="AB287" s="310">
        <v>1.6938681602478001</v>
      </c>
      <c r="AC287" s="310">
        <v>1.7024568319320701</v>
      </c>
      <c r="AD287" s="310">
        <v>1.71655297279358</v>
      </c>
    </row>
    <row r="288" spans="1:70" x14ac:dyDescent="0.25">
      <c r="A288" s="915" t="s">
        <v>626</v>
      </c>
      <c r="B288" s="917">
        <v>15.2446508407593</v>
      </c>
      <c r="C288" s="917">
        <v>16.0964660644531</v>
      </c>
      <c r="D288" s="917">
        <v>22.1856594085693</v>
      </c>
      <c r="E288" s="917">
        <v>10.540905952453601</v>
      </c>
      <c r="F288" s="917">
        <v>10.4131317138672</v>
      </c>
      <c r="G288" s="917">
        <v>12.992267608642599</v>
      </c>
      <c r="H288" s="917">
        <v>14.8510446548462</v>
      </c>
      <c r="I288" s="917">
        <v>16.4927158355713</v>
      </c>
      <c r="J288" s="917">
        <v>17.888269424438501</v>
      </c>
      <c r="K288" s="917">
        <v>19.120731353759801</v>
      </c>
      <c r="L288" s="917">
        <v>20.025011062622099</v>
      </c>
      <c r="M288" s="917">
        <v>20.925888061523398</v>
      </c>
      <c r="N288" s="917">
        <v>21.650459289550799</v>
      </c>
      <c r="O288" s="917">
        <v>22.054113388061499</v>
      </c>
      <c r="P288" s="917">
        <v>22.358533859252901</v>
      </c>
      <c r="Q288" s="917">
        <v>22.535087585449201</v>
      </c>
      <c r="R288" s="917">
        <v>22.624557495117202</v>
      </c>
      <c r="S288" s="917">
        <v>22.875423431396499</v>
      </c>
      <c r="T288" s="917">
        <v>23.088819503784201</v>
      </c>
      <c r="U288" s="917">
        <v>22.878332138061499</v>
      </c>
      <c r="V288" s="917">
        <v>23.229129791259801</v>
      </c>
      <c r="W288" s="917">
        <v>23.440977096557599</v>
      </c>
      <c r="X288" s="917">
        <v>23.911849975585898</v>
      </c>
      <c r="Y288" s="917">
        <v>24.3618278503418</v>
      </c>
      <c r="Z288" s="917">
        <v>24.669164657592798</v>
      </c>
      <c r="AA288" s="310">
        <v>1.2833950519561801</v>
      </c>
      <c r="AB288" s="310">
        <v>1.3286876678466799</v>
      </c>
      <c r="AC288" s="310">
        <v>1.33012855052948</v>
      </c>
      <c r="AD288" s="310">
        <v>1.33445107936859</v>
      </c>
    </row>
    <row r="289" spans="1:30" x14ac:dyDescent="0.25">
      <c r="A289" s="915" t="s">
        <v>610</v>
      </c>
      <c r="B289" s="917">
        <v>19.171348571777301</v>
      </c>
      <c r="C289" s="917">
        <v>19.9431552886963</v>
      </c>
      <c r="D289" s="917">
        <v>25.721439361572301</v>
      </c>
      <c r="E289" s="917">
        <v>15.1513471603394</v>
      </c>
      <c r="F289" s="917">
        <v>13.5963325500488</v>
      </c>
      <c r="G289" s="917">
        <v>16.098552703857401</v>
      </c>
      <c r="H289" s="917">
        <v>18.014595031738299</v>
      </c>
      <c r="I289" s="917">
        <v>20.0945529937744</v>
      </c>
      <c r="J289" s="917">
        <v>21.487236022949201</v>
      </c>
      <c r="K289" s="917">
        <v>22.551927566528299</v>
      </c>
      <c r="L289" s="917">
        <v>23.4185886383057</v>
      </c>
      <c r="M289" s="917">
        <v>24.295482635498001</v>
      </c>
      <c r="N289" s="917">
        <v>25.028078079223601</v>
      </c>
      <c r="O289" s="917">
        <v>25.4735622406006</v>
      </c>
      <c r="P289" s="917">
        <v>25.7968635559082</v>
      </c>
      <c r="Q289" s="917">
        <v>25.744600296020501</v>
      </c>
      <c r="R289" s="917">
        <v>26.0401725769043</v>
      </c>
      <c r="S289" s="917">
        <v>26.245742797851602</v>
      </c>
      <c r="T289" s="917">
        <v>26.316581726074201</v>
      </c>
      <c r="U289" s="917">
        <v>26.282798767089801</v>
      </c>
      <c r="V289" s="917">
        <v>26.623888015747099</v>
      </c>
      <c r="W289" s="917">
        <v>26.532428741455099</v>
      </c>
      <c r="X289" s="917">
        <v>26.9911499023438</v>
      </c>
      <c r="Y289" s="917">
        <v>27.692060470581101</v>
      </c>
      <c r="Z289" s="917">
        <v>27.7130451202393</v>
      </c>
      <c r="AA289" s="310">
        <v>23.429731369018601</v>
      </c>
      <c r="AB289" s="310">
        <v>23.480413436889599</v>
      </c>
      <c r="AC289" s="310">
        <v>23.589033126831101</v>
      </c>
      <c r="AD289" s="310">
        <v>23.596023559570298</v>
      </c>
    </row>
    <row r="290" spans="1:30" x14ac:dyDescent="0.25">
      <c r="A290" s="915" t="s">
        <v>611</v>
      </c>
      <c r="B290" s="917">
        <v>8.4246683120727504</v>
      </c>
      <c r="C290" s="917">
        <v>9.3672227859497106</v>
      </c>
      <c r="D290" s="917">
        <v>14.1781015396118</v>
      </c>
      <c r="E290" s="917">
        <v>6.5043296813964799</v>
      </c>
      <c r="F290" s="917">
        <v>6.9149212837219203</v>
      </c>
      <c r="G290" s="917">
        <v>9.2013835906982404</v>
      </c>
      <c r="H290" s="917">
        <v>10.8588418960571</v>
      </c>
      <c r="I290" s="917">
        <v>12.3554439544678</v>
      </c>
      <c r="J290" s="917">
        <v>13.5696716308594</v>
      </c>
      <c r="K290" s="917">
        <v>14.9571332931519</v>
      </c>
      <c r="L290" s="917">
        <v>15.7562828063965</v>
      </c>
      <c r="M290" s="917">
        <v>16.419845581054702</v>
      </c>
      <c r="N290" s="917">
        <v>17.090215682983398</v>
      </c>
      <c r="O290" s="917">
        <v>17.3671054840088</v>
      </c>
      <c r="P290" s="917">
        <v>17.589653015136701</v>
      </c>
      <c r="Q290" s="917">
        <v>17.8480415344238</v>
      </c>
      <c r="R290" s="917">
        <v>17.911899566650401</v>
      </c>
      <c r="S290" s="917">
        <v>18.041828155517599</v>
      </c>
      <c r="T290" s="917">
        <v>18.112939834594702</v>
      </c>
      <c r="U290" s="917">
        <v>17.862413406372099</v>
      </c>
      <c r="V290" s="917">
        <v>18.047613143920898</v>
      </c>
      <c r="W290" s="917">
        <v>18.333000183105501</v>
      </c>
      <c r="X290" s="917">
        <v>18.6528930664063</v>
      </c>
      <c r="Y290" s="917">
        <v>18.8375339508057</v>
      </c>
      <c r="Z290" s="917">
        <v>19.187860488891602</v>
      </c>
      <c r="AA290" s="310"/>
      <c r="AB290" s="310"/>
      <c r="AC290" s="310"/>
      <c r="AD290" s="310"/>
    </row>
    <row r="291" spans="1:30" x14ac:dyDescent="0.25">
      <c r="A291" s="915" t="s">
        <v>510</v>
      </c>
      <c r="B291" s="917">
        <v>9.5015735626220703</v>
      </c>
      <c r="C291" s="917">
        <v>9.0060253143310494</v>
      </c>
      <c r="D291" s="917">
        <v>10.1816816329956</v>
      </c>
      <c r="E291" s="917">
        <v>6.76324558258057</v>
      </c>
      <c r="F291" s="917">
        <v>7.4289712905883798</v>
      </c>
      <c r="G291" s="917">
        <v>7.7374553680419904</v>
      </c>
      <c r="H291" s="917">
        <v>7.7907910346984899</v>
      </c>
      <c r="I291" s="917">
        <v>7.79954290390015</v>
      </c>
      <c r="J291" s="917">
        <v>7.91036033630371</v>
      </c>
      <c r="K291" s="917">
        <v>8.0721502304077095</v>
      </c>
      <c r="L291" s="917">
        <v>8.2674913406372106</v>
      </c>
      <c r="M291" s="917">
        <v>8.4630060195922905</v>
      </c>
      <c r="N291" s="917">
        <v>8.6615943908691406</v>
      </c>
      <c r="O291" s="917">
        <v>8.9140930175781303</v>
      </c>
      <c r="P291" s="917">
        <v>9.2212562561035192</v>
      </c>
      <c r="Q291" s="917">
        <v>9.4307956695556605</v>
      </c>
      <c r="R291" s="917">
        <v>9.4883728027343803</v>
      </c>
      <c r="S291" s="917">
        <v>9.2674760818481392</v>
      </c>
      <c r="T291" s="917">
        <v>9.2395153045654297</v>
      </c>
      <c r="U291" s="917">
        <v>9.1623344421386701</v>
      </c>
      <c r="V291" s="917">
        <v>9.3142642974853498</v>
      </c>
      <c r="W291" s="917">
        <v>9.5711297988891602</v>
      </c>
      <c r="X291" s="917">
        <v>9.9057645797729492</v>
      </c>
      <c r="Y291" s="917">
        <v>10.151716232299799</v>
      </c>
      <c r="Z291" s="917">
        <v>10.4206848144531</v>
      </c>
      <c r="AA291" s="310"/>
      <c r="AB291" s="310"/>
      <c r="AC291" s="310"/>
      <c r="AD291" s="310"/>
    </row>
    <row r="292" spans="1:30" x14ac:dyDescent="0.25">
      <c r="A292" s="915" t="s">
        <v>614</v>
      </c>
      <c r="B292" s="917">
        <v>3.6353600025177002</v>
      </c>
      <c r="C292" s="917">
        <v>3.6099998950958301</v>
      </c>
      <c r="D292" s="917">
        <v>4.0558156967163104</v>
      </c>
      <c r="E292" s="917">
        <v>4.0487108230590803</v>
      </c>
      <c r="F292" s="917">
        <v>3.9977276325225799</v>
      </c>
      <c r="G292" s="917">
        <v>4.1121706962585396</v>
      </c>
      <c r="H292" s="917">
        <v>4.1809573173522896</v>
      </c>
      <c r="I292" s="917">
        <v>4.2343683242797896</v>
      </c>
      <c r="J292" s="917">
        <v>4.27162742614746</v>
      </c>
      <c r="K292" s="917">
        <v>4.2985162734985396</v>
      </c>
      <c r="L292" s="917">
        <v>4.3192996978759801</v>
      </c>
      <c r="M292" s="917">
        <v>4.3337044715881303</v>
      </c>
      <c r="N292" s="917">
        <v>4.3530845642089799</v>
      </c>
      <c r="O292" s="917">
        <v>4.3696141242981001</v>
      </c>
      <c r="P292" s="917">
        <v>4.3899216651916504</v>
      </c>
      <c r="Q292" s="917">
        <v>4.4470157623290998</v>
      </c>
      <c r="R292" s="917">
        <v>4.5093812942504901</v>
      </c>
      <c r="S292" s="917">
        <v>4.5352845191955602</v>
      </c>
      <c r="T292" s="917">
        <v>4.5618190765380904</v>
      </c>
      <c r="U292" s="917">
        <v>4.5643453598022496</v>
      </c>
      <c r="V292" s="917">
        <v>4.5493078231811497</v>
      </c>
      <c r="W292" s="917">
        <v>4.5490665435790998</v>
      </c>
      <c r="X292" s="917">
        <v>4.5331215858459499</v>
      </c>
      <c r="Y292" s="917">
        <v>4.4955492019653303</v>
      </c>
      <c r="Z292" s="917">
        <v>4.4319190979003897</v>
      </c>
      <c r="AA292" s="310">
        <v>253.732666015625</v>
      </c>
      <c r="AB292" s="310">
        <v>257.28918457031301</v>
      </c>
      <c r="AC292" s="310">
        <v>259.96432495117199</v>
      </c>
      <c r="AD292" s="310">
        <v>262.21316528320301</v>
      </c>
    </row>
    <row r="293" spans="1:30" x14ac:dyDescent="0.25">
      <c r="A293" s="915" t="s">
        <v>627</v>
      </c>
      <c r="B293" s="917">
        <v>1.7776364088058501</v>
      </c>
      <c r="C293" s="917">
        <v>1.81885313987732</v>
      </c>
      <c r="D293" s="917">
        <v>1.9676311016082799</v>
      </c>
      <c r="E293" s="917">
        <v>2.0067975521087602</v>
      </c>
      <c r="F293" s="917">
        <v>1.88941025733948</v>
      </c>
      <c r="G293" s="917">
        <v>1.9042230844497701</v>
      </c>
      <c r="H293" s="917">
        <v>1.89033174514771</v>
      </c>
      <c r="I293" s="917">
        <v>1.9154095649719201</v>
      </c>
      <c r="J293" s="917">
        <v>1.93832087516785</v>
      </c>
      <c r="K293" s="917">
        <v>1.94072294235229</v>
      </c>
      <c r="L293" s="917">
        <v>1.9500694274902299</v>
      </c>
      <c r="M293" s="917">
        <v>1.9586881399154701</v>
      </c>
      <c r="N293" s="917">
        <v>1.9732190370559699</v>
      </c>
      <c r="O293" s="917">
        <v>1.9783339500427199</v>
      </c>
      <c r="P293" s="917">
        <v>1.98810267448425</v>
      </c>
      <c r="Q293" s="917">
        <v>1.9938982725143399</v>
      </c>
      <c r="R293" s="917">
        <v>2.0064799785614</v>
      </c>
      <c r="S293" s="917">
        <v>2.0119984149932901</v>
      </c>
      <c r="T293" s="917">
        <v>2.0163278579711901</v>
      </c>
      <c r="U293" s="917">
        <v>2.0205180644989</v>
      </c>
      <c r="V293" s="917">
        <v>2.0271856784820601</v>
      </c>
      <c r="W293" s="917">
        <v>2.0382561683654798</v>
      </c>
      <c r="X293" s="917">
        <v>2.0508835315704301</v>
      </c>
      <c r="Y293" s="917">
        <v>2.0641281604766801</v>
      </c>
      <c r="Z293" s="917">
        <v>2.0750961303710902</v>
      </c>
      <c r="AA293" s="310">
        <v>208.50216674804699</v>
      </c>
      <c r="AB293" s="310">
        <v>213.246017456055</v>
      </c>
      <c r="AC293" s="310">
        <v>217.97378540039099</v>
      </c>
      <c r="AD293" s="310">
        <v>222.08200073242199</v>
      </c>
    </row>
    <row r="294" spans="1:30" x14ac:dyDescent="0.25">
      <c r="A294" s="915" t="s">
        <v>616</v>
      </c>
      <c r="B294" s="917">
        <v>0</v>
      </c>
      <c r="C294" s="917">
        <v>0</v>
      </c>
      <c r="D294" s="917">
        <v>0</v>
      </c>
      <c r="E294" s="917">
        <v>0</v>
      </c>
      <c r="F294" s="917">
        <v>0</v>
      </c>
      <c r="G294" s="917">
        <v>1.5133428573608401</v>
      </c>
      <c r="H294" s="917">
        <v>1.3742095232009901</v>
      </c>
      <c r="I294" s="917">
        <v>1.19064140319824</v>
      </c>
      <c r="J294" s="917">
        <v>1.3664953708648699</v>
      </c>
      <c r="K294" s="917">
        <v>1.33487153053284</v>
      </c>
      <c r="L294" s="917">
        <v>1.31654036045074</v>
      </c>
      <c r="M294" s="917">
        <v>1.30223417282104</v>
      </c>
      <c r="N294" s="917">
        <v>1.30838906764984</v>
      </c>
      <c r="O294" s="917">
        <v>1.32146644592285</v>
      </c>
      <c r="P294" s="917">
        <v>1.3489345312118499</v>
      </c>
      <c r="Q294" s="917">
        <v>1.3524934053421001</v>
      </c>
      <c r="R294" s="917">
        <v>1.3570195436477701</v>
      </c>
      <c r="S294" s="917">
        <v>1.3626403808593801</v>
      </c>
      <c r="T294" s="917">
        <v>1.37119424343109</v>
      </c>
      <c r="U294" s="917">
        <v>1.3635557889938399</v>
      </c>
      <c r="V294" s="917">
        <v>1.3662919998168901</v>
      </c>
      <c r="W294" s="917">
        <v>1.37254309654236</v>
      </c>
      <c r="X294" s="917">
        <v>1.37609398365021</v>
      </c>
      <c r="Y294" s="917">
        <v>1.3784751892089799</v>
      </c>
      <c r="Z294" s="917">
        <v>1.3805129528045701</v>
      </c>
      <c r="AA294" s="310">
        <v>212.89649963378901</v>
      </c>
      <c r="AB294" s="310">
        <v>216.30204772949199</v>
      </c>
      <c r="AC294" s="310">
        <v>219.267822265625</v>
      </c>
      <c r="AD294" s="310">
        <v>222.079177856445</v>
      </c>
    </row>
    <row r="295" spans="1:30" x14ac:dyDescent="0.25">
      <c r="A295" s="915" t="s">
        <v>479</v>
      </c>
      <c r="B295" s="917">
        <v>26.672916412353501</v>
      </c>
      <c r="C295" s="917">
        <v>26.680915832519499</v>
      </c>
      <c r="D295" s="917">
        <v>27.799331665039102</v>
      </c>
      <c r="E295" s="917">
        <v>26.6892414093018</v>
      </c>
      <c r="F295" s="917">
        <v>24.2756156921387</v>
      </c>
      <c r="G295" s="917">
        <v>25.0947151184082</v>
      </c>
      <c r="H295" s="917">
        <v>25.0493679046631</v>
      </c>
      <c r="I295" s="917">
        <v>25.093559265136701</v>
      </c>
      <c r="J295" s="917">
        <v>25.339256286621101</v>
      </c>
      <c r="K295" s="917">
        <v>25.454051971435501</v>
      </c>
      <c r="L295" s="917">
        <v>25.7708930969238</v>
      </c>
      <c r="M295" s="917">
        <v>26.1124782562256</v>
      </c>
      <c r="N295" s="917">
        <v>26.474697113037099</v>
      </c>
      <c r="O295" s="917">
        <v>26.7419338226318</v>
      </c>
      <c r="P295" s="917">
        <v>27.1641750335693</v>
      </c>
      <c r="Q295" s="917">
        <v>27.529588699340799</v>
      </c>
      <c r="R295" s="917">
        <v>27.7828693389893</v>
      </c>
      <c r="S295" s="917">
        <v>27.754991531372099</v>
      </c>
      <c r="T295" s="917">
        <v>27.792310714721701</v>
      </c>
      <c r="U295" s="917">
        <v>27.7856330871582</v>
      </c>
      <c r="V295" s="917">
        <v>27.867961883544901</v>
      </c>
      <c r="W295" s="917">
        <v>28.2280673980713</v>
      </c>
      <c r="X295" s="917">
        <v>28.6754856109619</v>
      </c>
      <c r="Y295" s="917">
        <v>29.0858860015869</v>
      </c>
      <c r="Z295" s="917">
        <v>29.4564533233643</v>
      </c>
      <c r="AA295" s="310">
        <v>588.97521972656295</v>
      </c>
      <c r="AB295" s="310">
        <v>607.12139892578102</v>
      </c>
      <c r="AC295" s="310">
        <v>615.45501708984398</v>
      </c>
      <c r="AD295" s="310">
        <v>632.78991699218795</v>
      </c>
    </row>
    <row r="296" spans="1:30" x14ac:dyDescent="0.25">
      <c r="AA296" s="310">
        <v>1264.10656738281</v>
      </c>
      <c r="AB296" s="310">
        <v>1293.95861816406</v>
      </c>
      <c r="AC296" s="310">
        <v>1312.66088867188</v>
      </c>
      <c r="AD296" s="310">
        <v>1339.16430664063</v>
      </c>
    </row>
    <row r="297" spans="1:30" x14ac:dyDescent="0.25">
      <c r="A297" s="915" t="s">
        <v>513</v>
      </c>
      <c r="AA297" s="310">
        <v>0.38684526085853599</v>
      </c>
      <c r="AB297" s="310">
        <v>0.443235874176025</v>
      </c>
      <c r="AC297" s="310">
        <v>0.46923574805259699</v>
      </c>
      <c r="AD297" s="310">
        <v>0.51463860273361195</v>
      </c>
    </row>
    <row r="298" spans="1:30" x14ac:dyDescent="0.25">
      <c r="A298" s="915" t="s">
        <v>725</v>
      </c>
      <c r="AA298" s="310">
        <v>1264.49340820313</v>
      </c>
      <c r="AB298" s="310">
        <v>1294.40185546875</v>
      </c>
      <c r="AC298" s="310">
        <v>1313.13012695313</v>
      </c>
      <c r="AD298" s="310">
        <v>1339.67895507813</v>
      </c>
    </row>
    <row r="299" spans="1:30" x14ac:dyDescent="0.25">
      <c r="A299" s="915" t="s">
        <v>473</v>
      </c>
      <c r="B299" s="917">
        <v>231.10064697265599</v>
      </c>
      <c r="C299" s="917">
        <v>238.40081787109401</v>
      </c>
      <c r="D299" s="917">
        <v>250.00378417968801</v>
      </c>
      <c r="E299" s="917">
        <v>223.81915283203099</v>
      </c>
      <c r="F299" s="917">
        <v>215.29118347168</v>
      </c>
      <c r="G299" s="917">
        <v>224.09677124023401</v>
      </c>
      <c r="H299" s="917">
        <v>227.34310913085901</v>
      </c>
      <c r="I299" s="917">
        <v>227.85260009765599</v>
      </c>
      <c r="J299" s="917">
        <v>231.24415588378901</v>
      </c>
      <c r="K299" s="917">
        <v>234.18721008300801</v>
      </c>
      <c r="L299" s="917">
        <v>238.75100708007801</v>
      </c>
      <c r="M299" s="917">
        <v>243.18489074707</v>
      </c>
      <c r="N299" s="917">
        <v>248.169021606445</v>
      </c>
      <c r="O299" s="917">
        <v>252.72660827636699</v>
      </c>
      <c r="P299" s="917">
        <v>258.44952392578102</v>
      </c>
      <c r="Q299" s="917">
        <v>262.50808715820301</v>
      </c>
      <c r="R299" s="917">
        <v>265.94851684570301</v>
      </c>
      <c r="S299" s="917">
        <v>267.30322265625</v>
      </c>
      <c r="T299" s="917">
        <v>270.58847045898398</v>
      </c>
      <c r="U299" s="917">
        <v>272.04168701171898</v>
      </c>
      <c r="V299" s="917">
        <v>276.25186157226602</v>
      </c>
      <c r="W299" s="917">
        <v>282.20260620117199</v>
      </c>
      <c r="X299" s="917">
        <v>288.93267822265602</v>
      </c>
      <c r="Y299" s="917">
        <v>293.60751342773398</v>
      </c>
      <c r="Z299" s="917">
        <v>298.90402221679699</v>
      </c>
      <c r="AA299" s="310"/>
      <c r="AB299" s="310"/>
      <c r="AC299" s="310"/>
      <c r="AD299" s="310"/>
    </row>
    <row r="300" spans="1:30" x14ac:dyDescent="0.25">
      <c r="A300" s="915" t="s">
        <v>480</v>
      </c>
      <c r="B300" s="917">
        <v>170.28274536132801</v>
      </c>
      <c r="C300" s="917">
        <v>172.89260864257801</v>
      </c>
      <c r="D300" s="917">
        <v>183.352294921875</v>
      </c>
      <c r="E300" s="917">
        <v>163.89425659179699</v>
      </c>
      <c r="F300" s="917">
        <v>157.14476013183599</v>
      </c>
      <c r="G300" s="917">
        <v>164.69047546386699</v>
      </c>
      <c r="H300" s="917">
        <v>166.42567443847699</v>
      </c>
      <c r="I300" s="917">
        <v>169.00093078613301</v>
      </c>
      <c r="J300" s="917">
        <v>173.04789733886699</v>
      </c>
      <c r="K300" s="917">
        <v>176.93461608886699</v>
      </c>
      <c r="L300" s="917">
        <v>182.04042053222699</v>
      </c>
      <c r="M300" s="917">
        <v>187.24485778808599</v>
      </c>
      <c r="N300" s="917">
        <v>192.69107055664099</v>
      </c>
      <c r="O300" s="917">
        <v>197.508544921875</v>
      </c>
      <c r="P300" s="917">
        <v>203.26272583007801</v>
      </c>
      <c r="Q300" s="917">
        <v>208.31881713867199</v>
      </c>
      <c r="R300" s="917">
        <v>212.33370971679699</v>
      </c>
      <c r="S300" s="917">
        <v>214.22947692871099</v>
      </c>
      <c r="T300" s="917">
        <v>217.23475646972699</v>
      </c>
      <c r="U300" s="917">
        <v>219.65505981445301</v>
      </c>
      <c r="V300" s="917">
        <v>223.61666870117199</v>
      </c>
      <c r="W300" s="917">
        <v>229.31947326660199</v>
      </c>
      <c r="X300" s="917">
        <v>235.82908630371099</v>
      </c>
      <c r="Y300" s="917">
        <v>241.79779052734401</v>
      </c>
      <c r="Z300" s="917">
        <v>247.76422119140599</v>
      </c>
      <c r="AA300" s="310"/>
      <c r="AB300" s="310"/>
      <c r="AC300" s="310"/>
      <c r="AD300" s="310"/>
    </row>
    <row r="301" spans="1:30" x14ac:dyDescent="0.25">
      <c r="A301" s="915" t="s">
        <v>515</v>
      </c>
      <c r="B301" s="917">
        <v>216.08058166503901</v>
      </c>
      <c r="C301" s="917">
        <v>226.88609313964801</v>
      </c>
      <c r="D301" s="917">
        <v>248.66896057128901</v>
      </c>
      <c r="E301" s="917">
        <v>181.39601135253901</v>
      </c>
      <c r="F301" s="917">
        <v>151.70443725585901</v>
      </c>
      <c r="G301" s="917">
        <v>172.23597717285199</v>
      </c>
      <c r="H301" s="917">
        <v>186.63681030273401</v>
      </c>
      <c r="I301" s="917">
        <v>200.19924926757801</v>
      </c>
      <c r="J301" s="917">
        <v>207.03741455078099</v>
      </c>
      <c r="K301" s="917">
        <v>213.45352172851599</v>
      </c>
      <c r="L301" s="917">
        <v>218.62767028808599</v>
      </c>
      <c r="M301" s="917">
        <v>224.29528808593801</v>
      </c>
      <c r="N301" s="917">
        <v>229.96401977539099</v>
      </c>
      <c r="O301" s="917">
        <v>233.76069641113301</v>
      </c>
      <c r="P301" s="917">
        <v>239.065841674805</v>
      </c>
      <c r="Q301" s="917">
        <v>241.45851135253901</v>
      </c>
      <c r="R301" s="917">
        <v>242.383544921875</v>
      </c>
      <c r="S301" s="917">
        <v>242.41815185546901</v>
      </c>
      <c r="T301" s="917">
        <v>242.89247131347699</v>
      </c>
      <c r="U301" s="917">
        <v>240.916915893555</v>
      </c>
      <c r="V301" s="917">
        <v>241.41357421875</v>
      </c>
      <c r="W301" s="917">
        <v>242.50785827636699</v>
      </c>
      <c r="X301" s="917">
        <v>244.85752868652301</v>
      </c>
      <c r="Y301" s="917">
        <v>245.86729431152301</v>
      </c>
      <c r="Z301" s="917">
        <v>245.87216186523401</v>
      </c>
      <c r="AA301" s="310"/>
      <c r="AB301" s="310"/>
      <c r="AC301" s="310"/>
      <c r="AD301" s="310"/>
    </row>
    <row r="302" spans="1:30" x14ac:dyDescent="0.25">
      <c r="A302" s="915" t="s">
        <v>487</v>
      </c>
      <c r="B302" s="917">
        <v>564.62982177734398</v>
      </c>
      <c r="C302" s="917">
        <v>596.84759521484398</v>
      </c>
      <c r="D302" s="917">
        <v>693.65460205078102</v>
      </c>
      <c r="E302" s="917">
        <v>393.76574707031301</v>
      </c>
      <c r="F302" s="917">
        <v>430.90808105468801</v>
      </c>
      <c r="G302" s="917">
        <v>516.84307861328102</v>
      </c>
      <c r="H302" s="917">
        <v>568.141357421875</v>
      </c>
      <c r="I302" s="917">
        <v>610.89111328125</v>
      </c>
      <c r="J302" s="917">
        <v>646.41064453125</v>
      </c>
      <c r="K302" s="917">
        <v>676.39013671875</v>
      </c>
      <c r="L302" s="917">
        <v>696.72686767578102</v>
      </c>
      <c r="M302" s="917">
        <v>719.33160400390602</v>
      </c>
      <c r="N302" s="917">
        <v>737.13671875</v>
      </c>
      <c r="O302" s="917">
        <v>750.27301025390602</v>
      </c>
      <c r="P302" s="917">
        <v>759.33123779296898</v>
      </c>
      <c r="Q302" s="917">
        <v>760.33734130859398</v>
      </c>
      <c r="R302" s="917">
        <v>761.04602050781295</v>
      </c>
      <c r="S302" s="917">
        <v>771.55059814453102</v>
      </c>
      <c r="T302" s="917">
        <v>780.57421875</v>
      </c>
      <c r="U302" s="917">
        <v>783.147216796875</v>
      </c>
      <c r="V302" s="917">
        <v>796.70227050781295</v>
      </c>
      <c r="W302" s="917">
        <v>794.56842041015602</v>
      </c>
      <c r="X302" s="917">
        <v>811.39251708984398</v>
      </c>
      <c r="Y302" s="917">
        <v>832.07995605468795</v>
      </c>
      <c r="Z302" s="917">
        <v>835.36431884765602</v>
      </c>
      <c r="AA302" s="310"/>
      <c r="AB302" s="310"/>
      <c r="AC302" s="310"/>
      <c r="AD302" s="310"/>
    </row>
    <row r="303" spans="1:30" x14ac:dyDescent="0.25">
      <c r="A303" s="915" t="s">
        <v>516</v>
      </c>
      <c r="B303" s="917">
        <v>1182.09375</v>
      </c>
      <c r="C303" s="917">
        <v>1235.02709960938</v>
      </c>
      <c r="D303" s="917">
        <v>1375.6796875</v>
      </c>
      <c r="E303" s="917">
        <v>962.87518310546898</v>
      </c>
      <c r="F303" s="917">
        <v>955.04846191406295</v>
      </c>
      <c r="G303" s="917">
        <v>1077.86633300781</v>
      </c>
      <c r="H303" s="917">
        <v>1148.54699707031</v>
      </c>
      <c r="I303" s="917">
        <v>1207.94384765625</v>
      </c>
      <c r="J303" s="917">
        <v>1257.74011230469</v>
      </c>
      <c r="K303" s="917">
        <v>1300.96545410156</v>
      </c>
      <c r="L303" s="917">
        <v>1336.14599609375</v>
      </c>
      <c r="M303" s="917">
        <v>1374.056640625</v>
      </c>
      <c r="N303" s="917">
        <v>1407.96081542969</v>
      </c>
      <c r="O303" s="917">
        <v>1434.26879882813</v>
      </c>
      <c r="P303" s="917">
        <v>1460.109375</v>
      </c>
      <c r="Q303" s="917">
        <v>1472.62280273438</v>
      </c>
      <c r="R303" s="917">
        <v>1481.71179199219</v>
      </c>
      <c r="S303" s="917">
        <v>1495.50146484375</v>
      </c>
      <c r="T303" s="917">
        <v>1511.28991699219</v>
      </c>
      <c r="U303" s="917">
        <v>1515.76086425781</v>
      </c>
      <c r="V303" s="917">
        <v>1537.984375</v>
      </c>
      <c r="W303" s="917">
        <v>1548.59838867188</v>
      </c>
      <c r="X303" s="917">
        <v>1581.01184082031</v>
      </c>
      <c r="Y303" s="917">
        <v>1613.3525390625</v>
      </c>
      <c r="Z303" s="917">
        <v>1627.90478515625</v>
      </c>
      <c r="AA303" s="310"/>
      <c r="AB303" s="310"/>
      <c r="AC303" s="310"/>
      <c r="AD303" s="310"/>
    </row>
    <row r="304" spans="1:30" x14ac:dyDescent="0.25">
      <c r="A304" s="915" t="s">
        <v>629</v>
      </c>
      <c r="B304" s="917">
        <v>3.2131362706422799E-2</v>
      </c>
      <c r="C304" s="917">
        <v>4.0145620703697198E-2</v>
      </c>
      <c r="D304" s="917">
        <v>3.7687420845031697E-2</v>
      </c>
      <c r="E304" s="917">
        <v>2.54867300391197E-2</v>
      </c>
      <c r="F304" s="917">
        <v>5.4010055959224701E-2</v>
      </c>
      <c r="G304" s="917">
        <v>6.77362531423569E-2</v>
      </c>
      <c r="H304" s="917">
        <v>8.3178348839283003E-2</v>
      </c>
      <c r="I304" s="917">
        <v>9.4869345426559407E-2</v>
      </c>
      <c r="J304" s="917">
        <v>0.113030456006527</v>
      </c>
      <c r="K304" s="917">
        <v>1.97330021858215</v>
      </c>
      <c r="L304" s="917">
        <v>4.8567194938659703</v>
      </c>
      <c r="M304" s="917">
        <v>6.7303171157836896</v>
      </c>
      <c r="N304" s="917">
        <v>10.514961242675801</v>
      </c>
      <c r="O304" s="917">
        <v>15.7356252670288</v>
      </c>
      <c r="P304" s="917">
        <v>22.100711822509801</v>
      </c>
      <c r="Q304" s="917">
        <v>25.9892463684082</v>
      </c>
      <c r="R304" s="917">
        <v>35.539012908935497</v>
      </c>
      <c r="S304" s="917">
        <v>35.597633361816399</v>
      </c>
      <c r="T304" s="917">
        <v>34.1677055358887</v>
      </c>
      <c r="U304" s="917">
        <v>35.613494873046903</v>
      </c>
      <c r="V304" s="917">
        <v>37.140151977539098</v>
      </c>
      <c r="W304" s="917">
        <v>45.276290893554702</v>
      </c>
      <c r="X304" s="917">
        <v>47.974498748779297</v>
      </c>
      <c r="Y304" s="917">
        <v>53.190200805664098</v>
      </c>
      <c r="Z304" s="917">
        <v>54.179977416992202</v>
      </c>
      <c r="AA304" s="310"/>
      <c r="AB304" s="310"/>
      <c r="AC304" s="310"/>
      <c r="AD304" s="310"/>
    </row>
    <row r="305" spans="1:30" x14ac:dyDescent="0.25">
      <c r="A305" s="915" t="s">
        <v>518</v>
      </c>
      <c r="B305" s="917">
        <v>1182.12585449219</v>
      </c>
      <c r="C305" s="917">
        <v>1235.06726074219</v>
      </c>
      <c r="D305" s="917">
        <v>1375.71740722656</v>
      </c>
      <c r="E305" s="917">
        <v>962.90069580078102</v>
      </c>
      <c r="F305" s="917">
        <v>955.10247802734398</v>
      </c>
      <c r="G305" s="917">
        <v>1077.93408203125</v>
      </c>
      <c r="H305" s="917">
        <v>1148.63012695313</v>
      </c>
      <c r="I305" s="917">
        <v>1208.03869628906</v>
      </c>
      <c r="J305" s="917">
        <v>1257.85314941406</v>
      </c>
      <c r="K305" s="917">
        <v>1302.93872070313</v>
      </c>
      <c r="L305" s="917">
        <v>1341.00268554688</v>
      </c>
      <c r="M305" s="917">
        <v>1380.78698730469</v>
      </c>
      <c r="N305" s="917">
        <v>1418.47583007813</v>
      </c>
      <c r="O305" s="917">
        <v>1450.00439453125</v>
      </c>
      <c r="P305" s="917">
        <v>1482.21008300781</v>
      </c>
      <c r="Q305" s="917">
        <v>1498.61206054688</v>
      </c>
      <c r="R305" s="917">
        <v>1517.25085449219</v>
      </c>
      <c r="S305" s="917">
        <v>1531.09912109375</v>
      </c>
      <c r="T305" s="917">
        <v>1545.45764160156</v>
      </c>
      <c r="U305" s="917">
        <v>1551.37438964844</v>
      </c>
      <c r="V305" s="917">
        <v>1575.12451171875</v>
      </c>
      <c r="W305" s="917">
        <v>1593.87463378906</v>
      </c>
      <c r="X305" s="917">
        <v>1628.986328125</v>
      </c>
      <c r="Y305" s="917">
        <v>1666.54272460938</v>
      </c>
      <c r="Z305" s="917">
        <v>1682.08471679688</v>
      </c>
      <c r="AA305" s="310"/>
      <c r="AB305" s="310"/>
      <c r="AC305" s="310"/>
      <c r="AD305" s="310"/>
    </row>
    <row r="306" spans="1:30" x14ac:dyDescent="0.25">
      <c r="AA306" s="310"/>
      <c r="AB306" s="310"/>
      <c r="AC306" s="310"/>
      <c r="AD306" s="310"/>
    </row>
    <row r="307" spans="1:30" x14ac:dyDescent="0.25">
      <c r="AA307" s="310"/>
      <c r="AB307" s="310"/>
      <c r="AC307" s="310"/>
      <c r="AD307" s="310"/>
    </row>
    <row r="308" spans="1:30" x14ac:dyDescent="0.25">
      <c r="A308" s="915" t="s">
        <v>726</v>
      </c>
      <c r="AA308" s="310"/>
      <c r="AB308" s="310"/>
      <c r="AC308" s="310"/>
      <c r="AD308" s="310"/>
    </row>
    <row r="309" spans="1:30" x14ac:dyDescent="0.25">
      <c r="A309" s="915" t="s">
        <v>473</v>
      </c>
      <c r="AA309" s="310"/>
      <c r="AB309" s="310"/>
      <c r="AC309" s="310"/>
      <c r="AD309" s="310"/>
    </row>
    <row r="310" spans="1:30" x14ac:dyDescent="0.25">
      <c r="A310" s="915" t="s">
        <v>609</v>
      </c>
      <c r="B310" s="917">
        <v>23.2563285827637</v>
      </c>
      <c r="C310" s="917">
        <v>24.973464965820298</v>
      </c>
      <c r="D310" s="917">
        <v>29.096658706665</v>
      </c>
      <c r="E310" s="917">
        <v>22.194786071777301</v>
      </c>
      <c r="F310" s="917">
        <v>21.477947235107401</v>
      </c>
      <c r="G310" s="917">
        <v>24.1509113311768</v>
      </c>
      <c r="H310" s="917">
        <v>26.557428359985401</v>
      </c>
      <c r="I310" s="917">
        <v>28.936630249023398</v>
      </c>
      <c r="J310" s="917">
        <v>31.2247924804688</v>
      </c>
      <c r="K310" s="917">
        <v>33.758499145507798</v>
      </c>
      <c r="L310" s="917">
        <v>35.743316650390597</v>
      </c>
      <c r="M310" s="917">
        <v>37.599853515625</v>
      </c>
      <c r="N310" s="917">
        <v>39.552177429199197</v>
      </c>
      <c r="O310" s="917">
        <v>40.9905815124512</v>
      </c>
      <c r="P310" s="917">
        <v>42.334590911865199</v>
      </c>
      <c r="Q310" s="917">
        <v>43.7123832702637</v>
      </c>
      <c r="R310" s="917">
        <v>44.985881805419901</v>
      </c>
      <c r="S310" s="917">
        <v>46.523696899414098</v>
      </c>
      <c r="T310" s="917">
        <v>47.765018463134801</v>
      </c>
      <c r="U310" s="917">
        <v>48.143123626708999</v>
      </c>
      <c r="V310" s="917">
        <v>49.548942565917997</v>
      </c>
      <c r="W310" s="917">
        <v>50.986961364746101</v>
      </c>
      <c r="X310" s="917">
        <v>52.580905914306598</v>
      </c>
      <c r="Y310" s="917">
        <v>53.965934753417997</v>
      </c>
      <c r="Z310" s="917">
        <v>55.648300170898402</v>
      </c>
      <c r="AA310" s="310"/>
      <c r="AB310" s="310"/>
      <c r="AC310" s="310"/>
      <c r="AD310" s="310"/>
    </row>
    <row r="311" spans="1:30" x14ac:dyDescent="0.25">
      <c r="A311" s="915" t="s">
        <v>610</v>
      </c>
      <c r="B311" s="917">
        <v>17.979913711547901</v>
      </c>
      <c r="C311" s="917">
        <v>19.664405822753899</v>
      </c>
      <c r="D311" s="917">
        <v>24.466548919677699</v>
      </c>
      <c r="E311" s="917">
        <v>16.188474655151399</v>
      </c>
      <c r="F311" s="917">
        <v>13.8549404144287</v>
      </c>
      <c r="G311" s="917">
        <v>16.4927158355713</v>
      </c>
      <c r="H311" s="917">
        <v>18.5955104827881</v>
      </c>
      <c r="I311" s="917">
        <v>20.348911285400401</v>
      </c>
      <c r="J311" s="917">
        <v>22.1809597015381</v>
      </c>
      <c r="K311" s="917">
        <v>24.3712253570557</v>
      </c>
      <c r="L311" s="917">
        <v>25.9372863769531</v>
      </c>
      <c r="M311" s="917">
        <v>27.5034885406494</v>
      </c>
      <c r="N311" s="917">
        <v>29.0146675109863</v>
      </c>
      <c r="O311" s="917">
        <v>30.168525695800799</v>
      </c>
      <c r="P311" s="917">
        <v>31.2883205413818</v>
      </c>
      <c r="Q311" s="917">
        <v>32.275276184082003</v>
      </c>
      <c r="R311" s="917">
        <v>33.246475219726598</v>
      </c>
      <c r="S311" s="917">
        <v>34.4459838867188</v>
      </c>
      <c r="T311" s="917">
        <v>35.640113830566399</v>
      </c>
      <c r="U311" s="917">
        <v>35.882171630859403</v>
      </c>
      <c r="V311" s="917">
        <v>37.065284729003899</v>
      </c>
      <c r="W311" s="917">
        <v>38.310382843017599</v>
      </c>
      <c r="X311" s="917">
        <v>39.641868591308601</v>
      </c>
      <c r="Y311" s="917">
        <v>40.905982971191399</v>
      </c>
      <c r="Z311" s="917">
        <v>42.365245819091797</v>
      </c>
      <c r="AA311" s="310"/>
      <c r="AB311" s="310"/>
      <c r="AC311" s="310"/>
      <c r="AD311" s="310"/>
    </row>
    <row r="312" spans="1:30" x14ac:dyDescent="0.25">
      <c r="A312" s="915" t="s">
        <v>510</v>
      </c>
      <c r="B312" s="917">
        <v>13.3406887054443</v>
      </c>
      <c r="C312" s="917">
        <v>12.691158294677701</v>
      </c>
      <c r="D312" s="917">
        <v>13.2631158828735</v>
      </c>
      <c r="E312" s="917">
        <v>11.061133384704601</v>
      </c>
      <c r="F312" s="917">
        <v>11.614992141723601</v>
      </c>
      <c r="G312" s="917">
        <v>12.061012268066399</v>
      </c>
      <c r="H312" s="917">
        <v>12.1186227798462</v>
      </c>
      <c r="I312" s="917">
        <v>12.236530303955099</v>
      </c>
      <c r="J312" s="917">
        <v>12.476335525512701</v>
      </c>
      <c r="K312" s="917">
        <v>12.8177757263184</v>
      </c>
      <c r="L312" s="917">
        <v>13.333586692810099</v>
      </c>
      <c r="M312" s="917">
        <v>13.900782585144</v>
      </c>
      <c r="N312" s="917">
        <v>14.492022514343301</v>
      </c>
      <c r="O312" s="917">
        <v>15.1641521453857</v>
      </c>
      <c r="P312" s="917">
        <v>15.945101737976101</v>
      </c>
      <c r="Q312" s="917">
        <v>16.661958694458001</v>
      </c>
      <c r="R312" s="917">
        <v>17.186347961425799</v>
      </c>
      <c r="S312" s="917">
        <v>17.308622360229499</v>
      </c>
      <c r="T312" s="917">
        <v>17.6488857269287</v>
      </c>
      <c r="U312" s="917">
        <v>17.9868679046631</v>
      </c>
      <c r="V312" s="917">
        <v>18.635103225708001</v>
      </c>
      <c r="W312" s="917">
        <v>19.4500408172607</v>
      </c>
      <c r="X312" s="917">
        <v>20.3657627105713</v>
      </c>
      <c r="Y312" s="917">
        <v>21.1996364593506</v>
      </c>
      <c r="Z312" s="917">
        <v>22.095756530761701</v>
      </c>
      <c r="AA312" s="310"/>
      <c r="AB312" s="310"/>
      <c r="AC312" s="310"/>
      <c r="AD312" s="310"/>
    </row>
    <row r="313" spans="1:30" x14ac:dyDescent="0.25">
      <c r="A313" s="915" t="s">
        <v>479</v>
      </c>
      <c r="B313" s="917">
        <v>30.388185501098601</v>
      </c>
      <c r="C313" s="917">
        <v>31.181957244873001</v>
      </c>
      <c r="D313" s="917">
        <v>32.471218109130902</v>
      </c>
      <c r="E313" s="917">
        <v>31.722009658813501</v>
      </c>
      <c r="F313" s="917">
        <v>29.6958332061768</v>
      </c>
      <c r="G313" s="917">
        <v>31.365653991699201</v>
      </c>
      <c r="H313" s="917">
        <v>32.001548767089801</v>
      </c>
      <c r="I313" s="917">
        <v>32.924289703369098</v>
      </c>
      <c r="J313" s="917">
        <v>34.030689239502003</v>
      </c>
      <c r="K313" s="917">
        <v>34.890899658203097</v>
      </c>
      <c r="L313" s="917">
        <v>35.995761871337898</v>
      </c>
      <c r="M313" s="917">
        <v>37.227577209472699</v>
      </c>
      <c r="N313" s="917">
        <v>38.5026245117188</v>
      </c>
      <c r="O313" s="917">
        <v>39.672031402587898</v>
      </c>
      <c r="P313" s="917">
        <v>41.180412292480497</v>
      </c>
      <c r="Q313" s="917">
        <v>42.698352813720703</v>
      </c>
      <c r="R313" s="917">
        <v>44.053905487060497</v>
      </c>
      <c r="S313" s="917">
        <v>45.011627197265597</v>
      </c>
      <c r="T313" s="917">
        <v>46.023651123046903</v>
      </c>
      <c r="U313" s="917">
        <v>46.971866607666001</v>
      </c>
      <c r="V313" s="917">
        <v>48.032154083252003</v>
      </c>
      <c r="W313" s="917">
        <v>49.565544128417997</v>
      </c>
      <c r="X313" s="917">
        <v>51.240451812744098</v>
      </c>
      <c r="Y313" s="917">
        <v>52.949665069580099</v>
      </c>
      <c r="Z313" s="917">
        <v>54.583251953125</v>
      </c>
      <c r="AA313" s="310"/>
      <c r="AB313" s="310"/>
      <c r="AC313" s="310"/>
      <c r="AD313" s="310"/>
    </row>
    <row r="314" spans="1:30" x14ac:dyDescent="0.25">
      <c r="AA314" s="310"/>
      <c r="AB314" s="310"/>
      <c r="AC314" s="310"/>
      <c r="AD314" s="310"/>
    </row>
    <row r="315" spans="1:30" x14ac:dyDescent="0.25">
      <c r="A315" s="915" t="s">
        <v>480</v>
      </c>
      <c r="AA315" s="310"/>
      <c r="AB315" s="310"/>
      <c r="AC315" s="310"/>
      <c r="AD315" s="310"/>
    </row>
    <row r="316" spans="1:30" x14ac:dyDescent="0.25">
      <c r="A316" s="915" t="s">
        <v>609</v>
      </c>
      <c r="B316" s="917">
        <v>20.6414604187012</v>
      </c>
      <c r="C316" s="917">
        <v>23.041419982910199</v>
      </c>
      <c r="D316" s="917">
        <v>24.0578727722168</v>
      </c>
      <c r="E316" s="917">
        <v>21.6475944519043</v>
      </c>
      <c r="F316" s="917">
        <v>18.202018737793001</v>
      </c>
      <c r="G316" s="917">
        <v>20.8180141448975</v>
      </c>
      <c r="H316" s="917">
        <v>23.171899795532202</v>
      </c>
      <c r="I316" s="917">
        <v>25.4778232574463</v>
      </c>
      <c r="J316" s="917">
        <v>27.6801948547363</v>
      </c>
      <c r="K316" s="917">
        <v>30.122516632080099</v>
      </c>
      <c r="L316" s="917">
        <v>32.012001037597699</v>
      </c>
      <c r="M316" s="917">
        <v>33.770454406738303</v>
      </c>
      <c r="N316" s="917">
        <v>35.6212158203125</v>
      </c>
      <c r="O316" s="917">
        <v>36.9546508789063</v>
      </c>
      <c r="P316" s="917">
        <v>38.187240600585902</v>
      </c>
      <c r="Q316" s="917">
        <v>39.449775695800803</v>
      </c>
      <c r="R316" s="917">
        <v>40.605808258056598</v>
      </c>
      <c r="S316" s="917">
        <v>42.0293998718262</v>
      </c>
      <c r="T316" s="917">
        <v>43.160079956054702</v>
      </c>
      <c r="U316" s="917">
        <v>43.432140350341797</v>
      </c>
      <c r="V316" s="917">
        <v>44.7312202453613</v>
      </c>
      <c r="W316" s="917">
        <v>46.061283111572301</v>
      </c>
      <c r="X316" s="917">
        <v>47.542713165283203</v>
      </c>
      <c r="Y316" s="917">
        <v>48.814918518066399</v>
      </c>
      <c r="Z316" s="917">
        <v>50.382663726806598</v>
      </c>
      <c r="AA316" s="310"/>
      <c r="AB316" s="310"/>
      <c r="AC316" s="310"/>
      <c r="AD316" s="310"/>
    </row>
    <row r="317" spans="1:30" x14ac:dyDescent="0.25">
      <c r="A317" s="915" t="s">
        <v>610</v>
      </c>
      <c r="B317" s="917">
        <v>14.625953674316399</v>
      </c>
      <c r="C317" s="917">
        <v>16.054100036621101</v>
      </c>
      <c r="D317" s="917">
        <v>21.4175109863281</v>
      </c>
      <c r="E317" s="917">
        <v>14.1806936264038</v>
      </c>
      <c r="F317" s="917">
        <v>11.1656141281128</v>
      </c>
      <c r="G317" s="917">
        <v>13.940697669982899</v>
      </c>
      <c r="H317" s="917">
        <v>16.055301666259801</v>
      </c>
      <c r="I317" s="917">
        <v>18.2004089355469</v>
      </c>
      <c r="J317" s="917">
        <v>20.072311401367202</v>
      </c>
      <c r="K317" s="917">
        <v>21.922914505004901</v>
      </c>
      <c r="L317" s="917">
        <v>23.436100006103501</v>
      </c>
      <c r="M317" s="917">
        <v>24.993484497070298</v>
      </c>
      <c r="N317" s="917">
        <v>26.4673175811768</v>
      </c>
      <c r="O317" s="917">
        <v>27.614213943481399</v>
      </c>
      <c r="P317" s="917">
        <v>28.7058811187744</v>
      </c>
      <c r="Q317" s="917">
        <v>29.4854850769043</v>
      </c>
      <c r="R317" s="917">
        <v>30.5256862640381</v>
      </c>
      <c r="S317" s="917">
        <v>31.597146987915</v>
      </c>
      <c r="T317" s="917">
        <v>32.548923492431598</v>
      </c>
      <c r="U317" s="917">
        <v>32.997859954833999</v>
      </c>
      <c r="V317" s="917">
        <v>34.165657043457003</v>
      </c>
      <c r="W317" s="917">
        <v>35.000114440917997</v>
      </c>
      <c r="X317" s="917">
        <v>36.3691596984863</v>
      </c>
      <c r="Y317" s="917">
        <v>37.943679809570298</v>
      </c>
      <c r="Z317" s="917">
        <v>39.006439208984403</v>
      </c>
      <c r="AA317" s="310"/>
      <c r="AB317" s="310"/>
      <c r="AC317" s="310"/>
      <c r="AD317" s="310"/>
    </row>
    <row r="318" spans="1:30" x14ac:dyDescent="0.25">
      <c r="A318" s="915" t="s">
        <v>723</v>
      </c>
      <c r="B318" s="917">
        <v>8.64862155914307</v>
      </c>
      <c r="C318" s="917">
        <v>10.3074436187744</v>
      </c>
      <c r="D318" s="917">
        <v>13.7067270278931</v>
      </c>
      <c r="E318" s="917">
        <v>6.9139137268066397</v>
      </c>
      <c r="F318" s="917">
        <v>6.0204734802246103</v>
      </c>
      <c r="G318" s="917">
        <v>9.0269355773925799</v>
      </c>
      <c r="H318" s="917">
        <v>10.767860412597701</v>
      </c>
      <c r="I318" s="917">
        <v>12.611166954040501</v>
      </c>
      <c r="J318" s="917">
        <v>14.3083610534668</v>
      </c>
      <c r="K318" s="917">
        <v>16.269037246704102</v>
      </c>
      <c r="L318" s="917">
        <v>17.569841384887699</v>
      </c>
      <c r="M318" s="917">
        <v>18.511304855346701</v>
      </c>
      <c r="N318" s="917">
        <v>19.7891235351563</v>
      </c>
      <c r="O318" s="917">
        <v>20.573390960693398</v>
      </c>
      <c r="P318" s="917">
        <v>21.404872894287099</v>
      </c>
      <c r="Q318" s="917">
        <v>22.193275451660199</v>
      </c>
      <c r="R318" s="917">
        <v>22.9593410491943</v>
      </c>
      <c r="S318" s="917">
        <v>23.7928276062012</v>
      </c>
      <c r="T318" s="917">
        <v>24.398706436157202</v>
      </c>
      <c r="U318" s="917">
        <v>24.292516708373999</v>
      </c>
      <c r="V318" s="917">
        <v>25.0136394500732</v>
      </c>
      <c r="W318" s="917">
        <v>25.751762390136701</v>
      </c>
      <c r="X318" s="917">
        <v>26.606601715087901</v>
      </c>
      <c r="Y318" s="917">
        <v>27.4516487121582</v>
      </c>
      <c r="Z318" s="917">
        <v>28.286119461059599</v>
      </c>
      <c r="AA318" s="310"/>
      <c r="AB318" s="310"/>
      <c r="AC318" s="310"/>
      <c r="AD318" s="310"/>
    </row>
    <row r="319" spans="1:30" x14ac:dyDescent="0.25">
      <c r="A319" s="915" t="s">
        <v>510</v>
      </c>
      <c r="B319" s="917">
        <v>11.5840444564819</v>
      </c>
      <c r="C319" s="917">
        <v>10.9898433685303</v>
      </c>
      <c r="D319" s="917">
        <v>11.588038444519</v>
      </c>
      <c r="E319" s="917">
        <v>9.1930990219116193</v>
      </c>
      <c r="F319" s="917">
        <v>9.8226709365844709</v>
      </c>
      <c r="G319" s="917">
        <v>10.233100891113301</v>
      </c>
      <c r="H319" s="917">
        <v>10.334647178649901</v>
      </c>
      <c r="I319" s="917">
        <v>10.4663095474243</v>
      </c>
      <c r="J319" s="917">
        <v>10.734943389892599</v>
      </c>
      <c r="K319" s="917">
        <v>11.106437683105501</v>
      </c>
      <c r="L319" s="917">
        <v>11.600093841552701</v>
      </c>
      <c r="M319" s="917">
        <v>12.1229543685913</v>
      </c>
      <c r="N319" s="917">
        <v>12.6781578063965</v>
      </c>
      <c r="O319" s="917">
        <v>13.3144483566284</v>
      </c>
      <c r="P319" s="917">
        <v>14.069993019104</v>
      </c>
      <c r="Q319" s="917">
        <v>14.7329454421997</v>
      </c>
      <c r="R319" s="917">
        <v>15.223674774169901</v>
      </c>
      <c r="S319" s="917">
        <v>15.329276084899901</v>
      </c>
      <c r="T319" s="917">
        <v>15.6546773910522</v>
      </c>
      <c r="U319" s="917">
        <v>15.9318437576294</v>
      </c>
      <c r="V319" s="917">
        <v>16.5416469573975</v>
      </c>
      <c r="W319" s="917">
        <v>17.316057205200199</v>
      </c>
      <c r="X319" s="917">
        <v>18.194717407226602</v>
      </c>
      <c r="Y319" s="917">
        <v>18.967941284179702</v>
      </c>
      <c r="Z319" s="917">
        <v>19.811794281005898</v>
      </c>
      <c r="AA319" s="310"/>
      <c r="AB319" s="310"/>
      <c r="AC319" s="310"/>
      <c r="AD319" s="310"/>
    </row>
    <row r="320" spans="1:30" x14ac:dyDescent="0.25">
      <c r="A320" s="915" t="s">
        <v>479</v>
      </c>
      <c r="B320" s="917">
        <v>27.631908416748001</v>
      </c>
      <c r="C320" s="917">
        <v>28.029735565185501</v>
      </c>
      <c r="D320" s="917">
        <v>29.6960258483887</v>
      </c>
      <c r="E320" s="917">
        <v>28.491619110107401</v>
      </c>
      <c r="F320" s="917">
        <v>25.7724418640137</v>
      </c>
      <c r="G320" s="917">
        <v>26.858903884887699</v>
      </c>
      <c r="H320" s="917">
        <v>27.045906066894499</v>
      </c>
      <c r="I320" s="917">
        <v>27.5620422363281</v>
      </c>
      <c r="J320" s="917">
        <v>28.370775222778299</v>
      </c>
      <c r="K320" s="917">
        <v>29.106733322143601</v>
      </c>
      <c r="L320" s="917">
        <v>30.1617736816406</v>
      </c>
      <c r="M320" s="917">
        <v>31.290737152099599</v>
      </c>
      <c r="N320" s="917">
        <v>32.536418914794901</v>
      </c>
      <c r="O320" s="917">
        <v>33.661582946777301</v>
      </c>
      <c r="P320" s="917">
        <v>35.072307586669901</v>
      </c>
      <c r="Q320" s="917">
        <v>36.4632377624512</v>
      </c>
      <c r="R320" s="917">
        <v>37.713531494140597</v>
      </c>
      <c r="S320" s="917">
        <v>38.535266876220703</v>
      </c>
      <c r="T320" s="917">
        <v>39.429233551025398</v>
      </c>
      <c r="U320" s="917">
        <v>40.172752380371101</v>
      </c>
      <c r="V320" s="917">
        <v>41.0662841796875</v>
      </c>
      <c r="W320" s="917">
        <v>42.386928558349602</v>
      </c>
      <c r="X320" s="917">
        <v>43.920989990234403</v>
      </c>
      <c r="Y320" s="917">
        <v>45.4139213562012</v>
      </c>
      <c r="Z320" s="917">
        <v>46.925571441650398</v>
      </c>
      <c r="AA320" s="310"/>
      <c r="AB320" s="310"/>
      <c r="AC320" s="310"/>
      <c r="AD320" s="310"/>
    </row>
    <row r="321" spans="1:30" x14ac:dyDescent="0.25">
      <c r="AA321" s="310"/>
      <c r="AB321" s="310"/>
      <c r="AC321" s="310"/>
      <c r="AD321" s="310"/>
    </row>
    <row r="322" spans="1:30" x14ac:dyDescent="0.25">
      <c r="A322" s="915" t="s">
        <v>612</v>
      </c>
      <c r="AA322" s="310"/>
      <c r="AB322" s="310"/>
      <c r="AC322" s="310"/>
      <c r="AD322" s="310"/>
    </row>
    <row r="323" spans="1:30" x14ac:dyDescent="0.25">
      <c r="A323" s="915" t="s">
        <v>609</v>
      </c>
      <c r="B323" s="917">
        <v>20.489143371581999</v>
      </c>
      <c r="C323" s="917">
        <v>23.3795166015625</v>
      </c>
      <c r="D323" s="917">
        <v>27.232301712036101</v>
      </c>
      <c r="E323" s="917">
        <v>22.957033157348601</v>
      </c>
      <c r="F323" s="917">
        <v>17.265552520751999</v>
      </c>
      <c r="G323" s="917">
        <v>19.8652458190918</v>
      </c>
      <c r="H323" s="917">
        <v>22.207704544067401</v>
      </c>
      <c r="I323" s="917">
        <v>24.495702743530298</v>
      </c>
      <c r="J323" s="917">
        <v>26.6714878082275</v>
      </c>
      <c r="K323" s="917">
        <v>29.0830192565918</v>
      </c>
      <c r="L323" s="917">
        <v>30.951156616210898</v>
      </c>
      <c r="M323" s="917">
        <v>32.690711975097699</v>
      </c>
      <c r="N323" s="917">
        <v>34.514808654785199</v>
      </c>
      <c r="O323" s="917">
        <v>35.846107482910199</v>
      </c>
      <c r="P323" s="917">
        <v>37.040077209472699</v>
      </c>
      <c r="Q323" s="917">
        <v>38.301750183105497</v>
      </c>
      <c r="R323" s="917">
        <v>39.421558380127003</v>
      </c>
      <c r="S323" s="917">
        <v>40.814861297607401</v>
      </c>
      <c r="T323" s="917">
        <v>41.884078979492202</v>
      </c>
      <c r="U323" s="917">
        <v>42.155609130859403</v>
      </c>
      <c r="V323" s="917">
        <v>43.402267456054702</v>
      </c>
      <c r="W323" s="917">
        <v>44.705905914306598</v>
      </c>
      <c r="X323" s="917">
        <v>46.153343200683601</v>
      </c>
      <c r="Y323" s="917">
        <v>47.236614227294901</v>
      </c>
      <c r="Z323" s="917">
        <v>48.820529937744098</v>
      </c>
      <c r="AA323" s="310"/>
      <c r="AB323" s="310"/>
      <c r="AC323" s="310"/>
      <c r="AD323" s="310"/>
    </row>
    <row r="324" spans="1:30" x14ac:dyDescent="0.25">
      <c r="A324" s="915" t="s">
        <v>610</v>
      </c>
      <c r="B324" s="917">
        <v>15.3226671218872</v>
      </c>
      <c r="C324" s="917">
        <v>16.8219394683838</v>
      </c>
      <c r="D324" s="917">
        <v>22.4200763702393</v>
      </c>
      <c r="E324" s="917">
        <v>14.749831199646</v>
      </c>
      <c r="F324" s="917">
        <v>11.025536537170399</v>
      </c>
      <c r="G324" s="917">
        <v>14.0721025466919</v>
      </c>
      <c r="H324" s="917">
        <v>16.2283020019531</v>
      </c>
      <c r="I324" s="917">
        <v>18.6841716766357</v>
      </c>
      <c r="J324" s="917">
        <v>20.619239807128899</v>
      </c>
      <c r="K324" s="917">
        <v>22.302150726318398</v>
      </c>
      <c r="L324" s="917">
        <v>23.831027984619102</v>
      </c>
      <c r="M324" s="917">
        <v>25.434989929199201</v>
      </c>
      <c r="N324" s="917">
        <v>26.940843582153299</v>
      </c>
      <c r="O324" s="917">
        <v>28.1489963531494</v>
      </c>
      <c r="P324" s="917">
        <v>29.2844352722168</v>
      </c>
      <c r="Q324" s="917">
        <v>29.987220764160199</v>
      </c>
      <c r="R324" s="917">
        <v>31.1475830078125</v>
      </c>
      <c r="S324" s="917">
        <v>32.191192626953097</v>
      </c>
      <c r="T324" s="917">
        <v>33.043167114257798</v>
      </c>
      <c r="U324" s="917">
        <v>33.6753120422363</v>
      </c>
      <c r="V324" s="917">
        <v>34.892765045166001</v>
      </c>
      <c r="W324" s="917">
        <v>35.508182525634801</v>
      </c>
      <c r="X324" s="917">
        <v>36.966400146484403</v>
      </c>
      <c r="Y324" s="917">
        <v>38.821296691894503</v>
      </c>
      <c r="Z324" s="917">
        <v>39.679729461669901</v>
      </c>
      <c r="AA324" s="310"/>
      <c r="AB324" s="310"/>
      <c r="AC324" s="310"/>
      <c r="AD324" s="310"/>
    </row>
    <row r="325" spans="1:30" x14ac:dyDescent="0.25">
      <c r="A325" s="915" t="s">
        <v>611</v>
      </c>
      <c r="B325" s="917">
        <v>8.9709205627441406</v>
      </c>
      <c r="C325" s="917">
        <v>10.5954837799072</v>
      </c>
      <c r="D325" s="917">
        <v>14.049506187439</v>
      </c>
      <c r="E325" s="917">
        <v>7.1343002319335902</v>
      </c>
      <c r="F325" s="917">
        <v>10.215766906738301</v>
      </c>
      <c r="G325" s="917">
        <v>12.8617763519287</v>
      </c>
      <c r="H325" s="917">
        <v>14.814771652221699</v>
      </c>
      <c r="I325" s="917">
        <v>16.696189880371101</v>
      </c>
      <c r="J325" s="917">
        <v>18.396284103393601</v>
      </c>
      <c r="K325" s="917">
        <v>20.378862380981399</v>
      </c>
      <c r="L325" s="917">
        <v>21.7460041046143</v>
      </c>
      <c r="M325" s="917">
        <v>22.969861984252901</v>
      </c>
      <c r="N325" s="917">
        <v>24.3396511077881</v>
      </c>
      <c r="O325" s="917">
        <v>25.3345756530762</v>
      </c>
      <c r="P325" s="917">
        <v>26.3205471038818</v>
      </c>
      <c r="Q325" s="917">
        <v>27.310920715331999</v>
      </c>
      <c r="R325" s="917">
        <v>28.174968719482401</v>
      </c>
      <c r="S325" s="917">
        <v>29.129919052123999</v>
      </c>
      <c r="T325" s="917">
        <v>29.910713195800799</v>
      </c>
      <c r="U325" s="917">
        <v>30.004579544067401</v>
      </c>
      <c r="V325" s="917">
        <v>30.867444992065401</v>
      </c>
      <c r="W325" s="917">
        <v>31.741449356079102</v>
      </c>
      <c r="X325" s="917">
        <v>32.901214599609403</v>
      </c>
      <c r="Y325" s="917">
        <v>33.791465759277301</v>
      </c>
      <c r="Z325" s="917">
        <v>34.9404487609863</v>
      </c>
      <c r="AA325" s="310"/>
      <c r="AB325" s="310"/>
      <c r="AC325" s="310"/>
      <c r="AD325" s="310"/>
    </row>
    <row r="326" spans="1:30" x14ac:dyDescent="0.25">
      <c r="A326" s="915" t="s">
        <v>613</v>
      </c>
      <c r="B326" s="917">
        <v>7.7454247474670401</v>
      </c>
      <c r="C326" s="917">
        <v>7.5152516365051296</v>
      </c>
      <c r="D326" s="917">
        <v>8.9947338104247994</v>
      </c>
      <c r="E326" s="917">
        <v>5.0039734840393102</v>
      </c>
      <c r="F326" s="917">
        <v>5.7063522338867196</v>
      </c>
      <c r="G326" s="917">
        <v>6.1171517372131303</v>
      </c>
      <c r="H326" s="917">
        <v>6.2487673759460396</v>
      </c>
      <c r="I326" s="917">
        <v>6.4428400993347203</v>
      </c>
      <c r="J326" s="917">
        <v>6.7520828247070304</v>
      </c>
      <c r="K326" s="917">
        <v>7.1508984565734899</v>
      </c>
      <c r="L326" s="917">
        <v>7.5258989334106401</v>
      </c>
      <c r="M326" s="917">
        <v>7.9240221977233896</v>
      </c>
      <c r="N326" s="917">
        <v>8.3488731384277308</v>
      </c>
      <c r="O326" s="917">
        <v>8.8619937896728498</v>
      </c>
      <c r="P326" s="917">
        <v>9.4837093353271502</v>
      </c>
      <c r="Q326" s="917">
        <v>9.9987487792968803</v>
      </c>
      <c r="R326" s="917">
        <v>10.352954864501999</v>
      </c>
      <c r="S326" s="917">
        <v>10.3336448669434</v>
      </c>
      <c r="T326" s="917">
        <v>10.549848556518601</v>
      </c>
      <c r="U326" s="917">
        <v>10.6489877700806</v>
      </c>
      <c r="V326" s="917">
        <v>11.076291084289601</v>
      </c>
      <c r="W326" s="917">
        <v>11.6912574768066</v>
      </c>
      <c r="X326" s="917">
        <v>12.4464559555054</v>
      </c>
      <c r="Y326" s="917">
        <v>13.0579080581665</v>
      </c>
      <c r="Z326" s="917">
        <v>13.758059501647899</v>
      </c>
      <c r="AA326" s="310"/>
      <c r="AB326" s="310"/>
      <c r="AC326" s="310"/>
      <c r="AD326" s="310"/>
    </row>
    <row r="327" spans="1:30" x14ac:dyDescent="0.25">
      <c r="A327" s="915" t="s">
        <v>614</v>
      </c>
      <c r="B327" s="917">
        <v>3.53999996185303</v>
      </c>
      <c r="C327" s="917">
        <v>3.6099998950958301</v>
      </c>
      <c r="D327" s="917">
        <v>4.1449666023254403</v>
      </c>
      <c r="E327" s="917">
        <v>4.1784791946411097</v>
      </c>
      <c r="F327" s="917">
        <v>4.1485314369201696</v>
      </c>
      <c r="G327" s="917">
        <v>4.3175525665283203</v>
      </c>
      <c r="H327" s="917">
        <v>4.44484186172485</v>
      </c>
      <c r="I327" s="917">
        <v>4.5821456909179696</v>
      </c>
      <c r="J327" s="917">
        <v>4.7206311225891104</v>
      </c>
      <c r="K327" s="917">
        <v>4.8563599586486799</v>
      </c>
      <c r="L327" s="917">
        <v>4.9913563728332502</v>
      </c>
      <c r="M327" s="917">
        <v>5.1233406066894496</v>
      </c>
      <c r="N327" s="917">
        <v>5.2680139541626003</v>
      </c>
      <c r="O327" s="917">
        <v>5.4137320518493697</v>
      </c>
      <c r="P327" s="917">
        <v>5.5743689537048304</v>
      </c>
      <c r="Q327" s="917">
        <v>5.7906579971313503</v>
      </c>
      <c r="R327" s="917">
        <v>6.0209679603576696</v>
      </c>
      <c r="S327" s="917">
        <v>6.20045709609985</v>
      </c>
      <c r="T327" s="917">
        <v>6.3775997161865199</v>
      </c>
      <c r="U327" s="917">
        <v>6.5161404609680202</v>
      </c>
      <c r="V327" s="917">
        <v>6.6299972534179696</v>
      </c>
      <c r="W327" s="917">
        <v>6.7667918205261204</v>
      </c>
      <c r="X327" s="917">
        <v>6.88553714752197</v>
      </c>
      <c r="Y327" s="917">
        <v>6.9704546928405797</v>
      </c>
      <c r="Z327" s="917">
        <v>7.0137753486633301</v>
      </c>
    </row>
    <row r="328" spans="1:30" x14ac:dyDescent="0.25">
      <c r="A328" s="915" t="s">
        <v>615</v>
      </c>
      <c r="B328" s="917">
        <v>2.3399634361267099</v>
      </c>
      <c r="C328" s="917">
        <v>2.4299483299255402</v>
      </c>
      <c r="D328" s="917">
        <v>2.5979068279266402</v>
      </c>
      <c r="E328" s="917">
        <v>2.52754878997803</v>
      </c>
      <c r="F328" s="917">
        <v>2.4808654785156299</v>
      </c>
      <c r="G328" s="917">
        <v>2.6002757549285902</v>
      </c>
      <c r="H328" s="917">
        <v>2.6509947776794398</v>
      </c>
      <c r="I328" s="917">
        <v>2.73208808898926</v>
      </c>
      <c r="J328" s="917">
        <v>2.8122007846832302</v>
      </c>
      <c r="K328" s="917">
        <v>2.8687095642089799</v>
      </c>
      <c r="L328" s="917">
        <v>2.94158983230591</v>
      </c>
      <c r="M328" s="917">
        <v>3.0178208351135298</v>
      </c>
      <c r="N328" s="917">
        <v>3.1028199195861799</v>
      </c>
      <c r="O328" s="917">
        <v>3.17316722869873</v>
      </c>
      <c r="P328" s="917">
        <v>3.2616541385650599</v>
      </c>
      <c r="Q328" s="917">
        <v>3.3479356765747101</v>
      </c>
      <c r="R328" s="917">
        <v>3.4371068477630602</v>
      </c>
      <c r="S328" s="917">
        <v>3.5193088054657</v>
      </c>
      <c r="T328" s="917">
        <v>3.6053638458252002</v>
      </c>
      <c r="U328" s="917">
        <v>3.6816923618316699</v>
      </c>
      <c r="V328" s="917">
        <v>3.7800858020782502</v>
      </c>
      <c r="W328" s="917">
        <v>3.88063645362854</v>
      </c>
      <c r="X328" s="917">
        <v>3.98858737945557</v>
      </c>
      <c r="Y328" s="917">
        <v>4.1003923416137704</v>
      </c>
      <c r="Z328" s="917">
        <v>4.2166938781738299</v>
      </c>
    </row>
    <row r="329" spans="1:30" x14ac:dyDescent="0.25">
      <c r="A329" s="915" t="s">
        <v>616</v>
      </c>
      <c r="B329" s="917">
        <v>0</v>
      </c>
      <c r="C329" s="917">
        <v>0</v>
      </c>
      <c r="D329" s="917">
        <v>0</v>
      </c>
      <c r="E329" s="917">
        <v>0</v>
      </c>
      <c r="F329" s="917">
        <v>0</v>
      </c>
      <c r="G329" s="917">
        <v>1.5889266729354901</v>
      </c>
      <c r="H329" s="917">
        <v>1.46094393730164</v>
      </c>
      <c r="I329" s="917">
        <v>1.28843116760254</v>
      </c>
      <c r="J329" s="917">
        <v>1.5101318359375</v>
      </c>
      <c r="K329" s="917">
        <v>1.50810551643372</v>
      </c>
      <c r="L329" s="917">
        <v>1.5213859081268299</v>
      </c>
      <c r="M329" s="917">
        <v>1.53951179981232</v>
      </c>
      <c r="N329" s="917">
        <v>1.58338570594788</v>
      </c>
      <c r="O329" s="917">
        <v>1.63723039627075</v>
      </c>
      <c r="P329" s="917">
        <v>1.71289122104645</v>
      </c>
      <c r="Q329" s="917">
        <v>1.76114201545715</v>
      </c>
      <c r="R329" s="917">
        <v>1.8119050264358501</v>
      </c>
      <c r="S329" s="917">
        <v>1.8629466295242301</v>
      </c>
      <c r="T329" s="917">
        <v>1.9169825315475499</v>
      </c>
      <c r="U329" s="917">
        <v>1.9466364383697501</v>
      </c>
      <c r="V329" s="917">
        <v>1.9911848306655899</v>
      </c>
      <c r="W329" s="917">
        <v>2.0416746139526398</v>
      </c>
      <c r="X329" s="917">
        <v>2.09020328521729</v>
      </c>
      <c r="Y329" s="917">
        <v>2.1373581886291499</v>
      </c>
      <c r="Z329" s="917">
        <v>2.1847438812255899</v>
      </c>
    </row>
    <row r="330" spans="1:30" x14ac:dyDescent="0.25">
      <c r="A330" s="915" t="s">
        <v>479</v>
      </c>
      <c r="B330" s="917">
        <v>17.918214797973601</v>
      </c>
      <c r="C330" s="917">
        <v>18.6226921081543</v>
      </c>
      <c r="D330" s="917">
        <v>20.7813816070557</v>
      </c>
      <c r="E330" s="917">
        <v>19.773582458496101</v>
      </c>
      <c r="F330" s="917">
        <v>17.462970733642599</v>
      </c>
      <c r="G330" s="917">
        <v>18.126573562622099</v>
      </c>
      <c r="H330" s="917">
        <v>18.238889694213899</v>
      </c>
      <c r="I330" s="917">
        <v>18.4867153167725</v>
      </c>
      <c r="J330" s="917">
        <v>19.006654739379901</v>
      </c>
      <c r="K330" s="917">
        <v>19.565620422363299</v>
      </c>
      <c r="L330" s="917">
        <v>20.355871200561499</v>
      </c>
      <c r="M330" s="917">
        <v>21.173530578613299</v>
      </c>
      <c r="N330" s="917">
        <v>22.037576675415</v>
      </c>
      <c r="O330" s="917">
        <v>22.867145538330099</v>
      </c>
      <c r="P330" s="917">
        <v>23.876249313354499</v>
      </c>
      <c r="Q330" s="917">
        <v>24.851699829101602</v>
      </c>
      <c r="R330" s="917">
        <v>25.777753829956101</v>
      </c>
      <c r="S330" s="917">
        <v>26.392097473144499</v>
      </c>
      <c r="T330" s="917">
        <v>27.017583847045898</v>
      </c>
      <c r="U330" s="917">
        <v>27.588447570800799</v>
      </c>
      <c r="V330" s="917">
        <v>28.206142425537099</v>
      </c>
      <c r="W330" s="917">
        <v>29.1773777008057</v>
      </c>
      <c r="X330" s="917">
        <v>30.336851119995099</v>
      </c>
      <c r="Y330" s="917">
        <v>31.4674072265625</v>
      </c>
      <c r="Z330" s="917">
        <v>32.538986206054702</v>
      </c>
    </row>
    <row r="332" spans="1:30" x14ac:dyDescent="0.25">
      <c r="A332" s="915" t="s">
        <v>487</v>
      </c>
    </row>
    <row r="333" spans="1:30" x14ac:dyDescent="0.25">
      <c r="A333" s="915" t="s">
        <v>617</v>
      </c>
      <c r="B333" s="917">
        <v>21.711509704589801</v>
      </c>
      <c r="C333" s="917">
        <v>25.0072345733643</v>
      </c>
      <c r="D333" s="917">
        <v>29.391622543335</v>
      </c>
      <c r="E333" s="917">
        <v>22.380046844482401</v>
      </c>
      <c r="F333" s="917">
        <v>21.3089294433594</v>
      </c>
      <c r="G333" s="917">
        <v>23.935417175293001</v>
      </c>
      <c r="H333" s="917">
        <v>26.369024276733398</v>
      </c>
      <c r="I333" s="917">
        <v>28.752412796020501</v>
      </c>
      <c r="J333" s="917">
        <v>31.0282287597656</v>
      </c>
      <c r="K333" s="917">
        <v>33.547065734863303</v>
      </c>
      <c r="L333" s="917">
        <v>35.514869689941399</v>
      </c>
      <c r="M333" s="917">
        <v>37.352748870849602</v>
      </c>
      <c r="N333" s="917">
        <v>39.287044525146499</v>
      </c>
      <c r="O333" s="917">
        <v>40.7039604187012</v>
      </c>
      <c r="P333" s="917">
        <v>42.024444580078097</v>
      </c>
      <c r="Q333" s="917">
        <v>43.379894256591797</v>
      </c>
      <c r="R333" s="917">
        <v>44.630382537841797</v>
      </c>
      <c r="S333" s="917">
        <v>46.145259857177699</v>
      </c>
      <c r="T333" s="917">
        <v>47.363857269287102</v>
      </c>
      <c r="U333" s="917">
        <v>47.7197074890137</v>
      </c>
      <c r="V333" s="917">
        <v>49.102500915527301</v>
      </c>
      <c r="W333" s="917">
        <v>50.517303466796903</v>
      </c>
      <c r="X333" s="917">
        <v>52.086456298828097</v>
      </c>
      <c r="Y333" s="917">
        <v>53.442653656005902</v>
      </c>
      <c r="Z333" s="917">
        <v>55.104091644287102</v>
      </c>
    </row>
    <row r="334" spans="1:30" x14ac:dyDescent="0.25">
      <c r="A334" s="915" t="s">
        <v>618</v>
      </c>
      <c r="B334" s="917">
        <v>24.84494972229</v>
      </c>
      <c r="C334" s="917">
        <v>26.818180084228501</v>
      </c>
      <c r="D334" s="917">
        <v>34.822681427002003</v>
      </c>
      <c r="E334" s="917">
        <v>21.049989700317401</v>
      </c>
      <c r="F334" s="917">
        <v>19.580844879150401</v>
      </c>
      <c r="G334" s="917">
        <v>23.622909545898398</v>
      </c>
      <c r="H334" s="917">
        <v>25.881950378418001</v>
      </c>
      <c r="I334" s="917">
        <v>28.009447097778299</v>
      </c>
      <c r="J334" s="917">
        <v>30.2537937164307</v>
      </c>
      <c r="K334" s="917">
        <v>28.866632461547901</v>
      </c>
      <c r="L334" s="917">
        <v>30.4276523590088</v>
      </c>
      <c r="M334" s="917">
        <v>31.969417572021499</v>
      </c>
      <c r="N334" s="917">
        <v>32.765193939208999</v>
      </c>
      <c r="O334" s="917">
        <v>35.757926940917997</v>
      </c>
      <c r="P334" s="917">
        <v>37.577915191650398</v>
      </c>
      <c r="Q334" s="917">
        <v>38.662086486816399</v>
      </c>
      <c r="R334" s="917">
        <v>39.8419189453125</v>
      </c>
      <c r="S334" s="917">
        <v>41.092353820800803</v>
      </c>
      <c r="T334" s="917">
        <v>42.114028930664098</v>
      </c>
      <c r="U334" s="917">
        <v>42.893341064453097</v>
      </c>
      <c r="V334" s="917">
        <v>44.2104301452637</v>
      </c>
      <c r="W334" s="917">
        <v>44.896373748779297</v>
      </c>
      <c r="X334" s="917">
        <v>46.4299926757813</v>
      </c>
      <c r="Y334" s="917">
        <v>48.419319152832003</v>
      </c>
      <c r="Z334" s="917">
        <v>48.957271575927699</v>
      </c>
    </row>
    <row r="335" spans="1:30" x14ac:dyDescent="0.25">
      <c r="A335" s="915" t="s">
        <v>619</v>
      </c>
      <c r="B335" s="917">
        <v>21.213121414184599</v>
      </c>
      <c r="C335" s="917">
        <v>22.982162475585898</v>
      </c>
      <c r="D335" s="917">
        <v>26.749811172485401</v>
      </c>
      <c r="E335" s="917">
        <v>16.175968170166001</v>
      </c>
      <c r="F335" s="917">
        <v>18.381326675415</v>
      </c>
      <c r="G335" s="917">
        <v>21.693702697753899</v>
      </c>
      <c r="H335" s="917">
        <v>23.709007263183601</v>
      </c>
      <c r="I335" s="917">
        <v>25.449525833129901</v>
      </c>
      <c r="J335" s="917">
        <v>27.424634933471701</v>
      </c>
      <c r="K335" s="917">
        <v>29.529468536376999</v>
      </c>
      <c r="L335" s="917">
        <v>31.27219581604</v>
      </c>
      <c r="M335" s="917">
        <v>33.093906402587898</v>
      </c>
      <c r="N335" s="917">
        <v>34.856166839599602</v>
      </c>
      <c r="O335" s="917">
        <v>36.438858032226598</v>
      </c>
      <c r="P335" s="917">
        <v>38.015861511230497</v>
      </c>
      <c r="Q335" s="917">
        <v>39.139541625976598</v>
      </c>
      <c r="R335" s="917">
        <v>40.478176116943402</v>
      </c>
      <c r="S335" s="917">
        <v>41.691452026367202</v>
      </c>
      <c r="T335" s="917">
        <v>42.679801940917997</v>
      </c>
      <c r="U335" s="917">
        <v>43.464977264404297</v>
      </c>
      <c r="V335" s="917">
        <v>44.780059814453097</v>
      </c>
      <c r="W335" s="917">
        <v>45.673988342285199</v>
      </c>
      <c r="X335" s="917">
        <v>47.254981994628899</v>
      </c>
      <c r="Y335" s="917">
        <v>49.557445526122997</v>
      </c>
      <c r="Z335" s="917">
        <v>49.9830131530762</v>
      </c>
    </row>
    <row r="336" spans="1:30" x14ac:dyDescent="0.25">
      <c r="A336" s="915" t="s">
        <v>620</v>
      </c>
      <c r="B336" s="917">
        <v>14.844763755798301</v>
      </c>
      <c r="C336" s="917">
        <v>16.0964660644531</v>
      </c>
      <c r="D336" s="917">
        <v>22.673322677612301</v>
      </c>
      <c r="E336" s="917">
        <v>10.878761291503899</v>
      </c>
      <c r="F336" s="917">
        <v>10.805939674377401</v>
      </c>
      <c r="G336" s="917">
        <v>13.641165733337401</v>
      </c>
      <c r="H336" s="917">
        <v>15.7883806228638</v>
      </c>
      <c r="I336" s="917">
        <v>17.847295761108398</v>
      </c>
      <c r="J336" s="917">
        <v>19.768560409545898</v>
      </c>
      <c r="K336" s="917">
        <v>21.6021404266357</v>
      </c>
      <c r="L336" s="917">
        <v>23.1407794952393</v>
      </c>
      <c r="M336" s="917">
        <v>24.738756179809599</v>
      </c>
      <c r="N336" s="917">
        <v>26.200944900512699</v>
      </c>
      <c r="O336" s="917">
        <v>27.323936462402301</v>
      </c>
      <c r="P336" s="917">
        <v>28.3911018371582</v>
      </c>
      <c r="Q336" s="917">
        <v>29.343944549560501</v>
      </c>
      <c r="R336" s="917">
        <v>30.208518981933601</v>
      </c>
      <c r="S336" s="917">
        <v>31.274351119995099</v>
      </c>
      <c r="T336" s="917">
        <v>32.279064178466797</v>
      </c>
      <c r="U336" s="917">
        <v>32.661514282226598</v>
      </c>
      <c r="V336" s="917">
        <v>33.853298187255902</v>
      </c>
      <c r="W336" s="917">
        <v>34.868740081787102</v>
      </c>
      <c r="X336" s="917">
        <v>36.320652008056598</v>
      </c>
      <c r="Y336" s="917">
        <v>37.773586273193402</v>
      </c>
      <c r="Z336" s="917">
        <v>39.040420532226598</v>
      </c>
    </row>
    <row r="337" spans="1:70" x14ac:dyDescent="0.25">
      <c r="A337" s="915" t="s">
        <v>724</v>
      </c>
      <c r="B337" s="917">
        <v>19.740650177001999</v>
      </c>
      <c r="C337" s="917">
        <v>20.921422958373999</v>
      </c>
      <c r="D337" s="917">
        <v>27.660943984985401</v>
      </c>
      <c r="E337" s="917">
        <v>15.872093200683601</v>
      </c>
      <c r="F337" s="917">
        <v>15.1842641830444</v>
      </c>
      <c r="G337" s="917">
        <v>17.936090469360401</v>
      </c>
      <c r="H337" s="917">
        <v>20.100133895873999</v>
      </c>
      <c r="I337" s="917">
        <v>22.737785339355501</v>
      </c>
      <c r="J337" s="917">
        <v>24.745433807373001</v>
      </c>
      <c r="K337" s="917">
        <v>26.438911437988299</v>
      </c>
      <c r="L337" s="917">
        <v>28.0228977203369</v>
      </c>
      <c r="M337" s="917">
        <v>29.7338352203369</v>
      </c>
      <c r="N337" s="917">
        <v>31.2589511871338</v>
      </c>
      <c r="O337" s="917">
        <v>32.543869018554702</v>
      </c>
      <c r="P337" s="917">
        <v>33.764415740966797</v>
      </c>
      <c r="Q337" s="917">
        <v>34.490653991699197</v>
      </c>
      <c r="R337" s="917">
        <v>35.692588806152301</v>
      </c>
      <c r="S337" s="917">
        <v>36.884777069091797</v>
      </c>
      <c r="T337" s="917">
        <v>37.7488403320313</v>
      </c>
      <c r="U337" s="917">
        <v>38.541912078857401</v>
      </c>
      <c r="V337" s="917">
        <v>39.811958312988303</v>
      </c>
      <c r="W337" s="917">
        <v>40.433952331542997</v>
      </c>
      <c r="X337" s="917">
        <v>41.980552673339801</v>
      </c>
      <c r="Y337" s="917">
        <v>44.0175971984863</v>
      </c>
      <c r="Z337" s="917">
        <v>44.845256805419901</v>
      </c>
    </row>
    <row r="338" spans="1:70" x14ac:dyDescent="0.25">
      <c r="A338" s="915" t="s">
        <v>611</v>
      </c>
      <c r="B338" s="917">
        <v>7.9912142753601101</v>
      </c>
      <c r="C338" s="917">
        <v>9.4357099533081108</v>
      </c>
      <c r="D338" s="917">
        <v>14.5987691879272</v>
      </c>
      <c r="E338" s="917">
        <v>6.5974926948547399</v>
      </c>
      <c r="F338" s="917">
        <v>6.8336348533630398</v>
      </c>
      <c r="G338" s="917">
        <v>9.1002550125122106</v>
      </c>
      <c r="H338" s="917">
        <v>10.9850196838379</v>
      </c>
      <c r="I338" s="917">
        <v>12.7856092453003</v>
      </c>
      <c r="J338" s="917">
        <v>14.3925485610962</v>
      </c>
      <c r="K338" s="917">
        <v>16.284711837768601</v>
      </c>
      <c r="L338" s="917">
        <v>17.587419509887699</v>
      </c>
      <c r="M338" s="917">
        <v>18.815961837768601</v>
      </c>
      <c r="N338" s="917">
        <v>20.079933166503899</v>
      </c>
      <c r="O338" s="917">
        <v>21.0047607421875</v>
      </c>
      <c r="P338" s="917">
        <v>21.793167114257798</v>
      </c>
      <c r="Q338" s="917">
        <v>22.696048736572301</v>
      </c>
      <c r="R338" s="917">
        <v>23.3086338043213</v>
      </c>
      <c r="S338" s="917">
        <v>24.011238098144499</v>
      </c>
      <c r="T338" s="917">
        <v>24.648492813110401</v>
      </c>
      <c r="U338" s="917">
        <v>24.8559169769287</v>
      </c>
      <c r="V338" s="917">
        <v>25.6537380218506</v>
      </c>
      <c r="W338" s="917">
        <v>26.666080474853501</v>
      </c>
      <c r="X338" s="917">
        <v>27.731492996215799</v>
      </c>
      <c r="Y338" s="917">
        <v>28.609724044799801</v>
      </c>
      <c r="Z338" s="917">
        <v>29.807550430297901</v>
      </c>
    </row>
    <row r="339" spans="1:70" x14ac:dyDescent="0.25">
      <c r="A339" s="915" t="s">
        <v>622</v>
      </c>
      <c r="B339" s="917">
        <v>15.1338348388672</v>
      </c>
      <c r="C339" s="917">
        <v>15.4958410263062</v>
      </c>
      <c r="D339" s="917">
        <v>17.260919570922901</v>
      </c>
      <c r="E339" s="917">
        <v>13.197589874267599</v>
      </c>
      <c r="F339" s="917">
        <v>14.011960029602101</v>
      </c>
      <c r="G339" s="917">
        <v>14.5198259353638</v>
      </c>
      <c r="H339" s="917">
        <v>14.7125358581543</v>
      </c>
      <c r="I339" s="917">
        <v>14.9809007644653</v>
      </c>
      <c r="J339" s="917">
        <v>15.3987216949463</v>
      </c>
      <c r="K339" s="917">
        <v>15.929105758666999</v>
      </c>
      <c r="L339" s="917">
        <v>16.444049835205099</v>
      </c>
      <c r="M339" s="917">
        <v>16.986526489257798</v>
      </c>
      <c r="N339" s="917">
        <v>17.562019348144499</v>
      </c>
      <c r="O339" s="917">
        <v>18.214298248291001</v>
      </c>
      <c r="P339" s="917">
        <v>18.978889465331999</v>
      </c>
      <c r="Q339" s="917">
        <v>19.653842926025401</v>
      </c>
      <c r="R339" s="917">
        <v>20.151586532592798</v>
      </c>
      <c r="S339" s="917">
        <v>20.264110565185501</v>
      </c>
      <c r="T339" s="917">
        <v>20.6345119476318</v>
      </c>
      <c r="U339" s="917">
        <v>20.930568695068398</v>
      </c>
      <c r="V339" s="917">
        <v>21.5493049621582</v>
      </c>
      <c r="W339" s="917">
        <v>22.330928802490199</v>
      </c>
      <c r="X339" s="917">
        <v>23.217420578002901</v>
      </c>
      <c r="Y339" s="917">
        <v>23.984209060668899</v>
      </c>
      <c r="Z339" s="917">
        <v>24.842088699340799</v>
      </c>
    </row>
    <row r="340" spans="1:70" x14ac:dyDescent="0.25">
      <c r="A340" s="915" t="s">
        <v>479</v>
      </c>
      <c r="B340" s="917">
        <v>29.552911758422901</v>
      </c>
      <c r="C340" s="917">
        <v>30.777971267700199</v>
      </c>
      <c r="D340" s="917">
        <v>34.475650787353501</v>
      </c>
      <c r="E340" s="917">
        <v>32.511272430419901</v>
      </c>
      <c r="F340" s="917">
        <v>28.3578701019287</v>
      </c>
      <c r="G340" s="917">
        <v>29.9883632659912</v>
      </c>
      <c r="H340" s="917">
        <v>30.793474197387699</v>
      </c>
      <c r="I340" s="917">
        <v>31.290824890136701</v>
      </c>
      <c r="J340" s="917">
        <v>31.788017272949201</v>
      </c>
      <c r="K340" s="917">
        <v>32.228786468505902</v>
      </c>
      <c r="L340" s="917">
        <v>33.101249694824197</v>
      </c>
      <c r="M340" s="917">
        <v>33.873565673828097</v>
      </c>
      <c r="N340" s="917">
        <v>34.876777648925803</v>
      </c>
      <c r="O340" s="917">
        <v>35.790927886962898</v>
      </c>
      <c r="P340" s="917">
        <v>37.005527496337898</v>
      </c>
      <c r="Q340" s="917">
        <v>38.374465942382798</v>
      </c>
      <c r="R340" s="917">
        <v>39.741268157958999</v>
      </c>
      <c r="S340" s="917">
        <v>40.743644714355497</v>
      </c>
      <c r="T340" s="917">
        <v>41.832027435302699</v>
      </c>
      <c r="U340" s="917">
        <v>42.8788452148438</v>
      </c>
      <c r="V340" s="917">
        <v>44.165149688720703</v>
      </c>
      <c r="W340" s="917">
        <v>45.822151184082003</v>
      </c>
      <c r="X340" s="917">
        <v>47.770866394042997</v>
      </c>
      <c r="Y340" s="917">
        <v>49.4786567687988</v>
      </c>
      <c r="Z340" s="917">
        <v>51.408214569091797</v>
      </c>
    </row>
    <row r="341" spans="1:70" x14ac:dyDescent="0.25">
      <c r="AA341">
        <v>2027</v>
      </c>
      <c r="AB341">
        <v>2028</v>
      </c>
      <c r="AC341">
        <v>2029</v>
      </c>
      <c r="AD341">
        <v>2030</v>
      </c>
      <c r="AE341">
        <v>2031</v>
      </c>
      <c r="AF341">
        <v>2032</v>
      </c>
      <c r="AG341">
        <v>2033</v>
      </c>
      <c r="AH341">
        <v>2034</v>
      </c>
      <c r="AI341">
        <v>2035</v>
      </c>
      <c r="AJ341">
        <v>2036</v>
      </c>
      <c r="AK341">
        <v>2037</v>
      </c>
      <c r="AL341">
        <v>2038</v>
      </c>
      <c r="AM341">
        <v>2039</v>
      </c>
      <c r="AN341">
        <v>2040</v>
      </c>
      <c r="AO341">
        <v>2041</v>
      </c>
      <c r="AP341">
        <v>2042</v>
      </c>
      <c r="AQ341">
        <v>2043</v>
      </c>
      <c r="AR341">
        <v>2044</v>
      </c>
      <c r="AS341">
        <v>2045</v>
      </c>
      <c r="AT341">
        <v>2046</v>
      </c>
      <c r="AU341">
        <v>2047</v>
      </c>
      <c r="AV341">
        <v>2048</v>
      </c>
      <c r="AW341">
        <v>2049</v>
      </c>
      <c r="AX341">
        <v>2050</v>
      </c>
      <c r="AY341">
        <v>2051</v>
      </c>
      <c r="AZ341">
        <v>2052</v>
      </c>
      <c r="BA341">
        <v>2053</v>
      </c>
      <c r="BB341">
        <v>2054</v>
      </c>
      <c r="BC341">
        <v>2055</v>
      </c>
      <c r="BD341">
        <v>2056</v>
      </c>
      <c r="BE341">
        <v>2057</v>
      </c>
      <c r="BF341">
        <v>2058</v>
      </c>
      <c r="BG341">
        <v>2059</v>
      </c>
      <c r="BH341">
        <v>2060</v>
      </c>
      <c r="BI341">
        <v>2061</v>
      </c>
      <c r="BJ341">
        <v>2062</v>
      </c>
      <c r="BK341">
        <v>2063</v>
      </c>
      <c r="BL341">
        <v>2064</v>
      </c>
      <c r="BM341">
        <v>2065</v>
      </c>
      <c r="BN341">
        <v>2066</v>
      </c>
      <c r="BO341">
        <v>2067</v>
      </c>
      <c r="BP341">
        <v>2068</v>
      </c>
      <c r="BQ341">
        <v>2069</v>
      </c>
      <c r="BR341">
        <v>2070</v>
      </c>
    </row>
    <row r="342" spans="1:70" x14ac:dyDescent="0.25">
      <c r="A342" s="915" t="s">
        <v>623</v>
      </c>
    </row>
    <row r="343" spans="1:70" x14ac:dyDescent="0.25">
      <c r="A343" s="915" t="s">
        <v>610</v>
      </c>
      <c r="B343" s="917">
        <v>13.411901473999</v>
      </c>
      <c r="C343" s="917">
        <v>14.7725219726563</v>
      </c>
      <c r="D343" s="917">
        <v>19.598173141479499</v>
      </c>
      <c r="E343" s="917">
        <v>12.9002075195313</v>
      </c>
      <c r="F343" s="917">
        <v>10.160784721374499</v>
      </c>
      <c r="G343" s="917">
        <v>12.683879852294901</v>
      </c>
      <c r="H343" s="917">
        <v>14.742367744445801</v>
      </c>
      <c r="I343" s="917">
        <v>16.466316223144499</v>
      </c>
      <c r="J343" s="917">
        <v>18.200975418090799</v>
      </c>
      <c r="K343" s="917">
        <v>20.294946670532202</v>
      </c>
      <c r="L343" s="917">
        <v>21.762416839599599</v>
      </c>
      <c r="M343" s="917">
        <v>23.219928741455099</v>
      </c>
      <c r="N343" s="917">
        <v>24.625257492065401</v>
      </c>
      <c r="O343" s="917">
        <v>25.658937454223601</v>
      </c>
      <c r="P343" s="917">
        <v>26.641567230224599</v>
      </c>
      <c r="Q343" s="917">
        <v>27.554689407348601</v>
      </c>
      <c r="R343" s="917">
        <v>28.433355331420898</v>
      </c>
      <c r="S343" s="917">
        <v>29.525194168090799</v>
      </c>
      <c r="T343" s="917">
        <v>30.595668792724599</v>
      </c>
      <c r="U343" s="917">
        <v>30.812200546264599</v>
      </c>
      <c r="V343" s="917">
        <v>31.8765468597412</v>
      </c>
      <c r="W343" s="917">
        <v>33.023826599121101</v>
      </c>
      <c r="X343" s="917">
        <v>34.249851226806598</v>
      </c>
      <c r="Y343" s="917">
        <v>35.370849609375</v>
      </c>
      <c r="Z343" s="917">
        <v>36.733474731445298</v>
      </c>
    </row>
    <row r="344" spans="1:70" x14ac:dyDescent="0.25">
      <c r="A344" s="915" t="s">
        <v>611</v>
      </c>
      <c r="B344" s="917">
        <v>8.1584053039550799</v>
      </c>
      <c r="C344" s="917">
        <v>8.5664386749267596</v>
      </c>
      <c r="D344" s="917">
        <v>14.623919486999499</v>
      </c>
      <c r="E344" s="917">
        <v>6.72200632095337</v>
      </c>
      <c r="F344" s="917">
        <v>6.9281921386718803</v>
      </c>
      <c r="G344" s="917">
        <v>9.7774429321289098</v>
      </c>
      <c r="H344" s="917">
        <v>11.688641548156699</v>
      </c>
      <c r="I344" s="917">
        <v>13.5591955184937</v>
      </c>
      <c r="J344" s="917">
        <v>15.198254585266101</v>
      </c>
      <c r="K344" s="917">
        <v>17.122402191162099</v>
      </c>
      <c r="L344" s="917">
        <v>18.4469089508057</v>
      </c>
      <c r="M344" s="917">
        <v>19.645553588867202</v>
      </c>
      <c r="N344" s="917">
        <v>20.905046463012699</v>
      </c>
      <c r="O344" s="917">
        <v>21.461814880371101</v>
      </c>
      <c r="P344" s="917">
        <v>22.275539398193398</v>
      </c>
      <c r="Q344" s="917">
        <v>23.178005218505898</v>
      </c>
      <c r="R344" s="917">
        <v>23.921798706054702</v>
      </c>
      <c r="S344" s="917">
        <v>24.712652206420898</v>
      </c>
      <c r="T344" s="917">
        <v>25.390251159668001</v>
      </c>
      <c r="U344" s="917">
        <v>25.605690002441399</v>
      </c>
      <c r="V344" s="917">
        <v>26.419223785400401</v>
      </c>
      <c r="W344" s="917">
        <v>27.371679306030298</v>
      </c>
      <c r="X344" s="917">
        <v>28.437421798706101</v>
      </c>
      <c r="Y344" s="917">
        <v>29.318086624145501</v>
      </c>
      <c r="Z344" s="917">
        <v>30.4597358703613</v>
      </c>
    </row>
    <row r="345" spans="1:70" x14ac:dyDescent="0.25">
      <c r="A345" s="915" t="s">
        <v>510</v>
      </c>
      <c r="B345" s="917">
        <v>6.8695855140686</v>
      </c>
      <c r="C345" s="917">
        <v>7.0191597938537598</v>
      </c>
      <c r="D345" s="917">
        <v>9.0666198730468803</v>
      </c>
      <c r="E345" s="917">
        <v>4.70163822174072</v>
      </c>
      <c r="F345" s="917">
        <v>5.3228030204772896</v>
      </c>
      <c r="G345" s="917">
        <v>5.7259230613708496</v>
      </c>
      <c r="H345" s="917">
        <v>5.8670849800109899</v>
      </c>
      <c r="I345" s="917">
        <v>5.9947657585143999</v>
      </c>
      <c r="J345" s="917">
        <v>6.2809138298034703</v>
      </c>
      <c r="K345" s="917">
        <v>6.6566915512084996</v>
      </c>
      <c r="L345" s="917">
        <v>7.0282440185546902</v>
      </c>
      <c r="M345" s="917">
        <v>7.4117355346679696</v>
      </c>
      <c r="N345" s="917">
        <v>7.8389544486999503</v>
      </c>
      <c r="O345" s="917">
        <v>8.3448457717895508</v>
      </c>
      <c r="P345" s="917">
        <v>8.9240303039550799</v>
      </c>
      <c r="Q345" s="917">
        <v>9.4456386566162092</v>
      </c>
      <c r="R345" s="917">
        <v>9.7849264144897496</v>
      </c>
      <c r="S345" s="917">
        <v>9.7760477066040004</v>
      </c>
      <c r="T345" s="917">
        <v>10.055270195007299</v>
      </c>
      <c r="U345" s="917">
        <v>10.193024635314901</v>
      </c>
      <c r="V345" s="917">
        <v>10.610521316528301</v>
      </c>
      <c r="W345" s="917">
        <v>11.20911693573</v>
      </c>
      <c r="X345" s="917">
        <v>11.9389839172363</v>
      </c>
      <c r="Y345" s="917">
        <v>12.519255638122599</v>
      </c>
      <c r="Z345" s="917">
        <v>13.197782516479499</v>
      </c>
    </row>
    <row r="346" spans="1:70" x14ac:dyDescent="0.25">
      <c r="A346" s="915" t="s">
        <v>624</v>
      </c>
      <c r="B346" s="917">
        <v>1.6900001764297501</v>
      </c>
      <c r="C346" s="917">
        <v>1.7800002098083501</v>
      </c>
      <c r="D346" s="917">
        <v>1.97352075576782</v>
      </c>
      <c r="E346" s="917">
        <v>2.0458421707153298</v>
      </c>
      <c r="F346" s="917">
        <v>1.9325078725814799</v>
      </c>
      <c r="G346" s="917">
        <v>1.9669165611267101</v>
      </c>
      <c r="H346" s="917">
        <v>1.97483730316162</v>
      </c>
      <c r="I346" s="917">
        <v>2.0363006591796902</v>
      </c>
      <c r="J346" s="917">
        <v>2.1044862270355198</v>
      </c>
      <c r="K346" s="917">
        <v>2.15470170974731</v>
      </c>
      <c r="L346" s="917">
        <v>2.2153303623199498</v>
      </c>
      <c r="M346" s="917">
        <v>2.2768745422363299</v>
      </c>
      <c r="N346" s="917">
        <v>2.3487181663513201</v>
      </c>
      <c r="O346" s="917">
        <v>2.4114518165588401</v>
      </c>
      <c r="P346" s="917">
        <v>2.4841165542602499</v>
      </c>
      <c r="Q346" s="917">
        <v>2.5551335811614999</v>
      </c>
      <c r="R346" s="917">
        <v>2.63751268386841</v>
      </c>
      <c r="S346" s="917">
        <v>2.7085535526275599</v>
      </c>
      <c r="T346" s="917">
        <v>2.7758009433746298</v>
      </c>
      <c r="U346" s="917">
        <v>2.84079241752625</v>
      </c>
      <c r="V346" s="917">
        <v>2.9094073772430402</v>
      </c>
      <c r="W346" s="917">
        <v>2.9860992431640598</v>
      </c>
      <c r="X346" s="917">
        <v>3.0685904026031499</v>
      </c>
      <c r="Y346" s="917">
        <v>3.1531631946563698</v>
      </c>
      <c r="Z346" s="917">
        <v>3.23557353019714</v>
      </c>
    </row>
    <row r="348" spans="1:70" x14ac:dyDescent="0.25">
      <c r="A348" s="915" t="s">
        <v>625</v>
      </c>
    </row>
    <row r="349" spans="1:70" x14ac:dyDescent="0.25">
      <c r="A349" s="915" t="s">
        <v>609</v>
      </c>
      <c r="B349" s="917">
        <v>15.246436119079601</v>
      </c>
      <c r="C349" s="917">
        <v>18.5313529968262</v>
      </c>
      <c r="D349" s="917">
        <v>20.134397506713899</v>
      </c>
      <c r="E349" s="917">
        <v>16.9350070953369</v>
      </c>
      <c r="F349" s="917">
        <v>16.912326812744102</v>
      </c>
      <c r="G349" s="917">
        <v>19.346534729003899</v>
      </c>
      <c r="H349" s="917">
        <v>21.4945392608643</v>
      </c>
      <c r="I349" s="917">
        <v>23.604782104492202</v>
      </c>
      <c r="J349" s="917">
        <v>25.696203231811499</v>
      </c>
      <c r="K349" s="917">
        <v>28.031579971313501</v>
      </c>
      <c r="L349" s="917">
        <v>29.828712463378899</v>
      </c>
      <c r="M349" s="917">
        <v>31.479301452636701</v>
      </c>
      <c r="N349" s="917">
        <v>33.231895446777301</v>
      </c>
      <c r="O349" s="917">
        <v>34.5145874023438</v>
      </c>
      <c r="P349" s="917">
        <v>35.698520660400398</v>
      </c>
      <c r="Q349" s="917">
        <v>36.883983612060497</v>
      </c>
      <c r="R349" s="917">
        <v>37.996242523193402</v>
      </c>
      <c r="S349" s="917">
        <v>39.337680816650398</v>
      </c>
      <c r="T349" s="917">
        <v>40.431327819824197</v>
      </c>
      <c r="U349" s="917">
        <v>40.7233276367188</v>
      </c>
      <c r="V349" s="917">
        <v>41.9925727844238</v>
      </c>
      <c r="W349" s="917">
        <v>43.322719573974602</v>
      </c>
      <c r="X349" s="917">
        <v>44.788909912109403</v>
      </c>
      <c r="Y349" s="917">
        <v>45.941520690917997</v>
      </c>
      <c r="Z349" s="917">
        <v>47.553462982177699</v>
      </c>
    </row>
    <row r="350" spans="1:70" x14ac:dyDescent="0.25">
      <c r="A350" s="915" t="s">
        <v>618</v>
      </c>
      <c r="B350" s="917">
        <v>24.84494972229</v>
      </c>
      <c r="C350" s="917">
        <v>26.818180084228501</v>
      </c>
      <c r="D350" s="917">
        <v>34.822681427002003</v>
      </c>
      <c r="E350" s="917">
        <v>21.049989700317401</v>
      </c>
      <c r="F350" s="917">
        <v>19.580844879150401</v>
      </c>
      <c r="G350" s="917">
        <v>23.622909545898398</v>
      </c>
      <c r="H350" s="917">
        <v>25.881950378418001</v>
      </c>
      <c r="I350" s="917">
        <v>28.009447097778299</v>
      </c>
      <c r="J350" s="917">
        <v>30.2537937164307</v>
      </c>
      <c r="K350" s="917">
        <v>28.866632461547901</v>
      </c>
      <c r="L350" s="917">
        <v>30.4276523590088</v>
      </c>
      <c r="M350" s="917">
        <v>31.969417572021499</v>
      </c>
      <c r="N350" s="917">
        <v>32.765193939208999</v>
      </c>
      <c r="O350" s="917">
        <v>35.757926940917997</v>
      </c>
      <c r="P350" s="917">
        <v>37.577915191650398</v>
      </c>
      <c r="Q350" s="917">
        <v>38.662086486816399</v>
      </c>
      <c r="R350" s="917">
        <v>39.8419189453125</v>
      </c>
      <c r="S350" s="917">
        <v>41.092353820800803</v>
      </c>
      <c r="T350" s="917">
        <v>42.114028930664098</v>
      </c>
      <c r="U350" s="917">
        <v>42.893341064453097</v>
      </c>
      <c r="V350" s="917">
        <v>44.2104301452637</v>
      </c>
      <c r="W350" s="917">
        <v>44.896373748779297</v>
      </c>
      <c r="X350" s="917">
        <v>46.4299926757813</v>
      </c>
      <c r="Y350" s="917">
        <v>48.419319152832003</v>
      </c>
      <c r="Z350" s="917">
        <v>48.957271575927699</v>
      </c>
    </row>
    <row r="351" spans="1:70" x14ac:dyDescent="0.25">
      <c r="A351" s="915" t="s">
        <v>619</v>
      </c>
      <c r="B351" s="917">
        <v>21.081119537353501</v>
      </c>
      <c r="C351" s="917">
        <v>22.8191947937012</v>
      </c>
      <c r="D351" s="917">
        <v>26.582485198974599</v>
      </c>
      <c r="E351" s="917">
        <v>16.308473587036101</v>
      </c>
      <c r="F351" s="917">
        <v>18.3791694641113</v>
      </c>
      <c r="G351" s="917">
        <v>21.690732955932599</v>
      </c>
      <c r="H351" s="917">
        <v>23.705785751342798</v>
      </c>
      <c r="I351" s="917">
        <v>25.446578979492202</v>
      </c>
      <c r="J351" s="917">
        <v>27.421388626098601</v>
      </c>
      <c r="K351" s="917">
        <v>29.526109695434599</v>
      </c>
      <c r="L351" s="917">
        <v>31.268815994262699</v>
      </c>
      <c r="M351" s="917">
        <v>33.090030670166001</v>
      </c>
      <c r="N351" s="917">
        <v>34.852634429931598</v>
      </c>
      <c r="O351" s="917">
        <v>36.4355278015137</v>
      </c>
      <c r="P351" s="917">
        <v>38.011890411377003</v>
      </c>
      <c r="Q351" s="917">
        <v>39.135532379150398</v>
      </c>
      <c r="R351" s="917">
        <v>40.475978851318402</v>
      </c>
      <c r="S351" s="917">
        <v>41.687484741210902</v>
      </c>
      <c r="T351" s="917">
        <v>42.675270080566399</v>
      </c>
      <c r="U351" s="917">
        <v>43.460239410400398</v>
      </c>
      <c r="V351" s="917">
        <v>44.775581359863303</v>
      </c>
      <c r="W351" s="917">
        <v>45.668975830078097</v>
      </c>
      <c r="X351" s="917">
        <v>47.250167846679702</v>
      </c>
      <c r="Y351" s="917">
        <v>49.551605224609403</v>
      </c>
      <c r="Z351" s="917">
        <v>49.978668212890597</v>
      </c>
    </row>
    <row r="352" spans="1:70" x14ac:dyDescent="0.25">
      <c r="A352" s="915" t="s">
        <v>626</v>
      </c>
      <c r="B352" s="917">
        <v>14.844763755798301</v>
      </c>
      <c r="C352" s="917">
        <v>16.0964660644531</v>
      </c>
      <c r="D352" s="917">
        <v>22.673322677612301</v>
      </c>
      <c r="E352" s="917">
        <v>10.878761291503899</v>
      </c>
      <c r="F352" s="917">
        <v>10.805939674377401</v>
      </c>
      <c r="G352" s="917">
        <v>13.641165733337401</v>
      </c>
      <c r="H352" s="917">
        <v>15.7883806228638</v>
      </c>
      <c r="I352" s="917">
        <v>17.847295761108398</v>
      </c>
      <c r="J352" s="917">
        <v>19.768560409545898</v>
      </c>
      <c r="K352" s="917">
        <v>21.6021404266357</v>
      </c>
      <c r="L352" s="917">
        <v>23.1407794952393</v>
      </c>
      <c r="M352" s="917">
        <v>24.738756179809599</v>
      </c>
      <c r="N352" s="917">
        <v>26.200944900512699</v>
      </c>
      <c r="O352" s="917">
        <v>27.323936462402301</v>
      </c>
      <c r="P352" s="917">
        <v>28.3911018371582</v>
      </c>
      <c r="Q352" s="917">
        <v>29.343944549560501</v>
      </c>
      <c r="R352" s="917">
        <v>30.208518981933601</v>
      </c>
      <c r="S352" s="917">
        <v>31.274351119995099</v>
      </c>
      <c r="T352" s="917">
        <v>32.279064178466797</v>
      </c>
      <c r="U352" s="917">
        <v>32.661514282226598</v>
      </c>
      <c r="V352" s="917">
        <v>33.853298187255902</v>
      </c>
      <c r="W352" s="917">
        <v>34.868740081787102</v>
      </c>
      <c r="X352" s="917">
        <v>36.320652008056598</v>
      </c>
      <c r="Y352" s="917">
        <v>37.773586273193402</v>
      </c>
      <c r="Z352" s="917">
        <v>39.040420532226598</v>
      </c>
    </row>
    <row r="353" spans="1:70" x14ac:dyDescent="0.25">
      <c r="A353" s="915" t="s">
        <v>610</v>
      </c>
      <c r="B353" s="917">
        <v>18.668458938598601</v>
      </c>
      <c r="C353" s="917">
        <v>19.9431552886963</v>
      </c>
      <c r="D353" s="917">
        <v>26.286823272705099</v>
      </c>
      <c r="E353" s="917">
        <v>15.636975288391101</v>
      </c>
      <c r="F353" s="917">
        <v>14.1092176437378</v>
      </c>
      <c r="G353" s="917">
        <v>16.902593612670898</v>
      </c>
      <c r="H353" s="917">
        <v>19.1516017913818</v>
      </c>
      <c r="I353" s="917">
        <v>21.744958877563501</v>
      </c>
      <c r="J353" s="917">
        <v>23.745824813842798</v>
      </c>
      <c r="K353" s="917">
        <v>25.478622436523398</v>
      </c>
      <c r="L353" s="917">
        <v>27.0623779296875</v>
      </c>
      <c r="M353" s="917">
        <v>28.722316741943398</v>
      </c>
      <c r="N353" s="917">
        <v>30.288469314575199</v>
      </c>
      <c r="O353" s="917">
        <v>31.560461044311499</v>
      </c>
      <c r="P353" s="917">
        <v>32.757129669189503</v>
      </c>
      <c r="Q353" s="917">
        <v>33.523193359375</v>
      </c>
      <c r="R353" s="917">
        <v>34.769081115722699</v>
      </c>
      <c r="S353" s="917">
        <v>35.882114410400398</v>
      </c>
      <c r="T353" s="917">
        <v>36.791599273681598</v>
      </c>
      <c r="U353" s="917">
        <v>37.5217895507813</v>
      </c>
      <c r="V353" s="917">
        <v>38.800697326660199</v>
      </c>
      <c r="W353" s="917">
        <v>39.467311859130902</v>
      </c>
      <c r="X353" s="917">
        <v>40.997920989990199</v>
      </c>
      <c r="Y353" s="917">
        <v>42.937191009521499</v>
      </c>
      <c r="Z353" s="917">
        <v>43.857540130615199</v>
      </c>
    </row>
    <row r="354" spans="1:70" x14ac:dyDescent="0.25">
      <c r="A354" s="915" t="s">
        <v>611</v>
      </c>
      <c r="B354" s="917">
        <v>8.2036781311035192</v>
      </c>
      <c r="C354" s="917">
        <v>9.3672227859497106</v>
      </c>
      <c r="D354" s="917">
        <v>14.4897508621216</v>
      </c>
      <c r="E354" s="917">
        <v>6.7128052711486799</v>
      </c>
      <c r="F354" s="917">
        <v>7.1757683753967303</v>
      </c>
      <c r="G354" s="917">
        <v>9.6609458923339808</v>
      </c>
      <c r="H354" s="917">
        <v>11.544206619262701</v>
      </c>
      <c r="I354" s="917">
        <v>13.370221138000501</v>
      </c>
      <c r="J354" s="917">
        <v>14.996021270751999</v>
      </c>
      <c r="K354" s="917">
        <v>16.898206710815401</v>
      </c>
      <c r="L354" s="917">
        <v>18.207862854003899</v>
      </c>
      <c r="M354" s="917">
        <v>19.411674499511701</v>
      </c>
      <c r="N354" s="917">
        <v>20.6822299957275</v>
      </c>
      <c r="O354" s="917">
        <v>21.516969680786101</v>
      </c>
      <c r="P354" s="917">
        <v>22.335527420043899</v>
      </c>
      <c r="Q354" s="917">
        <v>23.2407321929932</v>
      </c>
      <c r="R354" s="917">
        <v>23.916133880615199</v>
      </c>
      <c r="S354" s="917">
        <v>24.6660556793213</v>
      </c>
      <c r="T354" s="917">
        <v>25.322589874267599</v>
      </c>
      <c r="U354" s="917">
        <v>25.500698089599599</v>
      </c>
      <c r="V354" s="917">
        <v>26.3019409179688</v>
      </c>
      <c r="W354" s="917">
        <v>27.270561218261701</v>
      </c>
      <c r="X354" s="917">
        <v>28.332614898681602</v>
      </c>
      <c r="Y354" s="917">
        <v>29.2080383300781</v>
      </c>
      <c r="Z354" s="917">
        <v>30.365930557251001</v>
      </c>
    </row>
    <row r="355" spans="1:70" x14ac:dyDescent="0.25">
      <c r="A355" s="915" t="s">
        <v>510</v>
      </c>
      <c r="B355" s="917">
        <v>9.2523355484008807</v>
      </c>
      <c r="C355" s="917">
        <v>9.0060253143310494</v>
      </c>
      <c r="D355" s="917">
        <v>10.405486106872599</v>
      </c>
      <c r="E355" s="917">
        <v>6.98002004623413</v>
      </c>
      <c r="F355" s="917">
        <v>7.7092094421386701</v>
      </c>
      <c r="G355" s="917">
        <v>8.12390232086182</v>
      </c>
      <c r="H355" s="917">
        <v>8.2825136184692401</v>
      </c>
      <c r="I355" s="917">
        <v>8.4401350021362305</v>
      </c>
      <c r="J355" s="917">
        <v>8.7418422698974592</v>
      </c>
      <c r="K355" s="917">
        <v>9.1197204589843803</v>
      </c>
      <c r="L355" s="917">
        <v>9.5538625717163104</v>
      </c>
      <c r="M355" s="917">
        <v>10.0050344467163</v>
      </c>
      <c r="N355" s="917">
        <v>10.4820852279663</v>
      </c>
      <c r="O355" s="917">
        <v>11.0441122055054</v>
      </c>
      <c r="P355" s="917">
        <v>11.7092485427856</v>
      </c>
      <c r="Q355" s="917">
        <v>12.280260086059601</v>
      </c>
      <c r="R355" s="917">
        <v>12.668963432311999</v>
      </c>
      <c r="S355" s="917">
        <v>12.670117378234901</v>
      </c>
      <c r="T355" s="917">
        <v>12.917200088501</v>
      </c>
      <c r="U355" s="917">
        <v>13.0803108215332</v>
      </c>
      <c r="V355" s="917">
        <v>13.574273109436</v>
      </c>
      <c r="W355" s="917">
        <v>14.23717212677</v>
      </c>
      <c r="X355" s="917">
        <v>15.0462560653687</v>
      </c>
      <c r="Y355" s="917">
        <v>15.740474700927701</v>
      </c>
      <c r="Z355" s="917">
        <v>16.4913539886475</v>
      </c>
    </row>
    <row r="356" spans="1:70" ht="13" thickBot="1" x14ac:dyDescent="0.3">
      <c r="A356" s="915" t="s">
        <v>614</v>
      </c>
      <c r="B356" s="917">
        <v>3.53999996185303</v>
      </c>
      <c r="C356" s="917">
        <v>3.6099998950958301</v>
      </c>
      <c r="D356" s="917">
        <v>4.1449666023254403</v>
      </c>
      <c r="E356" s="917">
        <v>4.1784791946411097</v>
      </c>
      <c r="F356" s="917">
        <v>4.1485314369201696</v>
      </c>
      <c r="G356" s="917">
        <v>4.3175525665283203</v>
      </c>
      <c r="H356" s="917">
        <v>4.44484186172485</v>
      </c>
      <c r="I356" s="917">
        <v>4.5821456909179696</v>
      </c>
      <c r="J356" s="917">
        <v>4.7206311225891104</v>
      </c>
      <c r="K356" s="917">
        <v>4.8563599586486799</v>
      </c>
      <c r="L356" s="917">
        <v>4.9913563728332502</v>
      </c>
      <c r="M356" s="917">
        <v>5.1233406066894496</v>
      </c>
      <c r="N356" s="917">
        <v>5.2680139541626003</v>
      </c>
      <c r="O356" s="917">
        <v>5.4137320518493697</v>
      </c>
      <c r="P356" s="917">
        <v>5.5743689537048304</v>
      </c>
      <c r="Q356" s="917">
        <v>5.7906579971313503</v>
      </c>
      <c r="R356" s="917">
        <v>6.0209679603576696</v>
      </c>
      <c r="S356" s="917">
        <v>6.20045709609985</v>
      </c>
      <c r="T356" s="917">
        <v>6.3775997161865199</v>
      </c>
      <c r="U356" s="917">
        <v>6.5161404609680202</v>
      </c>
      <c r="V356" s="917">
        <v>6.6299972534179696</v>
      </c>
      <c r="W356" s="917">
        <v>6.7667918205261204</v>
      </c>
      <c r="X356" s="917">
        <v>6.88553714752197</v>
      </c>
      <c r="Y356" s="917">
        <v>6.9704546928405797</v>
      </c>
      <c r="Z356" s="917">
        <v>7.0137753486633301</v>
      </c>
    </row>
    <row r="357" spans="1:70" ht="13" thickBot="1" x14ac:dyDescent="0.3">
      <c r="A357" s="915" t="s">
        <v>627</v>
      </c>
      <c r="B357" s="917">
        <v>1.73100674152374</v>
      </c>
      <c r="C357" s="917">
        <v>1.81885313987732</v>
      </c>
      <c r="D357" s="917">
        <v>2.01088166236877</v>
      </c>
      <c r="E357" s="917">
        <v>2.0711190700531001</v>
      </c>
      <c r="F357" s="917">
        <v>1.96068322658539</v>
      </c>
      <c r="G357" s="917">
        <v>1.99932932853699</v>
      </c>
      <c r="H357" s="917">
        <v>2.0096416473388699</v>
      </c>
      <c r="I357" s="917">
        <v>2.07272601127625</v>
      </c>
      <c r="J357" s="917">
        <v>2.1420636177063002</v>
      </c>
      <c r="K357" s="917">
        <v>2.1925818920135498</v>
      </c>
      <c r="L357" s="917">
        <v>2.2534883022308301</v>
      </c>
      <c r="M357" s="917">
        <v>2.3155770301818799</v>
      </c>
      <c r="N357" s="917">
        <v>2.38794946670532</v>
      </c>
      <c r="O357" s="917">
        <v>2.4510562419891402</v>
      </c>
      <c r="P357" s="917">
        <v>2.52451372146606</v>
      </c>
      <c r="Q357" s="917">
        <v>2.5963439941406299</v>
      </c>
      <c r="R357" s="917">
        <v>2.6790707111358598</v>
      </c>
      <c r="S357" s="917">
        <v>2.7507226467132599</v>
      </c>
      <c r="T357" s="917">
        <v>2.8189043998718302</v>
      </c>
      <c r="U357" s="917">
        <v>2.8845274448394802</v>
      </c>
      <c r="V357" s="917">
        <v>2.9543473720550502</v>
      </c>
      <c r="W357" s="917">
        <v>3.0319309234619101</v>
      </c>
      <c r="X357" s="917">
        <v>3.1151678562164302</v>
      </c>
      <c r="Y357" s="917">
        <v>3.20047926902771</v>
      </c>
      <c r="Z357" s="917">
        <v>3.2839629650115998</v>
      </c>
      <c r="AA357" s="287">
        <f>Z527+($AI$357-$Y$527)/10</f>
        <v>8.0623037763536161</v>
      </c>
      <c r="AB357" s="287">
        <f t="shared" ref="AB357:AH357" si="21">AA357+($AI$357-$Y$527)/10</f>
        <v>8.1146083992868938</v>
      </c>
      <c r="AC357" s="287">
        <f t="shared" si="21"/>
        <v>8.1669130222201716</v>
      </c>
      <c r="AD357" s="287">
        <f t="shared" si="21"/>
        <v>8.2192176451534493</v>
      </c>
      <c r="AE357" s="287">
        <f t="shared" si="21"/>
        <v>8.2715222680867271</v>
      </c>
      <c r="AF357" s="287">
        <f t="shared" si="21"/>
        <v>8.3238268910200048</v>
      </c>
      <c r="AG357" s="287">
        <f t="shared" si="21"/>
        <v>8.3761315139532826</v>
      </c>
      <c r="AH357" s="287">
        <f t="shared" si="21"/>
        <v>8.4284361368865603</v>
      </c>
      <c r="AI357" s="288">
        <f>T527*$E$742</f>
        <v>8.4807407598198452</v>
      </c>
      <c r="AJ357" s="287">
        <f>AI357+($AX$357-$AI$357)/15</f>
        <v>8.5767365137369804</v>
      </c>
      <c r="AK357" s="287">
        <f t="shared" ref="AK357:AW357" si="22">AJ357+($AX$357-$AI$357)/15</f>
        <v>8.6727322676541156</v>
      </c>
      <c r="AL357" s="287">
        <f t="shared" si="22"/>
        <v>8.7687280215712509</v>
      </c>
      <c r="AM357" s="287">
        <f t="shared" si="22"/>
        <v>8.8647237754883861</v>
      </c>
      <c r="AN357" s="287">
        <f t="shared" si="22"/>
        <v>8.9607195294055213</v>
      </c>
      <c r="AO357" s="287">
        <f t="shared" si="22"/>
        <v>9.0567152833226565</v>
      </c>
      <c r="AP357" s="287">
        <f t="shared" si="22"/>
        <v>9.1527110372397917</v>
      </c>
      <c r="AQ357" s="287">
        <f t="shared" si="22"/>
        <v>9.248706791156927</v>
      </c>
      <c r="AR357" s="287">
        <f t="shared" si="22"/>
        <v>9.3447025450740622</v>
      </c>
      <c r="AS357" s="287">
        <f t="shared" si="22"/>
        <v>9.4406982989911974</v>
      </c>
      <c r="AT357" s="287">
        <f t="shared" si="22"/>
        <v>9.5366940529083326</v>
      </c>
      <c r="AU357" s="287">
        <f t="shared" si="22"/>
        <v>9.6326898068254678</v>
      </c>
      <c r="AV357" s="287">
        <f t="shared" si="22"/>
        <v>9.728685560742603</v>
      </c>
      <c r="AW357" s="287">
        <f t="shared" si="22"/>
        <v>9.8246813146597383</v>
      </c>
      <c r="AX357" s="288">
        <f>AI357*$B$742</f>
        <v>9.9206770685768717</v>
      </c>
      <c r="AY357" s="287">
        <f>AX357+($BM$357-$AX$357)/15</f>
        <v>10.018909165246043</v>
      </c>
      <c r="AZ357" s="287">
        <f t="shared" ref="AZ357:BL357" si="23">AY357+($BM$357-$AX$357)/15</f>
        <v>10.117141261915215</v>
      </c>
      <c r="BA357" s="287">
        <f t="shared" si="23"/>
        <v>10.215373358584387</v>
      </c>
      <c r="BB357" s="287">
        <f t="shared" si="23"/>
        <v>10.313605455253558</v>
      </c>
      <c r="BC357" s="287">
        <f t="shared" si="23"/>
        <v>10.41183755192273</v>
      </c>
      <c r="BD357" s="287">
        <f t="shared" si="23"/>
        <v>10.510069648591902</v>
      </c>
      <c r="BE357" s="287">
        <f t="shared" si="23"/>
        <v>10.608301745261073</v>
      </c>
      <c r="BF357" s="287">
        <f t="shared" si="23"/>
        <v>10.706533841930245</v>
      </c>
      <c r="BG357" s="287">
        <f t="shared" si="23"/>
        <v>10.804765938599417</v>
      </c>
      <c r="BH357" s="287">
        <f t="shared" si="23"/>
        <v>10.902998035268588</v>
      </c>
      <c r="BI357" s="287">
        <f t="shared" si="23"/>
        <v>11.00123013193776</v>
      </c>
      <c r="BJ357" s="287">
        <f t="shared" si="23"/>
        <v>11.099462228606932</v>
      </c>
      <c r="BK357" s="287">
        <f t="shared" si="23"/>
        <v>11.197694325276103</v>
      </c>
      <c r="BL357" s="287">
        <f t="shared" si="23"/>
        <v>11.295926421945275</v>
      </c>
      <c r="BM357" s="288">
        <f>AX357*$C$742</f>
        <v>11.394158518614441</v>
      </c>
      <c r="BN357" s="287">
        <f>BM357+($BR$357-$BM$357)/5</f>
        <v>11.506980665059427</v>
      </c>
      <c r="BO357" s="287">
        <f>BN357+($BR$357-$BM$357)/5</f>
        <v>11.619802811504412</v>
      </c>
      <c r="BP357" s="287">
        <f>BO357+($BR$357-$BM$357)/5</f>
        <v>11.732624957949398</v>
      </c>
      <c r="BQ357" s="287">
        <f>BP357+($BR$357-$BM$357)/5</f>
        <v>11.845447104394383</v>
      </c>
      <c r="BR357" s="288">
        <f>BM357*$D$742</f>
        <v>11.95826925083937</v>
      </c>
    </row>
    <row r="358" spans="1:70" ht="13" thickBot="1" x14ac:dyDescent="0.3">
      <c r="A358" s="915" t="s">
        <v>616</v>
      </c>
      <c r="B358" s="917">
        <v>0</v>
      </c>
      <c r="C358" s="917">
        <v>0</v>
      </c>
      <c r="D358" s="917">
        <v>0</v>
      </c>
      <c r="E358" s="917">
        <v>0</v>
      </c>
      <c r="F358" s="917">
        <v>0</v>
      </c>
      <c r="G358" s="917">
        <v>1.5889266729354901</v>
      </c>
      <c r="H358" s="917">
        <v>1.46094393730164</v>
      </c>
      <c r="I358" s="917">
        <v>1.28843116760254</v>
      </c>
      <c r="J358" s="917">
        <v>1.5101318359375</v>
      </c>
      <c r="K358" s="917">
        <v>1.50810551643372</v>
      </c>
      <c r="L358" s="917">
        <v>1.5213859081268299</v>
      </c>
      <c r="M358" s="917">
        <v>1.53951179981232</v>
      </c>
      <c r="N358" s="917">
        <v>1.58338570594788</v>
      </c>
      <c r="O358" s="917">
        <v>1.63723039627075</v>
      </c>
      <c r="P358" s="917">
        <v>1.71289122104645</v>
      </c>
      <c r="Q358" s="917">
        <v>1.76114201545715</v>
      </c>
      <c r="R358" s="917">
        <v>1.8119050264358501</v>
      </c>
      <c r="S358" s="917">
        <v>1.8629466295242301</v>
      </c>
      <c r="T358" s="917">
        <v>1.9169825315475499</v>
      </c>
      <c r="U358" s="917">
        <v>1.9466364383697501</v>
      </c>
      <c r="V358" s="917">
        <v>1.9911848306655899</v>
      </c>
      <c r="W358" s="917">
        <v>2.0416746139526398</v>
      </c>
      <c r="X358" s="917">
        <v>2.09020328521729</v>
      </c>
      <c r="Y358" s="917">
        <v>2.1373581886291499</v>
      </c>
      <c r="Z358" s="917">
        <v>2.1847438812255899</v>
      </c>
      <c r="AA358" s="289">
        <f>Z528+($AI$358-$Y$528)/10</f>
        <v>22.224617194901626</v>
      </c>
      <c r="AB358" s="289">
        <f t="shared" ref="AB358:AH358" si="24">AA358+($AI$358-$Y$528)/10</f>
        <v>22.135413455621489</v>
      </c>
      <c r="AC358" s="289">
        <f t="shared" si="24"/>
        <v>22.046209716341352</v>
      </c>
      <c r="AD358" s="289">
        <f t="shared" si="24"/>
        <v>21.957005977061215</v>
      </c>
      <c r="AE358" s="289">
        <f t="shared" si="24"/>
        <v>21.867802237781078</v>
      </c>
      <c r="AF358" s="289">
        <f t="shared" si="24"/>
        <v>21.778598498500941</v>
      </c>
      <c r="AG358" s="289">
        <f t="shared" si="24"/>
        <v>21.689394759220804</v>
      </c>
      <c r="AH358" s="289">
        <f t="shared" si="24"/>
        <v>21.600191019940667</v>
      </c>
      <c r="AI358" s="290">
        <f>T528*$E$745</f>
        <v>21.510987280660522</v>
      </c>
      <c r="AJ358" s="289">
        <f>AI358+($AX$358-$AI$358)/15</f>
        <v>21.502530865644818</v>
      </c>
      <c r="AK358" s="289">
        <f t="shared" ref="AK358:AW358" si="25">AJ358+($AX$358-$AI$358)/15</f>
        <v>21.494074450629114</v>
      </c>
      <c r="AL358" s="289">
        <f t="shared" si="25"/>
        <v>21.48561803561341</v>
      </c>
      <c r="AM358" s="289">
        <f t="shared" si="25"/>
        <v>21.477161620597705</v>
      </c>
      <c r="AN358" s="289">
        <f t="shared" si="25"/>
        <v>21.468705205582001</v>
      </c>
      <c r="AO358" s="289">
        <f t="shared" si="25"/>
        <v>21.460248790566297</v>
      </c>
      <c r="AP358" s="289">
        <f t="shared" si="25"/>
        <v>21.451792375550593</v>
      </c>
      <c r="AQ358" s="289">
        <f t="shared" si="25"/>
        <v>21.443335960534888</v>
      </c>
      <c r="AR358" s="289">
        <f t="shared" si="25"/>
        <v>21.434879545519184</v>
      </c>
      <c r="AS358" s="289">
        <f t="shared" si="25"/>
        <v>21.42642313050348</v>
      </c>
      <c r="AT358" s="289">
        <f t="shared" si="25"/>
        <v>21.417966715487776</v>
      </c>
      <c r="AU358" s="289">
        <f t="shared" si="25"/>
        <v>21.409510300472071</v>
      </c>
      <c r="AV358" s="289">
        <f t="shared" si="25"/>
        <v>21.401053885456367</v>
      </c>
      <c r="AW358" s="289">
        <f t="shared" si="25"/>
        <v>21.392597470440663</v>
      </c>
      <c r="AX358" s="290">
        <f>AI358*$B$745</f>
        <v>21.384141055424955</v>
      </c>
      <c r="AY358" s="289">
        <f>AX358+($BM$358-$AX$358)/15</f>
        <v>21.397725276976207</v>
      </c>
      <c r="AZ358" s="289">
        <f t="shared" ref="AZ358:BL358" si="26">AY358+($BM$358-$AX$358)/15</f>
        <v>21.411309498527459</v>
      </c>
      <c r="BA358" s="289">
        <f t="shared" si="26"/>
        <v>21.42489372007871</v>
      </c>
      <c r="BB358" s="289">
        <f t="shared" si="26"/>
        <v>21.438477941629962</v>
      </c>
      <c r="BC358" s="289">
        <f t="shared" si="26"/>
        <v>21.452062163181214</v>
      </c>
      <c r="BD358" s="289">
        <f t="shared" si="26"/>
        <v>21.465646384732466</v>
      </c>
      <c r="BE358" s="289">
        <f t="shared" si="26"/>
        <v>21.479230606283718</v>
      </c>
      <c r="BF358" s="289">
        <f t="shared" si="26"/>
        <v>21.49281482783497</v>
      </c>
      <c r="BG358" s="289">
        <f t="shared" si="26"/>
        <v>21.506399049386221</v>
      </c>
      <c r="BH358" s="289">
        <f t="shared" si="26"/>
        <v>21.519983270937473</v>
      </c>
      <c r="BI358" s="289">
        <f t="shared" si="26"/>
        <v>21.533567492488725</v>
      </c>
      <c r="BJ358" s="289">
        <f t="shared" si="26"/>
        <v>21.547151714039977</v>
      </c>
      <c r="BK358" s="289">
        <f t="shared" si="26"/>
        <v>21.560735935591229</v>
      </c>
      <c r="BL358" s="289">
        <f t="shared" si="26"/>
        <v>21.574320157142481</v>
      </c>
      <c r="BM358" s="290">
        <f>AX358*$C$745</f>
        <v>21.587904378693722</v>
      </c>
      <c r="BN358" s="289">
        <f>BM358+($BR$358-$BM$358)/5</f>
        <v>21.601618040381013</v>
      </c>
      <c r="BO358" s="289">
        <f>BN358+($BR$358-$BM$358)/5</f>
        <v>21.615331702068303</v>
      </c>
      <c r="BP358" s="289">
        <f>BO358+($BR$358-$BM$358)/5</f>
        <v>21.629045363755594</v>
      </c>
      <c r="BQ358" s="289">
        <f>BP358+($BR$358-$BM$358)/5</f>
        <v>21.642759025442885</v>
      </c>
      <c r="BR358" s="290">
        <f>BM358*$D$745</f>
        <v>21.656472687130176</v>
      </c>
    </row>
    <row r="359" spans="1:70" x14ac:dyDescent="0.25">
      <c r="A359" s="915" t="s">
        <v>479</v>
      </c>
      <c r="B359" s="917">
        <v>25.973251342773398</v>
      </c>
      <c r="C359" s="917">
        <v>26.680915832519499</v>
      </c>
      <c r="D359" s="917">
        <v>28.4103908538818</v>
      </c>
      <c r="E359" s="917">
        <v>27.544679641723601</v>
      </c>
      <c r="F359" s="917">
        <v>25.191349029541001</v>
      </c>
      <c r="G359" s="917">
        <v>26.348068237304702</v>
      </c>
      <c r="H359" s="917">
        <v>26.6303806304932</v>
      </c>
      <c r="I359" s="917">
        <v>27.154542922973601</v>
      </c>
      <c r="J359" s="917">
        <v>28.002742767333999</v>
      </c>
      <c r="K359" s="917">
        <v>28.757371902465799</v>
      </c>
      <c r="L359" s="917">
        <v>29.780685424804702</v>
      </c>
      <c r="M359" s="917">
        <v>30.870384216308601</v>
      </c>
      <c r="N359" s="917">
        <v>32.039138793945298</v>
      </c>
      <c r="O359" s="917">
        <v>33.131908416747997</v>
      </c>
      <c r="P359" s="917">
        <v>34.493354797363303</v>
      </c>
      <c r="Q359" s="917">
        <v>35.847507476806598</v>
      </c>
      <c r="R359" s="917">
        <v>37.095943450927699</v>
      </c>
      <c r="S359" s="917">
        <v>37.945499420166001</v>
      </c>
      <c r="T359" s="917">
        <v>38.854724884033203</v>
      </c>
      <c r="U359" s="917">
        <v>39.667263031005902</v>
      </c>
      <c r="V359" s="917">
        <v>40.613765716552699</v>
      </c>
      <c r="W359" s="917">
        <v>41.989593505859403</v>
      </c>
      <c r="X359" s="917">
        <v>43.556324005127003</v>
      </c>
      <c r="Y359" s="917">
        <v>45.098350524902301</v>
      </c>
      <c r="Z359" s="917">
        <v>46.616588592529297</v>
      </c>
    </row>
    <row r="361" spans="1:70" x14ac:dyDescent="0.25">
      <c r="A361" s="915" t="s">
        <v>513</v>
      </c>
    </row>
    <row r="362" spans="1:70" x14ac:dyDescent="0.25">
      <c r="A362" s="915" t="s">
        <v>727</v>
      </c>
    </row>
    <row r="363" spans="1:70" x14ac:dyDescent="0.25">
      <c r="A363" s="915" t="s">
        <v>473</v>
      </c>
      <c r="B363" s="917">
        <v>225.03859096661196</v>
      </c>
      <c r="C363" s="917">
        <v>238.40081787109398</v>
      </c>
      <c r="D363" s="917">
        <v>255.49913625772319</v>
      </c>
      <c r="E363" s="917">
        <v>230.9929746666815</v>
      </c>
      <c r="F363" s="917">
        <v>223.41247611699868</v>
      </c>
      <c r="G363" s="917">
        <v>235.2892736225177</v>
      </c>
      <c r="H363" s="917">
        <v>241.6920712265439</v>
      </c>
      <c r="I363" s="917">
        <v>246.56659612211084</v>
      </c>
      <c r="J363" s="917">
        <v>255.55094332875294</v>
      </c>
      <c r="K363" s="917">
        <v>264.57905396662414</v>
      </c>
      <c r="L363" s="917">
        <v>275.89920726734971</v>
      </c>
      <c r="M363" s="917">
        <v>287.49516661999758</v>
      </c>
      <c r="N363" s="917">
        <v>300.32909110683801</v>
      </c>
      <c r="O363" s="917">
        <v>313.11554742582229</v>
      </c>
      <c r="P363" s="917">
        <v>328.18192619930682</v>
      </c>
      <c r="Q363" s="917">
        <v>341.8235015289352</v>
      </c>
      <c r="R363" s="917">
        <v>355.09694320426638</v>
      </c>
      <c r="S363" s="917">
        <v>365.44612056098629</v>
      </c>
      <c r="T363" s="917">
        <v>378.29315112389759</v>
      </c>
      <c r="U363" s="917">
        <v>388.37155634393389</v>
      </c>
      <c r="V363" s="917">
        <v>402.59953615177363</v>
      </c>
      <c r="W363" s="917">
        <v>419.77981120164446</v>
      </c>
      <c r="X363" s="917">
        <v>438.87123825530841</v>
      </c>
      <c r="Y363" s="917">
        <v>455.24534715742953</v>
      </c>
      <c r="Z363" s="917">
        <v>473.03338245571979</v>
      </c>
    </row>
    <row r="364" spans="1:70" x14ac:dyDescent="0.25">
      <c r="A364" s="915" t="s">
        <v>480</v>
      </c>
      <c r="B364" s="917">
        <v>165.81601818957134</v>
      </c>
      <c r="C364" s="917">
        <v>172.89260864257801</v>
      </c>
      <c r="D364" s="917">
        <v>187.38257557629601</v>
      </c>
      <c r="E364" s="917">
        <v>169.14737359110225</v>
      </c>
      <c r="F364" s="917">
        <v>163.07263216137929</v>
      </c>
      <c r="G364" s="917">
        <v>172.91593328178766</v>
      </c>
      <c r="H364" s="917">
        <v>176.9297785804325</v>
      </c>
      <c r="I364" s="917">
        <v>182.88131988639063</v>
      </c>
      <c r="J364" s="917">
        <v>191.23749630338142</v>
      </c>
      <c r="K364" s="917">
        <v>199.89645601118545</v>
      </c>
      <c r="L364" s="917">
        <v>210.36479941888081</v>
      </c>
      <c r="M364" s="917">
        <v>221.36240217535854</v>
      </c>
      <c r="N364" s="917">
        <v>233.19080564556924</v>
      </c>
      <c r="O364" s="917">
        <v>244.70314616363081</v>
      </c>
      <c r="P364" s="917">
        <v>258.1051490216438</v>
      </c>
      <c r="Q364" s="917">
        <v>271.26123343313407</v>
      </c>
      <c r="R364" s="917">
        <v>283.50995205362011</v>
      </c>
      <c r="S364" s="917">
        <v>292.88584879534454</v>
      </c>
      <c r="T364" s="917">
        <v>303.70259464185926</v>
      </c>
      <c r="U364" s="917">
        <v>313.58347456242666</v>
      </c>
      <c r="V364" s="917">
        <v>325.89089746765683</v>
      </c>
      <c r="W364" s="917">
        <v>341.11550736031069</v>
      </c>
      <c r="X364" s="917">
        <v>358.21009848865214</v>
      </c>
      <c r="Y364" s="917">
        <v>374.9131546581271</v>
      </c>
      <c r="Z364" s="917">
        <v>392.1016075075479</v>
      </c>
    </row>
    <row r="365" spans="1:70" ht="13" thickBot="1" x14ac:dyDescent="0.3">
      <c r="A365" s="915" t="s">
        <v>515</v>
      </c>
      <c r="B365" s="917">
        <v>210.41252056252281</v>
      </c>
      <c r="C365" s="917">
        <v>226.88609313964801</v>
      </c>
      <c r="D365" s="917">
        <v>254.13497179068762</v>
      </c>
      <c r="E365" s="917">
        <v>187.2100922767749</v>
      </c>
      <c r="F365" s="917">
        <v>157.4270874391178</v>
      </c>
      <c r="G365" s="917">
        <v>180.83829470805441</v>
      </c>
      <c r="H365" s="917">
        <v>198.41655822177904</v>
      </c>
      <c r="I365" s="917">
        <v>216.64201952030527</v>
      </c>
      <c r="J365" s="917">
        <v>228.79975664936245</v>
      </c>
      <c r="K365" s="917">
        <v>241.15463361452254</v>
      </c>
      <c r="L365" s="917">
        <v>252.64480203410886</v>
      </c>
      <c r="M365" s="917">
        <v>265.1637238738445</v>
      </c>
      <c r="N365" s="917">
        <v>278.29776899368039</v>
      </c>
      <c r="O365" s="917">
        <v>289.61773721654419</v>
      </c>
      <c r="P365" s="917">
        <v>303.56832242347855</v>
      </c>
      <c r="Q365" s="917">
        <v>314.41390898844122</v>
      </c>
      <c r="R365" s="917">
        <v>323.63277263436424</v>
      </c>
      <c r="S365" s="917">
        <v>331.42426143912343</v>
      </c>
      <c r="T365" s="917">
        <v>339.57307272400601</v>
      </c>
      <c r="U365" s="917">
        <v>343.93727888891527</v>
      </c>
      <c r="V365" s="917">
        <v>351.82746805051073</v>
      </c>
      <c r="W365" s="917">
        <v>360.73339056833169</v>
      </c>
      <c r="X365" s="917">
        <v>371.92375563686846</v>
      </c>
      <c r="Y365" s="917">
        <v>381.22301587849751</v>
      </c>
      <c r="Z365" s="917">
        <v>389.10731115707301</v>
      </c>
    </row>
    <row r="366" spans="1:70" ht="13" thickBot="1" x14ac:dyDescent="0.3">
      <c r="A366" s="915" t="s">
        <v>487</v>
      </c>
      <c r="B366" s="917">
        <v>549.81888270324475</v>
      </c>
      <c r="C366" s="917">
        <v>596.84759521484398</v>
      </c>
      <c r="D366" s="917">
        <v>708.90187629235277</v>
      </c>
      <c r="E366" s="917">
        <v>406.38667462869051</v>
      </c>
      <c r="F366" s="917">
        <v>447.16295305198071</v>
      </c>
      <c r="G366" s="917">
        <v>542.65678113398656</v>
      </c>
      <c r="H366" s="917">
        <v>604.00010341071868</v>
      </c>
      <c r="I366" s="917">
        <v>661.06483901631009</v>
      </c>
      <c r="J366" s="917">
        <v>714.35686387994281</v>
      </c>
      <c r="K366" s="917">
        <v>764.16924059162022</v>
      </c>
      <c r="L366" s="917">
        <v>805.13331786340132</v>
      </c>
      <c r="M366" s="917">
        <v>850.39970498506295</v>
      </c>
      <c r="N366" s="917">
        <v>892.06783074940802</v>
      </c>
      <c r="O366" s="917">
        <v>929.55049698437085</v>
      </c>
      <c r="P366" s="917">
        <v>964.20679928883487</v>
      </c>
      <c r="Q366" s="917">
        <v>990.06920191633094</v>
      </c>
      <c r="R366" s="917">
        <v>1016.1557534719609</v>
      </c>
      <c r="S366" s="917">
        <v>1054.8326731961108</v>
      </c>
      <c r="T366" s="917">
        <v>1091.2729592511287</v>
      </c>
      <c r="U366" s="917">
        <v>1118.0349113947391</v>
      </c>
      <c r="V366" s="917">
        <v>1161.085260138974</v>
      </c>
      <c r="W366" s="917">
        <v>1181.9301954596156</v>
      </c>
      <c r="X366" s="917">
        <v>1232.4560893451367</v>
      </c>
      <c r="Y366" s="917">
        <v>1290.1595195386233</v>
      </c>
      <c r="Z366" s="917">
        <v>1322.0136898683704</v>
      </c>
      <c r="AA366" s="287">
        <f>Z536+($AI$366-$Y$536)/10</f>
        <v>5.5334229650972304</v>
      </c>
      <c r="AB366" s="287">
        <f t="shared" ref="AB366:AH366" si="27">AA366+($AI$366-$Y$536)/10</f>
        <v>5.5639341150042458</v>
      </c>
      <c r="AC366" s="287">
        <f t="shared" si="27"/>
        <v>5.5944452649112613</v>
      </c>
      <c r="AD366" s="287">
        <f t="shared" si="27"/>
        <v>5.6249564148182767</v>
      </c>
      <c r="AE366" s="287">
        <f t="shared" si="27"/>
        <v>5.6554675647252921</v>
      </c>
      <c r="AF366" s="287">
        <f t="shared" si="27"/>
        <v>5.6859787146323075</v>
      </c>
      <c r="AG366" s="287">
        <f t="shared" si="27"/>
        <v>5.716489864539323</v>
      </c>
      <c r="AH366" s="287">
        <f t="shared" si="27"/>
        <v>5.7470010144463384</v>
      </c>
      <c r="AI366" s="288">
        <f>T536*$E$742</f>
        <v>5.7775121643533494</v>
      </c>
      <c r="AJ366" s="287">
        <f>AI366+($AX$366-$AI$366)/15</f>
        <v>5.8429093568498098</v>
      </c>
      <c r="AK366" s="287">
        <f t="shared" ref="AK366:AW366" si="28">AJ366+($AX$366-$AI$366)/15</f>
        <v>5.9083065493462703</v>
      </c>
      <c r="AL366" s="287">
        <f t="shared" si="28"/>
        <v>5.9737037418427308</v>
      </c>
      <c r="AM366" s="287">
        <f t="shared" si="28"/>
        <v>6.0391009343391913</v>
      </c>
      <c r="AN366" s="287">
        <f t="shared" si="28"/>
        <v>6.1044981268356517</v>
      </c>
      <c r="AO366" s="287">
        <f t="shared" si="28"/>
        <v>6.1698953193321122</v>
      </c>
      <c r="AP366" s="287">
        <f t="shared" si="28"/>
        <v>6.2352925118285727</v>
      </c>
      <c r="AQ366" s="287">
        <f t="shared" si="28"/>
        <v>6.3006897043250332</v>
      </c>
      <c r="AR366" s="287">
        <f t="shared" si="28"/>
        <v>6.3660868968214936</v>
      </c>
      <c r="AS366" s="287">
        <f t="shared" si="28"/>
        <v>6.4314840893179541</v>
      </c>
      <c r="AT366" s="287">
        <f t="shared" si="28"/>
        <v>6.4968812818144146</v>
      </c>
      <c r="AU366" s="287">
        <f t="shared" si="28"/>
        <v>6.5622784743108751</v>
      </c>
      <c r="AV366" s="287">
        <f t="shared" si="28"/>
        <v>6.6276756668073356</v>
      </c>
      <c r="AW366" s="287">
        <f t="shared" si="28"/>
        <v>6.693072859303796</v>
      </c>
      <c r="AX366" s="288">
        <f>AI366*$B$742</f>
        <v>6.7584700518002592</v>
      </c>
      <c r="AY366" s="287">
        <f>AX366+($BM$366-$AX$366)/15</f>
        <v>6.8253907547799981</v>
      </c>
      <c r="AZ366" s="287">
        <f t="shared" ref="AZ366:BL366" si="29">AY366+($BM$366-$AX$366)/15</f>
        <v>6.8923114577597371</v>
      </c>
      <c r="BA366" s="287">
        <f t="shared" si="29"/>
        <v>6.959232160739476</v>
      </c>
      <c r="BB366" s="287">
        <f t="shared" si="29"/>
        <v>7.026152863719215</v>
      </c>
      <c r="BC366" s="287">
        <f t="shared" si="29"/>
        <v>7.0930735666989539</v>
      </c>
      <c r="BD366" s="287">
        <f t="shared" si="29"/>
        <v>7.1599942696786929</v>
      </c>
      <c r="BE366" s="287">
        <f t="shared" si="29"/>
        <v>7.2269149726584319</v>
      </c>
      <c r="BF366" s="287">
        <f t="shared" si="29"/>
        <v>7.2938356756381708</v>
      </c>
      <c r="BG366" s="287">
        <f t="shared" si="29"/>
        <v>7.3607563786179098</v>
      </c>
      <c r="BH366" s="287">
        <f t="shared" si="29"/>
        <v>7.4276770815976487</v>
      </c>
      <c r="BI366" s="287">
        <f t="shared" si="29"/>
        <v>7.4945977845773877</v>
      </c>
      <c r="BJ366" s="287">
        <f t="shared" si="29"/>
        <v>7.5615184875571266</v>
      </c>
      <c r="BK366" s="287">
        <f t="shared" si="29"/>
        <v>7.6284391905368656</v>
      </c>
      <c r="BL366" s="287">
        <f t="shared" si="29"/>
        <v>7.6953598935166045</v>
      </c>
      <c r="BM366" s="288">
        <f>AX366*$C$742</f>
        <v>7.7622805964963462</v>
      </c>
      <c r="BN366" s="287">
        <f>BM366+($BR$366-$BM$366)/5</f>
        <v>7.8391407838260445</v>
      </c>
      <c r="BO366" s="287">
        <f>BN366+($BR$366-$BM$366)/5</f>
        <v>7.9160009711557429</v>
      </c>
      <c r="BP366" s="287">
        <f>BO366+($BR$366-$BM$366)/5</f>
        <v>7.9928611584854412</v>
      </c>
      <c r="BQ366" s="287">
        <f>BP366+($BR$366-$BM$366)/5</f>
        <v>8.0697213458151396</v>
      </c>
      <c r="BR366" s="288">
        <f>BM366*$D$742</f>
        <v>8.1465815331448379</v>
      </c>
    </row>
    <row r="367" spans="1:70" x14ac:dyDescent="0.25">
      <c r="A367" s="915" t="s">
        <v>516</v>
      </c>
      <c r="B367" s="917">
        <v>1151.0859678463546</v>
      </c>
      <c r="C367" s="917">
        <v>1235.02709960938</v>
      </c>
      <c r="D367" s="917">
        <v>1405.9186066996403</v>
      </c>
      <c r="E367" s="917">
        <v>993.73713091111074</v>
      </c>
      <c r="F367" s="917">
        <v>991.07514876947641</v>
      </c>
      <c r="G367" s="917">
        <v>1131.7003147881212</v>
      </c>
      <c r="H367" s="917">
        <v>1221.038560105055</v>
      </c>
      <c r="I367" s="917">
        <v>1307.1547250090439</v>
      </c>
      <c r="J367" s="917">
        <v>1389.9450601614428</v>
      </c>
      <c r="K367" s="917">
        <v>1469.7993497059265</v>
      </c>
      <c r="L367" s="917">
        <v>1544.0421618496678</v>
      </c>
      <c r="M367" s="917">
        <v>1624.4209976542634</v>
      </c>
      <c r="N367" s="917">
        <v>1703.8854780296228</v>
      </c>
      <c r="O367" s="917">
        <v>1776.9868521708881</v>
      </c>
      <c r="P367" s="917">
        <v>1854.0622550605767</v>
      </c>
      <c r="Q367" s="917">
        <v>1917.5679054742993</v>
      </c>
      <c r="R367" s="917">
        <v>1978.3954213642144</v>
      </c>
      <c r="S367" s="917">
        <v>2044.5889248527621</v>
      </c>
      <c r="T367" s="917">
        <v>2112.8417777408945</v>
      </c>
      <c r="U367" s="917">
        <v>2163.9271994062915</v>
      </c>
      <c r="V367" s="917">
        <v>2241.4031618089139</v>
      </c>
      <c r="W367" s="917">
        <v>2303.558949985179</v>
      </c>
      <c r="X367" s="917">
        <v>2401.4612280803153</v>
      </c>
      <c r="Y367" s="917">
        <v>2501.5410135735665</v>
      </c>
      <c r="Z367" s="917">
        <v>2576.2560875804752</v>
      </c>
    </row>
    <row r="368" spans="1:70" ht="13" thickBot="1" x14ac:dyDescent="0.3">
      <c r="A368" s="915" t="s">
        <v>629</v>
      </c>
      <c r="B368" s="917">
        <v>3.1288517293273019E-2</v>
      </c>
      <c r="C368" s="917">
        <v>4.0145620703697205E-2</v>
      </c>
      <c r="D368" s="917">
        <v>3.8515830891447944E-2</v>
      </c>
      <c r="E368" s="917">
        <v>2.6303627333810531E-2</v>
      </c>
      <c r="F368" s="917">
        <v>5.6047443014104255E-2</v>
      </c>
      <c r="G368" s="917">
        <v>7.1119337023784479E-2</v>
      </c>
      <c r="H368" s="917">
        <v>8.8428224145552056E-2</v>
      </c>
      <c r="I368" s="917">
        <v>0.10266115711707489</v>
      </c>
      <c r="J368" s="917">
        <v>0.12491143634290662</v>
      </c>
      <c r="K368" s="917">
        <v>2.2293869286864165</v>
      </c>
      <c r="L368" s="917">
        <v>5.6123954184121017</v>
      </c>
      <c r="M368" s="917">
        <v>7.9566359351664051</v>
      </c>
      <c r="N368" s="917">
        <v>12.724991751969894</v>
      </c>
      <c r="O368" s="917">
        <v>19.495647700796784</v>
      </c>
      <c r="P368" s="917">
        <v>28.06371652814466</v>
      </c>
      <c r="Q368" s="917">
        <v>33.841758141316177</v>
      </c>
      <c r="R368" s="917">
        <v>47.452021910622882</v>
      </c>
      <c r="S368" s="917">
        <v>48.667640008057987</v>
      </c>
      <c r="T368" s="917">
        <v>47.767774332439714</v>
      </c>
      <c r="U368" s="917">
        <v>50.842459413568172</v>
      </c>
      <c r="V368" s="917">
        <v>54.12672288853372</v>
      </c>
      <c r="W368" s="917">
        <v>67.349033728123644</v>
      </c>
      <c r="X368" s="917">
        <v>72.870357898145016</v>
      </c>
      <c r="Y368" s="917">
        <v>82.472655922369356</v>
      </c>
      <c r="Z368" s="917">
        <v>85.74303480046683</v>
      </c>
    </row>
    <row r="369" spans="1:70" ht="13" thickBot="1" x14ac:dyDescent="0.3">
      <c r="A369" s="915" t="s">
        <v>518</v>
      </c>
      <c r="B369" s="917">
        <v>1151.1172301979784</v>
      </c>
      <c r="C369" s="917">
        <v>1235.06726074219</v>
      </c>
      <c r="D369" s="917">
        <v>1405.957155546361</v>
      </c>
      <c r="E369" s="917">
        <v>993.76346133595302</v>
      </c>
      <c r="F369" s="917">
        <v>991.13120249830877</v>
      </c>
      <c r="G369" s="917">
        <v>1131.7714475332546</v>
      </c>
      <c r="H369" s="917">
        <v>1221.1269368042056</v>
      </c>
      <c r="I369" s="917">
        <v>1307.2573637523753</v>
      </c>
      <c r="J369" s="917">
        <v>1390.0699789505047</v>
      </c>
      <c r="K369" s="917">
        <v>1472.0286986549243</v>
      </c>
      <c r="L369" s="917">
        <v>1549.6545225531884</v>
      </c>
      <c r="M369" s="917">
        <v>1632.3776685401217</v>
      </c>
      <c r="N369" s="917">
        <v>1716.6105344121597</v>
      </c>
      <c r="O369" s="917">
        <v>1796.4824632434897</v>
      </c>
      <c r="P369" s="917">
        <v>1882.1259667447755</v>
      </c>
      <c r="Q369" s="917">
        <v>1951.4096785174786</v>
      </c>
      <c r="R369" s="917">
        <v>2025.8475094892897</v>
      </c>
      <c r="S369" s="917">
        <v>2093.2565961526161</v>
      </c>
      <c r="T369" s="917">
        <v>2160.609578738799</v>
      </c>
      <c r="U369" s="917">
        <v>2214.7697023873047</v>
      </c>
      <c r="V369" s="917">
        <v>2295.5298624598372</v>
      </c>
      <c r="W369" s="917">
        <v>2370.9079156203875</v>
      </c>
      <c r="X369" s="917">
        <v>2474.3315685955818</v>
      </c>
      <c r="Y369" s="917">
        <v>2584.0136458368329</v>
      </c>
      <c r="Z369" s="917">
        <v>2661.9990499371279</v>
      </c>
      <c r="AA369" s="289">
        <f>Z539+($AI$369-$Y$539)/10</f>
        <v>15.611683809514826</v>
      </c>
      <c r="AB369" s="289">
        <f t="shared" ref="AB369:AH369" si="30">AA369+($AI$369-$Y$539)/10</f>
        <v>15.541748469704389</v>
      </c>
      <c r="AC369" s="289">
        <f t="shared" si="30"/>
        <v>15.471813129893953</v>
      </c>
      <c r="AD369" s="289">
        <f t="shared" si="30"/>
        <v>15.401877790083516</v>
      </c>
      <c r="AE369" s="289">
        <f t="shared" si="30"/>
        <v>15.331942450273079</v>
      </c>
      <c r="AF369" s="289">
        <f t="shared" si="30"/>
        <v>15.262007110462642</v>
      </c>
      <c r="AG369" s="289">
        <f t="shared" si="30"/>
        <v>15.192071770652205</v>
      </c>
      <c r="AH369" s="289">
        <f t="shared" si="30"/>
        <v>15.122136430841769</v>
      </c>
      <c r="AI369" s="290">
        <f>T539*$E$745</f>
        <v>15.052201091031337</v>
      </c>
      <c r="AJ369" s="289">
        <f>AI369+($AX$369-$AI$369)/15</f>
        <v>15.046283758755285</v>
      </c>
      <c r="AK369" s="289">
        <f t="shared" ref="AK369:AW369" si="31">AJ369+($AX$369-$AI$369)/15</f>
        <v>15.040366426479233</v>
      </c>
      <c r="AL369" s="289">
        <f t="shared" si="31"/>
        <v>15.034449094203181</v>
      </c>
      <c r="AM369" s="289">
        <f t="shared" si="31"/>
        <v>15.028531761927129</v>
      </c>
      <c r="AN369" s="289">
        <f t="shared" si="31"/>
        <v>15.022614429651076</v>
      </c>
      <c r="AO369" s="289">
        <f t="shared" si="31"/>
        <v>15.016697097375024</v>
      </c>
      <c r="AP369" s="289">
        <f t="shared" si="31"/>
        <v>15.010779765098972</v>
      </c>
      <c r="AQ369" s="289">
        <f t="shared" si="31"/>
        <v>15.00486243282292</v>
      </c>
      <c r="AR369" s="289">
        <f t="shared" si="31"/>
        <v>14.998945100546868</v>
      </c>
      <c r="AS369" s="289">
        <f t="shared" si="31"/>
        <v>14.993027768270816</v>
      </c>
      <c r="AT369" s="289">
        <f t="shared" si="31"/>
        <v>14.987110435994763</v>
      </c>
      <c r="AU369" s="289">
        <f t="shared" si="31"/>
        <v>14.981193103718711</v>
      </c>
      <c r="AV369" s="289">
        <f t="shared" si="31"/>
        <v>14.975275771442659</v>
      </c>
      <c r="AW369" s="289">
        <f t="shared" si="31"/>
        <v>14.969358439166607</v>
      </c>
      <c r="AX369" s="290">
        <f>AI369*$B$745</f>
        <v>14.963441106890555</v>
      </c>
      <c r="AY369" s="289">
        <f>AX369+($BM$369-$AX$369)/15</f>
        <v>14.972946595029557</v>
      </c>
      <c r="AZ369" s="289">
        <f t="shared" ref="AZ369:BL369" si="32">AY369+($BM$369-$AX$369)/15</f>
        <v>14.982452083168559</v>
      </c>
      <c r="BA369" s="289">
        <f t="shared" si="32"/>
        <v>14.991957571307561</v>
      </c>
      <c r="BB369" s="289">
        <f t="shared" si="32"/>
        <v>15.001463059446563</v>
      </c>
      <c r="BC369" s="289">
        <f t="shared" si="32"/>
        <v>15.010968547585565</v>
      </c>
      <c r="BD369" s="289">
        <f t="shared" si="32"/>
        <v>15.020474035724567</v>
      </c>
      <c r="BE369" s="289">
        <f t="shared" si="32"/>
        <v>15.029979523863569</v>
      </c>
      <c r="BF369" s="289">
        <f t="shared" si="32"/>
        <v>15.03948501200257</v>
      </c>
      <c r="BG369" s="289">
        <f t="shared" si="32"/>
        <v>15.048990500141572</v>
      </c>
      <c r="BH369" s="289">
        <f t="shared" si="32"/>
        <v>15.058495988280574</v>
      </c>
      <c r="BI369" s="289">
        <f t="shared" si="32"/>
        <v>15.068001476419576</v>
      </c>
      <c r="BJ369" s="289">
        <f t="shared" si="32"/>
        <v>15.077506964558578</v>
      </c>
      <c r="BK369" s="289">
        <f t="shared" si="32"/>
        <v>15.08701245269758</v>
      </c>
      <c r="BL369" s="289">
        <f t="shared" si="32"/>
        <v>15.096517940836582</v>
      </c>
      <c r="BM369" s="290">
        <f>AX369*$C$745</f>
        <v>15.106023428975591</v>
      </c>
      <c r="BN369" s="289">
        <f>BM369+($BR$369-$BM$369)/5</f>
        <v>15.115619492174282</v>
      </c>
      <c r="BO369" s="289">
        <f>BN369+($BR$369-$BM$369)/5</f>
        <v>15.125215555372973</v>
      </c>
      <c r="BP369" s="289">
        <f>BO369+($BR$369-$BM$369)/5</f>
        <v>15.134811618571664</v>
      </c>
      <c r="BQ369" s="289">
        <f>BP369+($BR$369-$BM$369)/5</f>
        <v>15.144407681770355</v>
      </c>
      <c r="BR369" s="290">
        <f>BM369*$D$745</f>
        <v>15.154003744969049</v>
      </c>
    </row>
    <row r="373" spans="1:70" ht="13" thickBot="1" x14ac:dyDescent="0.3">
      <c r="A373" s="915" t="s">
        <v>630</v>
      </c>
    </row>
    <row r="374" spans="1:70" ht="13" thickBot="1" x14ac:dyDescent="0.3">
      <c r="A374" s="915" t="s">
        <v>631</v>
      </c>
      <c r="AA374" s="291">
        <f>Z544+($AI$374-$Y$544)/10</f>
        <v>11.584123362673006</v>
      </c>
      <c r="AB374" s="291">
        <f t="shared" ref="AB374:AH374" si="33">AA374+($AI$374-$Y$544)/10</f>
        <v>11.952852829654059</v>
      </c>
      <c r="AC374" s="291">
        <f t="shared" si="33"/>
        <v>12.321582296635112</v>
      </c>
      <c r="AD374" s="291">
        <f t="shared" si="33"/>
        <v>12.690311763616165</v>
      </c>
      <c r="AE374" s="291">
        <f t="shared" si="33"/>
        <v>13.059041230597218</v>
      </c>
      <c r="AF374" s="291">
        <f t="shared" si="33"/>
        <v>13.427770697578271</v>
      </c>
      <c r="AG374" s="291">
        <f t="shared" si="33"/>
        <v>13.796500164559324</v>
      </c>
      <c r="AH374" s="291">
        <f t="shared" si="33"/>
        <v>14.165229631540377</v>
      </c>
      <c r="AI374" s="292">
        <f>T544*$E$744</f>
        <v>14.533959098521429</v>
      </c>
      <c r="AJ374" s="291">
        <f>AI374+($AX$374-$AI$374)/15</f>
        <v>14.687791105011014</v>
      </c>
      <c r="AK374" s="291">
        <f t="shared" ref="AK374:AW374" si="34">AJ374+($AX$374-$AI$374)/15</f>
        <v>14.841623111500599</v>
      </c>
      <c r="AL374" s="291">
        <f t="shared" si="34"/>
        <v>14.995455117990184</v>
      </c>
      <c r="AM374" s="291">
        <f t="shared" si="34"/>
        <v>15.14928712447977</v>
      </c>
      <c r="AN374" s="291">
        <f t="shared" si="34"/>
        <v>15.303119130969355</v>
      </c>
      <c r="AO374" s="291">
        <f t="shared" si="34"/>
        <v>15.45695113745894</v>
      </c>
      <c r="AP374" s="291">
        <f t="shared" si="34"/>
        <v>15.610783143948526</v>
      </c>
      <c r="AQ374" s="291">
        <f t="shared" si="34"/>
        <v>15.764615150438111</v>
      </c>
      <c r="AR374" s="291">
        <f t="shared" si="34"/>
        <v>15.918447156927696</v>
      </c>
      <c r="AS374" s="291">
        <f t="shared" si="34"/>
        <v>16.072279163417281</v>
      </c>
      <c r="AT374" s="291">
        <f t="shared" si="34"/>
        <v>16.226111169906865</v>
      </c>
      <c r="AU374" s="291">
        <f t="shared" si="34"/>
        <v>16.379943176396448</v>
      </c>
      <c r="AV374" s="291">
        <f t="shared" si="34"/>
        <v>16.533775182886032</v>
      </c>
      <c r="AW374" s="291">
        <f t="shared" si="34"/>
        <v>16.687607189375615</v>
      </c>
      <c r="AX374" s="292">
        <f>AI374*$B$744</f>
        <v>16.841439195865195</v>
      </c>
      <c r="AY374" s="291">
        <f>AX374+($BM$374-$AX$374)/15</f>
        <v>16.937333989857837</v>
      </c>
      <c r="AZ374" s="291">
        <f t="shared" ref="AZ374:BL374" si="35">AY374+($BM$374-$AX$374)/15</f>
        <v>17.033228783850479</v>
      </c>
      <c r="BA374" s="291">
        <f t="shared" si="35"/>
        <v>17.129123577843121</v>
      </c>
      <c r="BB374" s="291">
        <f t="shared" si="35"/>
        <v>17.225018371835763</v>
      </c>
      <c r="BC374" s="291">
        <f t="shared" si="35"/>
        <v>17.320913165828404</v>
      </c>
      <c r="BD374" s="291">
        <f t="shared" si="35"/>
        <v>17.416807959821046</v>
      </c>
      <c r="BE374" s="291">
        <f t="shared" si="35"/>
        <v>17.512702753813688</v>
      </c>
      <c r="BF374" s="291">
        <f t="shared" si="35"/>
        <v>17.60859754780633</v>
      </c>
      <c r="BG374" s="291">
        <f t="shared" si="35"/>
        <v>17.704492341798971</v>
      </c>
      <c r="BH374" s="291">
        <f t="shared" si="35"/>
        <v>17.800387135791613</v>
      </c>
      <c r="BI374" s="291">
        <f t="shared" si="35"/>
        <v>17.896281929784255</v>
      </c>
      <c r="BJ374" s="291">
        <f t="shared" si="35"/>
        <v>17.992176723776897</v>
      </c>
      <c r="BK374" s="291">
        <f t="shared" si="35"/>
        <v>18.088071517769539</v>
      </c>
      <c r="BL374" s="291">
        <f t="shared" si="35"/>
        <v>18.18396631176218</v>
      </c>
      <c r="BM374" s="292">
        <f>AX374*$C$744</f>
        <v>18.27986110575484</v>
      </c>
      <c r="BN374" s="291">
        <f>BM374+($BR$374-$BM$374)/5</f>
        <v>18.383946243287554</v>
      </c>
      <c r="BO374" s="291">
        <f>BN374+($BR$374-$BM$374)/5</f>
        <v>18.488031380820267</v>
      </c>
      <c r="BP374" s="291">
        <f>BO374+($BR$374-$BM$374)/5</f>
        <v>18.592116518352981</v>
      </c>
      <c r="BQ374" s="291">
        <f>BP374+($BR$374-$BM$374)/5</f>
        <v>18.696201655885694</v>
      </c>
      <c r="BR374" s="292">
        <f>BM374*$D$744</f>
        <v>18.800286793418415</v>
      </c>
    </row>
    <row r="375" spans="1:70" ht="13" thickBot="1" x14ac:dyDescent="0.3">
      <c r="A375" s="915" t="s">
        <v>632</v>
      </c>
    </row>
    <row r="376" spans="1:70" ht="13" thickBot="1" x14ac:dyDescent="0.3">
      <c r="A376" s="915" t="s">
        <v>728</v>
      </c>
      <c r="AA376" s="291">
        <f>Z546+($AI$376-$Y$546)/10</f>
        <v>13.665763245709009</v>
      </c>
      <c r="AB376" s="291">
        <f t="shared" ref="AB376:AH376" si="36">AA376+($AI$376-$Y$546)/10</f>
        <v>14.091688195895063</v>
      </c>
      <c r="AC376" s="291">
        <f t="shared" si="36"/>
        <v>14.517613146081118</v>
      </c>
      <c r="AD376" s="291">
        <f t="shared" si="36"/>
        <v>14.943538096267172</v>
      </c>
      <c r="AE376" s="291">
        <f t="shared" si="36"/>
        <v>15.369463046453227</v>
      </c>
      <c r="AF376" s="291">
        <f t="shared" si="36"/>
        <v>15.795387996639281</v>
      </c>
      <c r="AG376" s="291">
        <f t="shared" si="36"/>
        <v>16.221312946825336</v>
      </c>
      <c r="AH376" s="291">
        <f t="shared" si="36"/>
        <v>16.64723789701139</v>
      </c>
      <c r="AI376" s="292">
        <f>T546*$E$744</f>
        <v>17.073162847197445</v>
      </c>
      <c r="AJ376" s="291">
        <f>AI376+($AX$376-$AI$376)/15</f>
        <v>17.253870586919582</v>
      </c>
      <c r="AK376" s="291">
        <f t="shared" ref="AK376:AW376" si="37">AJ376+($AX$376-$AI$376)/15</f>
        <v>17.43457832664172</v>
      </c>
      <c r="AL376" s="291">
        <f t="shared" si="37"/>
        <v>17.615286066363858</v>
      </c>
      <c r="AM376" s="291">
        <f t="shared" si="37"/>
        <v>17.795993806085995</v>
      </c>
      <c r="AN376" s="291">
        <f t="shared" si="37"/>
        <v>17.976701545808133</v>
      </c>
      <c r="AO376" s="291">
        <f t="shared" si="37"/>
        <v>18.157409285530271</v>
      </c>
      <c r="AP376" s="291">
        <f t="shared" si="37"/>
        <v>18.338117025252409</v>
      </c>
      <c r="AQ376" s="291">
        <f t="shared" si="37"/>
        <v>18.518824764974546</v>
      </c>
      <c r="AR376" s="291">
        <f t="shared" si="37"/>
        <v>18.699532504696684</v>
      </c>
      <c r="AS376" s="291">
        <f t="shared" si="37"/>
        <v>18.880240244418822</v>
      </c>
      <c r="AT376" s="291">
        <f t="shared" si="37"/>
        <v>19.060947984140959</v>
      </c>
      <c r="AU376" s="291">
        <f t="shared" si="37"/>
        <v>19.241655723863097</v>
      </c>
      <c r="AV376" s="291">
        <f t="shared" si="37"/>
        <v>19.422363463585235</v>
      </c>
      <c r="AW376" s="291">
        <f t="shared" si="37"/>
        <v>19.603071203307373</v>
      </c>
      <c r="AX376" s="292">
        <f>AI376*$B$744</f>
        <v>19.783778943029514</v>
      </c>
      <c r="AY376" s="291">
        <f>AX376+($BM$376-$AX$376)/15</f>
        <v>19.896427356509733</v>
      </c>
      <c r="AZ376" s="291">
        <f t="shared" ref="AZ376:BL376" si="38">AY376+($BM$376-$AX$376)/15</f>
        <v>20.009075769989952</v>
      </c>
      <c r="BA376" s="291">
        <f t="shared" si="38"/>
        <v>20.121724183470171</v>
      </c>
      <c r="BB376" s="291">
        <f t="shared" si="38"/>
        <v>20.23437259695039</v>
      </c>
      <c r="BC376" s="291">
        <f t="shared" si="38"/>
        <v>20.347021010430609</v>
      </c>
      <c r="BD376" s="291">
        <f t="shared" si="38"/>
        <v>20.459669423910828</v>
      </c>
      <c r="BE376" s="291">
        <f t="shared" si="38"/>
        <v>20.572317837391047</v>
      </c>
      <c r="BF376" s="291">
        <f t="shared" si="38"/>
        <v>20.684966250871266</v>
      </c>
      <c r="BG376" s="291">
        <f t="shared" si="38"/>
        <v>20.797614664351485</v>
      </c>
      <c r="BH376" s="291">
        <f t="shared" si="38"/>
        <v>20.910263077831704</v>
      </c>
      <c r="BI376" s="291">
        <f t="shared" si="38"/>
        <v>21.022911491311923</v>
      </c>
      <c r="BJ376" s="291">
        <f t="shared" si="38"/>
        <v>21.135559904792142</v>
      </c>
      <c r="BK376" s="291">
        <f t="shared" si="38"/>
        <v>21.248208318272361</v>
      </c>
      <c r="BL376" s="291">
        <f t="shared" si="38"/>
        <v>21.36085673175258</v>
      </c>
      <c r="BM376" s="292">
        <f>AX376*$C$744</f>
        <v>21.47350514523281</v>
      </c>
      <c r="BN376" s="291">
        <f>BM376+($BR$376-$BM$376)/5</f>
        <v>21.595774823509927</v>
      </c>
      <c r="BO376" s="291">
        <f>BN376+($BR$376-$BM$376)/5</f>
        <v>21.718044501787045</v>
      </c>
      <c r="BP376" s="291">
        <f>BO376+($BR$376-$BM$376)/5</f>
        <v>21.840314180064162</v>
      </c>
      <c r="BQ376" s="291">
        <f>BP376+($BR$376-$BM$376)/5</f>
        <v>21.962583858341279</v>
      </c>
      <c r="BR376" s="292">
        <f>BM376*$D$744</f>
        <v>22.084853536618393</v>
      </c>
    </row>
    <row r="377" spans="1:70" x14ac:dyDescent="0.25">
      <c r="A377" s="915" t="s">
        <v>729</v>
      </c>
    </row>
    <row r="378" spans="1:70" x14ac:dyDescent="0.25">
      <c r="A378" s="915" t="s">
        <v>649</v>
      </c>
    </row>
    <row r="379" spans="1:70" ht="13" thickBot="1" x14ac:dyDescent="0.3">
      <c r="A379" s="915" t="s">
        <v>650</v>
      </c>
    </row>
    <row r="380" spans="1:70" ht="13" thickBot="1" x14ac:dyDescent="0.3">
      <c r="A380" s="915" t="s">
        <v>651</v>
      </c>
      <c r="AA380" s="293">
        <f>Z550+($AI$380-$Y$550)/10</f>
        <v>17.944433063730909</v>
      </c>
      <c r="AB380" s="293">
        <f t="shared" ref="AB380:AH380" si="39">AA380+($AI$380-$Y$550)/10</f>
        <v>17.852387205459664</v>
      </c>
      <c r="AC380" s="293">
        <f t="shared" si="39"/>
        <v>17.760341347188419</v>
      </c>
      <c r="AD380" s="293">
        <f t="shared" si="39"/>
        <v>17.668295488917174</v>
      </c>
      <c r="AE380" s="293">
        <f t="shared" si="39"/>
        <v>17.576249630645929</v>
      </c>
      <c r="AF380" s="293">
        <f t="shared" si="39"/>
        <v>17.484203772374684</v>
      </c>
      <c r="AG380" s="293">
        <f t="shared" si="39"/>
        <v>17.392157914103439</v>
      </c>
      <c r="AH380" s="293">
        <f t="shared" si="39"/>
        <v>17.300112055832194</v>
      </c>
      <c r="AI380" s="294">
        <f>T550*$E$747</f>
        <v>17.208066197560942</v>
      </c>
      <c r="AJ380" s="293">
        <f>AI380+($AX$380-$AI$380)/15</f>
        <v>17.219509839491277</v>
      </c>
      <c r="AK380" s="293">
        <f t="shared" ref="AK380:AW380" si="40">AJ380+($AX$380-$AI$380)/15</f>
        <v>17.230953481421611</v>
      </c>
      <c r="AL380" s="293">
        <f t="shared" si="40"/>
        <v>17.242397123351946</v>
      </c>
      <c r="AM380" s="293">
        <f t="shared" si="40"/>
        <v>17.253840765282281</v>
      </c>
      <c r="AN380" s="293">
        <f t="shared" si="40"/>
        <v>17.265284407212615</v>
      </c>
      <c r="AO380" s="293">
        <f t="shared" si="40"/>
        <v>17.27672804914295</v>
      </c>
      <c r="AP380" s="293">
        <f t="shared" si="40"/>
        <v>17.288171691073284</v>
      </c>
      <c r="AQ380" s="293">
        <f t="shared" si="40"/>
        <v>17.299615333003619</v>
      </c>
      <c r="AR380" s="293">
        <f t="shared" si="40"/>
        <v>17.311058974933953</v>
      </c>
      <c r="AS380" s="293">
        <f t="shared" si="40"/>
        <v>17.322502616864288</v>
      </c>
      <c r="AT380" s="293">
        <f t="shared" si="40"/>
        <v>17.333946258794622</v>
      </c>
      <c r="AU380" s="293">
        <f t="shared" si="40"/>
        <v>17.345389900724957</v>
      </c>
      <c r="AV380" s="293">
        <f t="shared" si="40"/>
        <v>17.356833542655291</v>
      </c>
      <c r="AW380" s="293">
        <f t="shared" si="40"/>
        <v>17.368277184585626</v>
      </c>
      <c r="AX380" s="294">
        <f>AI380*$B$747</f>
        <v>17.379720826515971</v>
      </c>
      <c r="AY380" s="293">
        <f>AX380+($BM$380-$AX$380)/15</f>
        <v>17.385626979648983</v>
      </c>
      <c r="AZ380" s="293">
        <f t="shared" ref="AZ380:BL380" si="41">AY380+($BM$380-$AX$380)/15</f>
        <v>17.391533132781994</v>
      </c>
      <c r="BA380" s="293">
        <f t="shared" si="41"/>
        <v>17.397439285915006</v>
      </c>
      <c r="BB380" s="293">
        <f t="shared" si="41"/>
        <v>17.403345439048017</v>
      </c>
      <c r="BC380" s="293">
        <f t="shared" si="41"/>
        <v>17.409251592181029</v>
      </c>
      <c r="BD380" s="293">
        <f t="shared" si="41"/>
        <v>17.41515774531404</v>
      </c>
      <c r="BE380" s="293">
        <f t="shared" si="41"/>
        <v>17.421063898447052</v>
      </c>
      <c r="BF380" s="293">
        <f t="shared" si="41"/>
        <v>17.426970051580064</v>
      </c>
      <c r="BG380" s="293">
        <f t="shared" si="41"/>
        <v>17.432876204713075</v>
      </c>
      <c r="BH380" s="293">
        <f t="shared" si="41"/>
        <v>17.438782357846087</v>
      </c>
      <c r="BI380" s="293">
        <f t="shared" si="41"/>
        <v>17.444688510979098</v>
      </c>
      <c r="BJ380" s="293">
        <f t="shared" si="41"/>
        <v>17.45059466411211</v>
      </c>
      <c r="BK380" s="293">
        <f t="shared" si="41"/>
        <v>17.456500817245121</v>
      </c>
      <c r="BL380" s="293">
        <f t="shared" si="41"/>
        <v>17.462406970378133</v>
      </c>
      <c r="BM380" s="294">
        <f>AX380*$C$747</f>
        <v>17.468313123511169</v>
      </c>
      <c r="BN380" s="293">
        <f>BM380+($BR$380-$BM$380)/5</f>
        <v>17.474249382977746</v>
      </c>
      <c r="BO380" s="293">
        <f>BN380+($BR$380-$BM$380)/5</f>
        <v>17.480185642444322</v>
      </c>
      <c r="BP380" s="293">
        <f>BO380+($BR$380-$BM$380)/5</f>
        <v>17.486121901910899</v>
      </c>
      <c r="BQ380" s="293">
        <f>BP380+($BR$380-$BM$380)/5</f>
        <v>17.492058161377475</v>
      </c>
      <c r="BR380" s="294">
        <f>BM380*$D$747</f>
        <v>17.497994420844059</v>
      </c>
    </row>
    <row r="381" spans="1:70" x14ac:dyDescent="0.25">
      <c r="A381" s="915" t="s">
        <v>652</v>
      </c>
    </row>
    <row r="382" spans="1:70" x14ac:dyDescent="0.25">
      <c r="A382" s="915" t="s">
        <v>653</v>
      </c>
    </row>
    <row r="383" spans="1:70" x14ac:dyDescent="0.25">
      <c r="A383" s="915" t="s">
        <v>654</v>
      </c>
    </row>
    <row r="384" spans="1:70" x14ac:dyDescent="0.25">
      <c r="A384" s="915" t="s">
        <v>545</v>
      </c>
    </row>
    <row r="385" spans="1:70" x14ac:dyDescent="0.25">
      <c r="A385" s="915" t="s">
        <v>730</v>
      </c>
    </row>
    <row r="386" spans="1:70" x14ac:dyDescent="0.25">
      <c r="A386" s="915" t="s">
        <v>731</v>
      </c>
    </row>
    <row r="387" spans="1:70" x14ac:dyDescent="0.25">
      <c r="A387" s="915" t="s">
        <v>732</v>
      </c>
    </row>
    <row r="388" spans="1:70" x14ac:dyDescent="0.25">
      <c r="A388" s="915" t="s">
        <v>733</v>
      </c>
    </row>
    <row r="389" spans="1:70" x14ac:dyDescent="0.25">
      <c r="A389" s="915" t="s">
        <v>734</v>
      </c>
    </row>
    <row r="390" spans="1:70" x14ac:dyDescent="0.25">
      <c r="A390" s="915" t="s">
        <v>735</v>
      </c>
    </row>
    <row r="391" spans="1:70" ht="13" thickBot="1" x14ac:dyDescent="0.3">
      <c r="A391" s="915" t="s">
        <v>736</v>
      </c>
    </row>
    <row r="392" spans="1:70" ht="13" thickBot="1" x14ac:dyDescent="0.3">
      <c r="A392" s="915" t="s">
        <v>737</v>
      </c>
      <c r="AA392" s="287">
        <f>Z562+($AI$392-$Y$562)/10</f>
        <v>5.5024940130181221</v>
      </c>
      <c r="AB392" s="287">
        <f t="shared" ref="AB392:AH392" si="42">AA392+($AI$392-$Y$562)/10</f>
        <v>5.5327298577229831</v>
      </c>
      <c r="AC392" s="287">
        <f t="shared" si="42"/>
        <v>5.5629657024278441</v>
      </c>
      <c r="AD392" s="287">
        <f t="shared" si="42"/>
        <v>5.593201547132705</v>
      </c>
      <c r="AE392" s="287">
        <f t="shared" si="42"/>
        <v>5.623437391837566</v>
      </c>
      <c r="AF392" s="287">
        <f t="shared" si="42"/>
        <v>5.6536732365424269</v>
      </c>
      <c r="AG392" s="287">
        <f t="shared" si="42"/>
        <v>5.6839090812472879</v>
      </c>
      <c r="AH392" s="287">
        <f t="shared" si="42"/>
        <v>5.7141449259521488</v>
      </c>
      <c r="AI392" s="288">
        <f>T562*$E$742</f>
        <v>5.7443807706570116</v>
      </c>
      <c r="AJ392" s="287">
        <f>AI392+($AX$392-$AI$392)/15</f>
        <v>5.809402940121136</v>
      </c>
      <c r="AK392" s="287">
        <f t="shared" ref="AK392:AW392" si="43">AJ392+($AX$392-$AI$392)/15</f>
        <v>5.8744251095852604</v>
      </c>
      <c r="AL392" s="287">
        <f t="shared" si="43"/>
        <v>5.9394472790493849</v>
      </c>
      <c r="AM392" s="287">
        <f t="shared" si="43"/>
        <v>6.0044694485135093</v>
      </c>
      <c r="AN392" s="287">
        <f t="shared" si="43"/>
        <v>6.0694916179776337</v>
      </c>
      <c r="AO392" s="287">
        <f t="shared" si="43"/>
        <v>6.1345137874417581</v>
      </c>
      <c r="AP392" s="287">
        <f t="shared" si="43"/>
        <v>6.1995359569058825</v>
      </c>
      <c r="AQ392" s="287">
        <f t="shared" si="43"/>
        <v>6.264558126370007</v>
      </c>
      <c r="AR392" s="287">
        <f t="shared" si="43"/>
        <v>6.3295802958341314</v>
      </c>
      <c r="AS392" s="287">
        <f t="shared" si="43"/>
        <v>6.3946024652982558</v>
      </c>
      <c r="AT392" s="287">
        <f t="shared" si="43"/>
        <v>6.4596246347623802</v>
      </c>
      <c r="AU392" s="287">
        <f t="shared" si="43"/>
        <v>6.5246468042265047</v>
      </c>
      <c r="AV392" s="287">
        <f t="shared" si="43"/>
        <v>6.5896689736906291</v>
      </c>
      <c r="AW392" s="287">
        <f t="shared" si="43"/>
        <v>6.6546911431547535</v>
      </c>
      <c r="AX392" s="288">
        <f>AI392*$B$742</f>
        <v>6.7197133126188779</v>
      </c>
      <c r="AY392" s="287">
        <f>AX392+($BM$392-$AX$392)/15</f>
        <v>6.7862502559294402</v>
      </c>
      <c r="AZ392" s="287">
        <f t="shared" ref="AZ392:BL392" si="44">AY392+($BM$392-$AX$392)/15</f>
        <v>6.8527871992400025</v>
      </c>
      <c r="BA392" s="287">
        <f t="shared" si="44"/>
        <v>6.9193241425505647</v>
      </c>
      <c r="BB392" s="287">
        <f t="shared" si="44"/>
        <v>6.985861085861127</v>
      </c>
      <c r="BC392" s="287">
        <f t="shared" si="44"/>
        <v>7.0523980291716892</v>
      </c>
      <c r="BD392" s="287">
        <f t="shared" si="44"/>
        <v>7.1189349724822515</v>
      </c>
      <c r="BE392" s="287">
        <f t="shared" si="44"/>
        <v>7.1854719157928137</v>
      </c>
      <c r="BF392" s="287">
        <f t="shared" si="44"/>
        <v>7.252008859103376</v>
      </c>
      <c r="BG392" s="287">
        <f t="shared" si="44"/>
        <v>7.3185458024139383</v>
      </c>
      <c r="BH392" s="287">
        <f t="shared" si="44"/>
        <v>7.3850827457245005</v>
      </c>
      <c r="BI392" s="287">
        <f t="shared" si="44"/>
        <v>7.4516196890350628</v>
      </c>
      <c r="BJ392" s="287">
        <f t="shared" si="44"/>
        <v>7.518156632345625</v>
      </c>
      <c r="BK392" s="287">
        <f t="shared" si="44"/>
        <v>7.5846935756561873</v>
      </c>
      <c r="BL392" s="287">
        <f t="shared" si="44"/>
        <v>7.6512305189667495</v>
      </c>
      <c r="BM392" s="288">
        <f>AX392*$C$742</f>
        <v>7.7177674622773127</v>
      </c>
      <c r="BN392" s="287">
        <f>BM392+($BR$392-$BM$392)/5</f>
        <v>7.7941868915344088</v>
      </c>
      <c r="BO392" s="287">
        <f>BN392+($BR$392-$BM$392)/5</f>
        <v>7.8706063207915049</v>
      </c>
      <c r="BP392" s="287">
        <f>BO392+($BR$392-$BM$392)/5</f>
        <v>7.947025750048601</v>
      </c>
      <c r="BQ392" s="287">
        <f>BP392+($BR$392-$BM$392)/5</f>
        <v>8.023445179305698</v>
      </c>
      <c r="BR392" s="288">
        <f>BM392*$D$742</f>
        <v>8.099864608562795</v>
      </c>
    </row>
    <row r="393" spans="1:70" ht="13" thickBot="1" x14ac:dyDescent="0.3">
      <c r="A393" s="915" t="s">
        <v>738</v>
      </c>
      <c r="AA393" s="295">
        <f>Z563+($AI$393-$Y$563)/10</f>
        <v>1.3116492415795387</v>
      </c>
      <c r="AB393" s="295">
        <f t="shared" ref="AB393:AH393" si="45">AA393+($AI$393-$Y$563)/10</f>
        <v>1.314474997718583</v>
      </c>
      <c r="AC393" s="295">
        <f t="shared" si="45"/>
        <v>1.3173007538576273</v>
      </c>
      <c r="AD393" s="295">
        <f t="shared" si="45"/>
        <v>1.3201265099966717</v>
      </c>
      <c r="AE393" s="295">
        <f t="shared" si="45"/>
        <v>1.322952266135716</v>
      </c>
      <c r="AF393" s="295">
        <f t="shared" si="45"/>
        <v>1.3257780222747604</v>
      </c>
      <c r="AG393" s="295">
        <f t="shared" si="45"/>
        <v>1.3286037784138047</v>
      </c>
      <c r="AH393" s="295">
        <f t="shared" si="45"/>
        <v>1.3314295345528491</v>
      </c>
      <c r="AI393" s="296">
        <f>T563*$E$740</f>
        <v>1.3342552906918941</v>
      </c>
      <c r="AJ393" s="295">
        <f>AI393+($AX$393-$AI$393)/15</f>
        <v>1.3381671025139799</v>
      </c>
      <c r="AK393" s="295">
        <f t="shared" ref="AK393:AW393" si="46">AJ393+($AX$393-$AI$393)/15</f>
        <v>1.3420789143360656</v>
      </c>
      <c r="AL393" s="295">
        <f t="shared" si="46"/>
        <v>1.3459907261581514</v>
      </c>
      <c r="AM393" s="295">
        <f t="shared" si="46"/>
        <v>1.3499025379802372</v>
      </c>
      <c r="AN393" s="295">
        <f t="shared" si="46"/>
        <v>1.353814349802323</v>
      </c>
      <c r="AO393" s="295">
        <f t="shared" si="46"/>
        <v>1.3577261616244087</v>
      </c>
      <c r="AP393" s="295">
        <f t="shared" si="46"/>
        <v>1.3616379734464945</v>
      </c>
      <c r="AQ393" s="295">
        <f t="shared" si="46"/>
        <v>1.3655497852685803</v>
      </c>
      <c r="AR393" s="295">
        <f t="shared" si="46"/>
        <v>1.3694615970906661</v>
      </c>
      <c r="AS393" s="295">
        <f t="shared" si="46"/>
        <v>1.3733734089127518</v>
      </c>
      <c r="AT393" s="295">
        <f t="shared" si="46"/>
        <v>1.3772852207348376</v>
      </c>
      <c r="AU393" s="295">
        <f t="shared" si="46"/>
        <v>1.3811970325569234</v>
      </c>
      <c r="AV393" s="295">
        <f t="shared" si="46"/>
        <v>1.3851088443790092</v>
      </c>
      <c r="AW393" s="295">
        <f t="shared" si="46"/>
        <v>1.3890206562010949</v>
      </c>
      <c r="AX393" s="296">
        <f>AI393*$B$740</f>
        <v>1.3929324680231794</v>
      </c>
      <c r="AY393" s="295">
        <f>AX393+($BM$393-$AX$393)/15</f>
        <v>1.3955742685410359</v>
      </c>
      <c r="AZ393" s="295">
        <f t="shared" ref="AZ393:BL393" si="47">AY393+($BM$393-$AX$393)/15</f>
        <v>1.3982160690588925</v>
      </c>
      <c r="BA393" s="295">
        <f t="shared" si="47"/>
        <v>1.4008578695767491</v>
      </c>
      <c r="BB393" s="295">
        <f t="shared" si="47"/>
        <v>1.4034996700946056</v>
      </c>
      <c r="BC393" s="295">
        <f t="shared" si="47"/>
        <v>1.4061414706124622</v>
      </c>
      <c r="BD393" s="295">
        <f t="shared" si="47"/>
        <v>1.4087832711303188</v>
      </c>
      <c r="BE393" s="295">
        <f t="shared" si="47"/>
        <v>1.4114250716481753</v>
      </c>
      <c r="BF393" s="295">
        <f t="shared" si="47"/>
        <v>1.4140668721660319</v>
      </c>
      <c r="BG393" s="295">
        <f t="shared" si="47"/>
        <v>1.4167086726838884</v>
      </c>
      <c r="BH393" s="295">
        <f t="shared" si="47"/>
        <v>1.419350473201745</v>
      </c>
      <c r="BI393" s="295">
        <f t="shared" si="47"/>
        <v>1.4219922737196016</v>
      </c>
      <c r="BJ393" s="295">
        <f t="shared" si="47"/>
        <v>1.4246340742374581</v>
      </c>
      <c r="BK393" s="295">
        <f t="shared" si="47"/>
        <v>1.4272758747553147</v>
      </c>
      <c r="BL393" s="295">
        <f t="shared" si="47"/>
        <v>1.4299176752731713</v>
      </c>
      <c r="BM393" s="296">
        <f>AX393*$C$740</f>
        <v>1.4325594757910274</v>
      </c>
      <c r="BN393" s="295">
        <f>BM393+($BR$393-$BM$393)/5</f>
        <v>1.4352764318903966</v>
      </c>
      <c r="BO393" s="295">
        <f>BN393+($BR$393-$BM$393)/5</f>
        <v>1.4379933879897657</v>
      </c>
      <c r="BP393" s="295">
        <f>BO393+($BR$393-$BM$393)/5</f>
        <v>1.4407103440891349</v>
      </c>
      <c r="BQ393" s="295">
        <f>BP393+($BR$393-$BM$393)/5</f>
        <v>1.4434273001885041</v>
      </c>
      <c r="BR393" s="296">
        <f>BM393*$D$740</f>
        <v>1.4461442562878735</v>
      </c>
    </row>
    <row r="394" spans="1:70" x14ac:dyDescent="0.25">
      <c r="A394" s="915" t="s">
        <v>739</v>
      </c>
    </row>
    <row r="395" spans="1:70" x14ac:dyDescent="0.25">
      <c r="A395" s="915" t="s">
        <v>740</v>
      </c>
    </row>
    <row r="396" spans="1:70" x14ac:dyDescent="0.25">
      <c r="A396" s="915" t="s">
        <v>741</v>
      </c>
    </row>
    <row r="397" spans="1:70" x14ac:dyDescent="0.25">
      <c r="A397" s="915" t="s">
        <v>742</v>
      </c>
    </row>
    <row r="403" spans="1:26" x14ac:dyDescent="0.25">
      <c r="A403" s="310" t="s">
        <v>863</v>
      </c>
      <c r="B403" s="310"/>
      <c r="C403" s="310"/>
      <c r="D403" s="310"/>
      <c r="E403" s="310"/>
      <c r="F403" s="310"/>
      <c r="G403" s="310"/>
      <c r="H403" s="310"/>
      <c r="I403" s="310"/>
      <c r="J403" s="310"/>
      <c r="K403" s="310"/>
      <c r="L403" s="310"/>
      <c r="M403" s="310"/>
      <c r="N403" s="310"/>
      <c r="O403" s="310"/>
      <c r="P403" s="310"/>
      <c r="Q403" s="310"/>
      <c r="R403" s="310"/>
      <c r="S403" s="310"/>
      <c r="T403" s="310"/>
      <c r="U403" s="310"/>
      <c r="V403" s="310"/>
      <c r="W403" s="310"/>
      <c r="X403" s="310"/>
      <c r="Y403" s="310"/>
      <c r="Z403" s="310"/>
    </row>
    <row r="404" spans="1:26" x14ac:dyDescent="0.25">
      <c r="A404" s="310" t="s">
        <v>601</v>
      </c>
      <c r="B404" s="310"/>
      <c r="C404" s="310"/>
      <c r="D404" s="310"/>
      <c r="E404" s="310"/>
      <c r="F404" s="310"/>
      <c r="G404" s="310"/>
      <c r="H404" s="310"/>
      <c r="I404" s="310"/>
      <c r="J404" s="310"/>
      <c r="K404" s="310"/>
      <c r="L404" s="310"/>
      <c r="M404" s="310"/>
      <c r="N404" s="310"/>
      <c r="O404" s="310"/>
      <c r="P404" s="310"/>
      <c r="Q404" s="310"/>
      <c r="R404" s="310"/>
      <c r="S404" s="310"/>
      <c r="T404" s="310"/>
      <c r="U404" s="310"/>
      <c r="V404" s="310"/>
      <c r="W404" s="310"/>
      <c r="X404" s="310"/>
      <c r="Y404" s="310"/>
      <c r="Z404" s="310"/>
    </row>
    <row r="405" spans="1:26" x14ac:dyDescent="0.25">
      <c r="A405" s="310" t="s">
        <v>602</v>
      </c>
      <c r="B405" s="310"/>
      <c r="C405" s="310"/>
      <c r="D405" s="310"/>
      <c r="E405" s="310"/>
      <c r="F405" s="310"/>
      <c r="G405" s="310"/>
      <c r="H405" s="310"/>
      <c r="I405" s="310"/>
      <c r="J405" s="310"/>
      <c r="K405" s="310"/>
      <c r="L405" s="310"/>
      <c r="M405" s="310"/>
      <c r="N405" s="310"/>
      <c r="O405" s="310"/>
      <c r="P405" s="310"/>
      <c r="Q405" s="310"/>
      <c r="R405" s="310"/>
      <c r="S405" s="310"/>
      <c r="T405" s="310"/>
      <c r="U405" s="310"/>
      <c r="V405" s="310"/>
      <c r="W405" s="310"/>
      <c r="X405" s="310"/>
      <c r="Y405" s="310"/>
      <c r="Z405" s="310"/>
    </row>
    <row r="406" spans="1:26" x14ac:dyDescent="0.25">
      <c r="A406" s="310"/>
      <c r="B406" s="310"/>
      <c r="C406" s="310"/>
      <c r="D406" s="310"/>
      <c r="E406" s="310"/>
      <c r="F406" s="310"/>
      <c r="G406" s="310"/>
      <c r="H406" s="310"/>
      <c r="I406" s="310"/>
      <c r="J406" s="310"/>
      <c r="K406" s="310"/>
      <c r="L406" s="310"/>
      <c r="M406" s="310"/>
      <c r="N406" s="310"/>
      <c r="O406" s="310"/>
      <c r="P406" s="310"/>
      <c r="Q406" s="310"/>
      <c r="R406" s="310"/>
      <c r="S406" s="310"/>
      <c r="T406" s="310"/>
      <c r="U406" s="310"/>
      <c r="V406" s="310"/>
      <c r="W406" s="310"/>
      <c r="X406" s="310"/>
      <c r="Y406" s="310"/>
      <c r="Z406" s="310"/>
    </row>
    <row r="407" spans="1:26" x14ac:dyDescent="0.25">
      <c r="A407" s="310" t="s">
        <v>447</v>
      </c>
      <c r="B407" s="310"/>
      <c r="C407" s="310"/>
      <c r="D407" s="310"/>
      <c r="E407" s="310"/>
      <c r="F407" s="310"/>
      <c r="G407" s="310"/>
      <c r="H407" s="310"/>
      <c r="I407" s="310"/>
      <c r="J407" s="310"/>
      <c r="K407" s="310"/>
      <c r="L407" s="310"/>
      <c r="M407" s="310"/>
      <c r="N407" s="310"/>
      <c r="O407" s="310"/>
      <c r="P407" s="310"/>
      <c r="Q407" s="310"/>
      <c r="R407" s="310"/>
      <c r="S407" s="310"/>
      <c r="T407" s="310"/>
      <c r="U407" s="310"/>
      <c r="V407" s="310"/>
      <c r="W407" s="310"/>
      <c r="X407" s="310"/>
      <c r="Y407" s="310"/>
      <c r="Z407" s="310"/>
    </row>
    <row r="408" spans="1:26" x14ac:dyDescent="0.25">
      <c r="A408" s="310" t="s">
        <v>603</v>
      </c>
      <c r="B408" s="310"/>
      <c r="C408" s="310"/>
      <c r="D408" s="310"/>
      <c r="E408" s="310"/>
      <c r="F408" s="310"/>
      <c r="G408" s="310"/>
      <c r="H408" s="310"/>
      <c r="I408" s="310"/>
      <c r="J408" s="310"/>
      <c r="K408" s="310"/>
      <c r="L408" s="310"/>
      <c r="M408" s="310"/>
      <c r="N408" s="310"/>
      <c r="O408" s="310"/>
      <c r="P408" s="310"/>
      <c r="Q408" s="310"/>
      <c r="R408" s="310"/>
      <c r="S408" s="310"/>
      <c r="T408" s="310"/>
      <c r="U408" s="310"/>
      <c r="V408" s="310"/>
      <c r="W408" s="310"/>
      <c r="X408" s="310"/>
      <c r="Y408" s="310"/>
      <c r="Z408" s="310"/>
    </row>
    <row r="409" spans="1:26" x14ac:dyDescent="0.25">
      <c r="A409" s="310"/>
      <c r="B409" s="310"/>
      <c r="C409" s="310"/>
      <c r="D409" s="310"/>
      <c r="E409" s="310"/>
      <c r="F409" s="310"/>
      <c r="G409" s="310"/>
      <c r="H409" s="310"/>
      <c r="I409" s="310"/>
      <c r="J409" s="310"/>
      <c r="K409" s="310"/>
      <c r="L409" s="310"/>
      <c r="M409" s="310"/>
      <c r="N409" s="310"/>
      <c r="O409" s="310"/>
      <c r="P409" s="310"/>
      <c r="Q409" s="310"/>
      <c r="R409" s="310"/>
      <c r="S409" s="310"/>
      <c r="T409" s="310"/>
      <c r="U409" s="310"/>
      <c r="V409" s="310"/>
      <c r="W409" s="310"/>
      <c r="X409" s="310"/>
      <c r="Y409" s="310"/>
      <c r="Z409" s="310"/>
    </row>
    <row r="410" spans="1:26" x14ac:dyDescent="0.25">
      <c r="A410" s="310"/>
      <c r="B410" s="310"/>
      <c r="C410" s="310"/>
      <c r="D410" s="310"/>
      <c r="E410" s="310"/>
      <c r="F410" s="310"/>
      <c r="G410" s="310"/>
      <c r="H410" s="310"/>
      <c r="I410" s="310"/>
      <c r="J410" s="310"/>
      <c r="K410" s="310"/>
      <c r="L410" s="310"/>
      <c r="M410" s="310"/>
      <c r="N410" s="310"/>
      <c r="O410" s="310"/>
      <c r="P410" s="310"/>
      <c r="Q410" s="310"/>
      <c r="R410" s="310"/>
      <c r="S410" s="310"/>
      <c r="T410" s="310"/>
      <c r="U410" s="310"/>
      <c r="V410" s="310"/>
      <c r="W410" s="310"/>
      <c r="X410" s="310"/>
      <c r="Y410" s="310"/>
      <c r="Z410" s="310"/>
    </row>
    <row r="411" spans="1:26" x14ac:dyDescent="0.25">
      <c r="A411" s="310"/>
      <c r="B411" s="310"/>
      <c r="C411" s="310"/>
      <c r="D411" s="310"/>
      <c r="E411" s="310"/>
      <c r="F411" s="310"/>
      <c r="G411" s="310"/>
      <c r="H411" s="310"/>
      <c r="I411" s="310"/>
      <c r="J411" s="310"/>
      <c r="K411" s="310"/>
      <c r="L411" s="310"/>
      <c r="M411" s="310"/>
      <c r="N411" s="310"/>
      <c r="O411" s="310"/>
      <c r="P411" s="310"/>
      <c r="Q411" s="310"/>
      <c r="R411" s="310"/>
      <c r="S411" s="310"/>
      <c r="T411" s="310"/>
      <c r="U411" s="310"/>
      <c r="V411" s="310"/>
      <c r="W411" s="310"/>
      <c r="X411" s="310"/>
      <c r="Y411" s="310"/>
      <c r="Z411" s="310"/>
    </row>
    <row r="412" spans="1:26" x14ac:dyDescent="0.25">
      <c r="A412" s="310"/>
      <c r="B412" s="310"/>
      <c r="C412" s="310"/>
      <c r="D412" s="310" t="s">
        <v>451</v>
      </c>
      <c r="E412" s="310" t="s">
        <v>452</v>
      </c>
      <c r="F412" s="310" t="s">
        <v>453</v>
      </c>
      <c r="G412" s="310" t="s">
        <v>454</v>
      </c>
      <c r="H412" s="310" t="s">
        <v>455</v>
      </c>
      <c r="I412" s="310" t="s">
        <v>456</v>
      </c>
      <c r="J412" s="310" t="s">
        <v>457</v>
      </c>
      <c r="K412" s="310" t="s">
        <v>458</v>
      </c>
      <c r="L412" s="310" t="s">
        <v>459</v>
      </c>
      <c r="M412" s="310" t="s">
        <v>460</v>
      </c>
      <c r="N412" s="310" t="s">
        <v>461</v>
      </c>
      <c r="O412" s="310" t="s">
        <v>462</v>
      </c>
      <c r="P412" s="310" t="s">
        <v>463</v>
      </c>
      <c r="Q412" s="310" t="s">
        <v>464</v>
      </c>
      <c r="R412" s="310" t="s">
        <v>465</v>
      </c>
      <c r="S412" s="310" t="s">
        <v>466</v>
      </c>
      <c r="T412" s="310" t="s">
        <v>467</v>
      </c>
      <c r="U412" s="310" t="s">
        <v>468</v>
      </c>
      <c r="V412" s="310" t="s">
        <v>469</v>
      </c>
      <c r="W412" s="310" t="s">
        <v>470</v>
      </c>
      <c r="X412" s="310" t="s">
        <v>471</v>
      </c>
      <c r="Y412" s="310" t="s">
        <v>472</v>
      </c>
      <c r="Z412" s="310" t="s">
        <v>604</v>
      </c>
    </row>
    <row r="413" spans="1:26" x14ac:dyDescent="0.25">
      <c r="A413" s="310"/>
      <c r="B413" s="310"/>
      <c r="C413" s="310"/>
      <c r="D413" s="310"/>
      <c r="E413" s="310"/>
      <c r="F413" s="310"/>
      <c r="G413" s="310"/>
      <c r="H413" s="310"/>
      <c r="I413" s="310"/>
      <c r="J413" s="310"/>
      <c r="K413" s="310"/>
      <c r="L413" s="310"/>
      <c r="M413" s="310"/>
      <c r="N413" s="310"/>
      <c r="O413" s="310"/>
      <c r="P413" s="310"/>
      <c r="Q413" s="310"/>
      <c r="R413" s="310"/>
      <c r="S413" s="310"/>
      <c r="T413" s="310"/>
      <c r="U413" s="310"/>
      <c r="V413" s="310"/>
      <c r="W413" s="310"/>
      <c r="X413" s="310"/>
      <c r="Y413" s="310"/>
      <c r="Z413" s="310"/>
    </row>
    <row r="414" spans="1:26" x14ac:dyDescent="0.25">
      <c r="A414" s="310"/>
      <c r="B414" s="310"/>
      <c r="C414" s="310"/>
      <c r="D414" s="310"/>
      <c r="E414" s="310"/>
      <c r="F414" s="310"/>
      <c r="G414" s="310"/>
      <c r="H414" s="310"/>
      <c r="I414" s="310"/>
      <c r="J414" s="310"/>
      <c r="K414" s="310"/>
      <c r="L414" s="310"/>
      <c r="M414" s="310"/>
      <c r="N414" s="310"/>
      <c r="O414" s="310"/>
      <c r="P414" s="310"/>
      <c r="Q414" s="310"/>
      <c r="R414" s="310"/>
      <c r="S414" s="310"/>
      <c r="T414" s="310"/>
      <c r="U414" s="310"/>
      <c r="V414" s="310"/>
      <c r="W414" s="310"/>
      <c r="X414" s="310"/>
      <c r="Y414" s="310"/>
      <c r="Z414" s="310"/>
    </row>
    <row r="415" spans="1:26" x14ac:dyDescent="0.25">
      <c r="A415" s="310" t="s">
        <v>473</v>
      </c>
      <c r="B415" s="310"/>
      <c r="C415" s="310"/>
      <c r="D415" s="310"/>
      <c r="E415" s="310"/>
      <c r="F415" s="310"/>
      <c r="G415" s="310"/>
      <c r="H415" s="310"/>
      <c r="I415" s="310"/>
      <c r="J415" s="310"/>
      <c r="K415" s="310"/>
      <c r="L415" s="310"/>
      <c r="M415" s="310"/>
      <c r="N415" s="310"/>
      <c r="O415" s="310"/>
      <c r="P415" s="310"/>
      <c r="Q415" s="310"/>
      <c r="R415" s="310"/>
      <c r="S415" s="310"/>
      <c r="T415" s="310"/>
      <c r="U415" s="310"/>
      <c r="V415" s="310"/>
      <c r="W415" s="310"/>
      <c r="X415" s="310"/>
      <c r="Y415" s="310"/>
      <c r="Z415" s="310"/>
    </row>
    <row r="416" spans="1:26" x14ac:dyDescent="0.25">
      <c r="A416" s="310" t="s">
        <v>609</v>
      </c>
      <c r="B416" s="310"/>
      <c r="C416" s="310"/>
      <c r="D416" s="310">
        <v>18.210411071777301</v>
      </c>
      <c r="E416" s="310">
        <v>19.293371200561499</v>
      </c>
      <c r="F416" s="310">
        <v>21.158409118652301</v>
      </c>
      <c r="G416" s="310">
        <v>24.5404376983643</v>
      </c>
      <c r="H416" s="310">
        <v>24.494813919067401</v>
      </c>
      <c r="I416" s="310">
        <v>23.9600429534912</v>
      </c>
      <c r="J416" s="310">
        <v>23.672391891479499</v>
      </c>
      <c r="K416" s="310">
        <v>23.2634162902832</v>
      </c>
      <c r="L416" s="310">
        <v>23.106723785400401</v>
      </c>
      <c r="M416" s="310">
        <v>22.905719757080099</v>
      </c>
      <c r="N416" s="310">
        <v>22.942964553833001</v>
      </c>
      <c r="O416" s="310">
        <v>22.881586074829102</v>
      </c>
      <c r="P416" s="310">
        <v>22.979688644409201</v>
      </c>
      <c r="Q416" s="310">
        <v>23.190465927123999</v>
      </c>
      <c r="R416" s="310">
        <v>23.129106521606399</v>
      </c>
      <c r="S416" s="310">
        <v>23.088548660278299</v>
      </c>
      <c r="T416" s="310">
        <v>23.183416366577099</v>
      </c>
      <c r="U416" s="310">
        <v>23.1546516418457</v>
      </c>
      <c r="V416" s="310">
        <v>23.285535812377901</v>
      </c>
      <c r="W416" s="310">
        <v>23.420475006103501</v>
      </c>
      <c r="X416" s="310">
        <v>23.540468215942401</v>
      </c>
      <c r="Y416" s="310">
        <v>23.532218933105501</v>
      </c>
      <c r="Z416" s="310">
        <v>23.562456130981399</v>
      </c>
    </row>
    <row r="417" spans="1:26" x14ac:dyDescent="0.25">
      <c r="A417" s="310" t="s">
        <v>610</v>
      </c>
      <c r="B417" s="310"/>
      <c r="C417" s="310"/>
      <c r="D417" s="310">
        <v>12.893347740173301</v>
      </c>
      <c r="E417" s="310">
        <v>14.727064132690399</v>
      </c>
      <c r="F417" s="310">
        <v>16.906724929809599</v>
      </c>
      <c r="G417" s="310">
        <v>17.4485054016113</v>
      </c>
      <c r="H417" s="310">
        <v>16.910488128662099</v>
      </c>
      <c r="I417" s="310">
        <v>15.8367977142334</v>
      </c>
      <c r="J417" s="310">
        <v>14.87486743927</v>
      </c>
      <c r="K417" s="310">
        <v>14.031831741333001</v>
      </c>
      <c r="L417" s="310">
        <v>13.359474182128899</v>
      </c>
      <c r="M417" s="310">
        <v>12.596385955810501</v>
      </c>
      <c r="N417" s="310">
        <v>12.5241403579712</v>
      </c>
      <c r="O417" s="310">
        <v>12.595507621765099</v>
      </c>
      <c r="P417" s="310">
        <v>12.630928039550801</v>
      </c>
      <c r="Q417" s="310">
        <v>12.738121032714799</v>
      </c>
      <c r="R417" s="310">
        <v>12.8303670883179</v>
      </c>
      <c r="S417" s="310">
        <v>13.052293777465801</v>
      </c>
      <c r="T417" s="310">
        <v>13.1472158432007</v>
      </c>
      <c r="U417" s="310">
        <v>13.2630777359009</v>
      </c>
      <c r="V417" s="310">
        <v>13.422198295593301</v>
      </c>
      <c r="W417" s="310">
        <v>13.360619544982899</v>
      </c>
      <c r="X417" s="310">
        <v>13.513841629028301</v>
      </c>
      <c r="Y417" s="310">
        <v>13.560380935668899</v>
      </c>
      <c r="Z417" s="310">
        <v>13.627392768859901</v>
      </c>
    </row>
    <row r="418" spans="1:26" x14ac:dyDescent="0.25">
      <c r="A418" s="310" t="s">
        <v>510</v>
      </c>
      <c r="B418" s="310"/>
      <c r="C418" s="310"/>
      <c r="D418" s="310">
        <v>10.721179008483899</v>
      </c>
      <c r="E418" s="310">
        <v>12.4281768798828</v>
      </c>
      <c r="F418" s="310">
        <v>13.040691375732401</v>
      </c>
      <c r="G418" s="310">
        <v>11.8341617584229</v>
      </c>
      <c r="H418" s="310">
        <v>11.7410221099854</v>
      </c>
      <c r="I418" s="310">
        <v>11.2507781982422</v>
      </c>
      <c r="J418" s="310">
        <v>10.9759874343872</v>
      </c>
      <c r="K418" s="310">
        <v>10.5919141769409</v>
      </c>
      <c r="L418" s="310">
        <v>10.441241264343301</v>
      </c>
      <c r="M418" s="310">
        <v>10.249824523925801</v>
      </c>
      <c r="N418" s="310">
        <v>10.2927255630493</v>
      </c>
      <c r="O418" s="310">
        <v>10.2421607971191</v>
      </c>
      <c r="P418" s="310">
        <v>10.3305416107178</v>
      </c>
      <c r="Q418" s="310">
        <v>10.557685852050801</v>
      </c>
      <c r="R418" s="310">
        <v>10.4870929718018</v>
      </c>
      <c r="S418" s="310">
        <v>10.439262390136699</v>
      </c>
      <c r="T418" s="310">
        <v>10.539955139160201</v>
      </c>
      <c r="U418" s="310">
        <v>10.5361185073853</v>
      </c>
      <c r="V418" s="310">
        <v>10.6743927001953</v>
      </c>
      <c r="W418" s="310">
        <v>10.830116271972701</v>
      </c>
      <c r="X418" s="310">
        <v>10.948052406311</v>
      </c>
      <c r="Y418" s="310">
        <v>10.9735927581787</v>
      </c>
      <c r="Z418" s="310">
        <v>11.0174913406372</v>
      </c>
    </row>
    <row r="419" spans="1:26" x14ac:dyDescent="0.25">
      <c r="A419" s="310" t="s">
        <v>479</v>
      </c>
      <c r="B419" s="310"/>
      <c r="C419" s="310"/>
      <c r="D419" s="310">
        <v>27.0989685058594</v>
      </c>
      <c r="E419" s="310">
        <v>27.587884902954102</v>
      </c>
      <c r="F419" s="310">
        <v>27.636594772338899</v>
      </c>
      <c r="G419" s="310">
        <v>27.492031097412099</v>
      </c>
      <c r="H419" s="310">
        <v>27.368114471435501</v>
      </c>
      <c r="I419" s="310">
        <v>27.154861450195298</v>
      </c>
      <c r="J419" s="310">
        <v>26.912786483764599</v>
      </c>
      <c r="K419" s="310">
        <v>26.5094184875488</v>
      </c>
      <c r="L419" s="310">
        <v>26.281187057495099</v>
      </c>
      <c r="M419" s="310">
        <v>26.172458648681602</v>
      </c>
      <c r="N419" s="310">
        <v>26.036540985107401</v>
      </c>
      <c r="O419" s="310">
        <v>25.993564605712901</v>
      </c>
      <c r="P419" s="310">
        <v>26.085290908813501</v>
      </c>
      <c r="Q419" s="310">
        <v>26.304872512817401</v>
      </c>
      <c r="R419" s="310">
        <v>26.445003509521499</v>
      </c>
      <c r="S419" s="310">
        <v>26.355556488037099</v>
      </c>
      <c r="T419" s="310">
        <v>26.368726730346701</v>
      </c>
      <c r="U419" s="310">
        <v>26.419284820556602</v>
      </c>
      <c r="V419" s="310">
        <v>26.420993804931602</v>
      </c>
      <c r="W419" s="310">
        <v>26.4647102355957</v>
      </c>
      <c r="X419" s="310">
        <v>26.5621242523193</v>
      </c>
      <c r="Y419" s="310">
        <v>26.608213424682599</v>
      </c>
      <c r="Z419" s="310">
        <v>26.564920425415</v>
      </c>
    </row>
    <row r="420" spans="1:26" x14ac:dyDescent="0.25">
      <c r="A420" s="310" t="s">
        <v>480</v>
      </c>
      <c r="B420" s="310"/>
      <c r="C420" s="310"/>
      <c r="D420" s="310"/>
      <c r="E420" s="310"/>
      <c r="F420" s="310"/>
      <c r="G420" s="310"/>
      <c r="H420" s="310"/>
      <c r="I420" s="310"/>
      <c r="J420" s="310"/>
      <c r="K420" s="310"/>
      <c r="L420" s="310"/>
      <c r="M420" s="310"/>
      <c r="N420" s="310"/>
      <c r="O420" s="310"/>
      <c r="P420" s="310"/>
      <c r="Q420" s="310"/>
      <c r="R420" s="310"/>
      <c r="S420" s="310"/>
      <c r="T420" s="310"/>
      <c r="U420" s="310"/>
      <c r="V420" s="310"/>
      <c r="W420" s="310"/>
      <c r="X420" s="310"/>
      <c r="Y420" s="310"/>
      <c r="Z420" s="310"/>
    </row>
    <row r="421" spans="1:26" x14ac:dyDescent="0.25">
      <c r="A421" s="310" t="s">
        <v>610</v>
      </c>
      <c r="B421" s="310"/>
      <c r="C421" s="310"/>
      <c r="D421" s="310">
        <v>10.4802904129028</v>
      </c>
      <c r="E421" s="310">
        <v>12.6793832778931</v>
      </c>
      <c r="F421" s="310">
        <v>14.632154464721699</v>
      </c>
      <c r="G421" s="310">
        <v>15.3235988616943</v>
      </c>
      <c r="H421" s="310">
        <v>14.4384679794312</v>
      </c>
      <c r="I421" s="310">
        <v>13.4501142501831</v>
      </c>
      <c r="J421" s="310">
        <v>12.7189273834229</v>
      </c>
      <c r="K421" s="310">
        <v>11.9810342788696</v>
      </c>
      <c r="L421" s="310">
        <v>11.338329315185501</v>
      </c>
      <c r="M421" s="310">
        <v>10.8460388183594</v>
      </c>
      <c r="N421" s="310">
        <v>10.667523384094199</v>
      </c>
      <c r="O421" s="310">
        <v>10.728004455566399</v>
      </c>
      <c r="P421" s="310">
        <v>10.8701782226563</v>
      </c>
      <c r="Q421" s="310">
        <v>10.9251909255981</v>
      </c>
      <c r="R421" s="310">
        <v>11.0219278335571</v>
      </c>
      <c r="S421" s="310">
        <v>11.292310714721699</v>
      </c>
      <c r="T421" s="310">
        <v>11.349814414978001</v>
      </c>
      <c r="U421" s="310">
        <v>11.461010932922401</v>
      </c>
      <c r="V421" s="310">
        <v>11.6882877349854</v>
      </c>
      <c r="W421" s="310">
        <v>11.5126600265503</v>
      </c>
      <c r="X421" s="310">
        <v>11.6838274002075</v>
      </c>
      <c r="Y421" s="310">
        <v>11.8503408432007</v>
      </c>
      <c r="Z421" s="310">
        <v>11.857501029968301</v>
      </c>
    </row>
    <row r="422" spans="1:26" ht="51" customHeight="1" x14ac:dyDescent="0.25">
      <c r="A422" s="310" t="s">
        <v>611</v>
      </c>
      <c r="B422" s="310"/>
      <c r="C422" s="310"/>
      <c r="D422" s="310">
        <v>6.2490105628967303</v>
      </c>
      <c r="E422" s="310">
        <v>8.4144115447997994</v>
      </c>
      <c r="F422" s="310">
        <v>10.1003465652466</v>
      </c>
      <c r="G422" s="310">
        <v>7.8816242218017596</v>
      </c>
      <c r="H422" s="310">
        <v>7.7979149818420401</v>
      </c>
      <c r="I422" s="310">
        <v>7.67907810211182</v>
      </c>
      <c r="J422" s="310">
        <v>7.5374598503112802</v>
      </c>
      <c r="K422" s="310">
        <v>7.0601482391357404</v>
      </c>
      <c r="L422" s="310">
        <v>6.9191079139709499</v>
      </c>
      <c r="M422" s="310">
        <v>5.9906802177429199</v>
      </c>
      <c r="N422" s="310">
        <v>6.31249952316284</v>
      </c>
      <c r="O422" s="310">
        <v>6.4941840171814</v>
      </c>
      <c r="P422" s="310">
        <v>6.4476203918456996</v>
      </c>
      <c r="Q422" s="310">
        <v>6.5857205390930202</v>
      </c>
      <c r="R422" s="310">
        <v>6.7015118598937997</v>
      </c>
      <c r="S422" s="310">
        <v>6.98899221420288</v>
      </c>
      <c r="T422" s="310">
        <v>7.0690569877624503</v>
      </c>
      <c r="U422" s="310">
        <v>7.2425847053527797</v>
      </c>
      <c r="V422" s="310">
        <v>7.4012169837951696</v>
      </c>
      <c r="W422" s="310">
        <v>7.2363023757934597</v>
      </c>
      <c r="X422" s="310">
        <v>7.3775544166564897</v>
      </c>
      <c r="Y422" s="310">
        <v>7.1704416275024396</v>
      </c>
      <c r="Z422" s="310">
        <v>7.2997760772705096</v>
      </c>
    </row>
    <row r="423" spans="1:26" ht="30.75" customHeight="1" x14ac:dyDescent="0.25">
      <c r="A423" s="312" t="s">
        <v>510</v>
      </c>
      <c r="B423" s="312"/>
      <c r="C423" s="312"/>
      <c r="D423" s="310">
        <v>9.4024562835693395</v>
      </c>
      <c r="E423" s="310">
        <v>11.2028198242188</v>
      </c>
      <c r="F423" s="310">
        <v>11.3786783218384</v>
      </c>
      <c r="G423" s="310">
        <v>10.2688541412354</v>
      </c>
      <c r="H423" s="310">
        <v>10.157588958740201</v>
      </c>
      <c r="I423" s="310">
        <v>9.6297473907470703</v>
      </c>
      <c r="J423" s="310">
        <v>9.3356885910034197</v>
      </c>
      <c r="K423" s="310">
        <v>8.9214458465576207</v>
      </c>
      <c r="L423" s="310">
        <v>8.7509040832519496</v>
      </c>
      <c r="M423" s="310">
        <v>8.5351839065551793</v>
      </c>
      <c r="N423" s="310">
        <v>8.5524559020996094</v>
      </c>
      <c r="O423" s="310">
        <v>8.47686672210693</v>
      </c>
      <c r="P423" s="310">
        <v>8.5459880828857404</v>
      </c>
      <c r="Q423" s="310">
        <v>8.7391986846923793</v>
      </c>
      <c r="R423" s="310">
        <v>8.6564092636108398</v>
      </c>
      <c r="S423" s="310">
        <v>8.5963792800903303</v>
      </c>
      <c r="T423" s="310">
        <v>8.6742591857910192</v>
      </c>
      <c r="U423" s="310">
        <v>8.6351099014282209</v>
      </c>
      <c r="V423" s="310">
        <v>8.7470979690551793</v>
      </c>
      <c r="W423" s="310">
        <v>8.8685941696166992</v>
      </c>
      <c r="X423" s="310">
        <v>8.9716949462890607</v>
      </c>
      <c r="Y423" s="310">
        <v>8.9597854614257795</v>
      </c>
      <c r="Z423" s="310">
        <v>8.9777603149414098</v>
      </c>
    </row>
    <row r="424" spans="1:26" x14ac:dyDescent="0.25">
      <c r="A424" s="311" t="s">
        <v>479</v>
      </c>
      <c r="B424" s="311"/>
      <c r="C424" s="311"/>
      <c r="D424" s="310">
        <v>24.591539382934599</v>
      </c>
      <c r="E424" s="310">
        <v>25.251781463623001</v>
      </c>
      <c r="F424" s="310">
        <v>25.738388061523398</v>
      </c>
      <c r="G424" s="310">
        <v>25.3376979827881</v>
      </c>
      <c r="H424" s="310">
        <v>25.268539428710898</v>
      </c>
      <c r="I424" s="310">
        <v>24.918291091918899</v>
      </c>
      <c r="J424" s="310">
        <v>24.500482559204102</v>
      </c>
      <c r="K424" s="310">
        <v>23.8594665527344</v>
      </c>
      <c r="L424" s="310">
        <v>23.593626022338899</v>
      </c>
      <c r="M424" s="310">
        <v>23.443479537963899</v>
      </c>
      <c r="N424" s="310">
        <v>23.311824798583999</v>
      </c>
      <c r="O424" s="310">
        <v>23.328050613403299</v>
      </c>
      <c r="P424" s="310">
        <v>23.4844055175781</v>
      </c>
      <c r="Q424" s="310">
        <v>23.749778747558601</v>
      </c>
      <c r="R424" s="310">
        <v>23.944339752197301</v>
      </c>
      <c r="S424" s="310">
        <v>23.889307022094702</v>
      </c>
      <c r="T424" s="310">
        <v>23.952335357666001</v>
      </c>
      <c r="U424" s="310">
        <v>24.000473022460898</v>
      </c>
      <c r="V424" s="310">
        <v>24.006351470947301</v>
      </c>
      <c r="W424" s="310">
        <v>24.077814102172901</v>
      </c>
      <c r="X424" s="310">
        <v>24.1955890655518</v>
      </c>
      <c r="Y424" s="310">
        <v>24.23095703125</v>
      </c>
      <c r="Z424" s="310">
        <v>24.1812038421631</v>
      </c>
    </row>
    <row r="425" spans="1:26" x14ac:dyDescent="0.25">
      <c r="A425" s="310" t="s">
        <v>612</v>
      </c>
      <c r="B425" s="310"/>
      <c r="C425" s="310"/>
      <c r="D425" s="310"/>
      <c r="E425" s="310"/>
      <c r="F425" s="310"/>
      <c r="G425" s="310"/>
      <c r="H425" s="310"/>
      <c r="I425" s="310"/>
      <c r="J425" s="310"/>
      <c r="K425" s="310"/>
      <c r="L425" s="310"/>
      <c r="M425" s="310"/>
      <c r="N425" s="310"/>
      <c r="O425" s="310"/>
      <c r="P425" s="310"/>
      <c r="Q425" s="310"/>
      <c r="R425" s="310"/>
      <c r="S425" s="310"/>
      <c r="T425" s="310"/>
      <c r="U425" s="310"/>
      <c r="V425" s="310"/>
      <c r="W425" s="310"/>
      <c r="X425" s="310"/>
      <c r="Y425" s="310"/>
      <c r="Z425" s="310"/>
    </row>
    <row r="426" spans="1:26" x14ac:dyDescent="0.25">
      <c r="A426" s="310" t="s">
        <v>609</v>
      </c>
      <c r="B426" s="310"/>
      <c r="C426" s="310"/>
      <c r="D426" s="310">
        <v>11.1755380630493</v>
      </c>
      <c r="E426" s="310">
        <v>16.959981918335</v>
      </c>
      <c r="F426" s="310">
        <v>18.9578742980957</v>
      </c>
      <c r="G426" s="310">
        <v>17.513134002685501</v>
      </c>
      <c r="H426" s="310">
        <v>17.389408111572301</v>
      </c>
      <c r="I426" s="310">
        <v>16.750247955322301</v>
      </c>
      <c r="J426" s="310">
        <v>16.423851013183601</v>
      </c>
      <c r="K426" s="310">
        <v>15.943309783935501</v>
      </c>
      <c r="L426" s="310">
        <v>15.769355773925801</v>
      </c>
      <c r="M426" s="310">
        <v>15.620997428894</v>
      </c>
      <c r="N426" s="310">
        <v>15.627494812011699</v>
      </c>
      <c r="O426" s="310">
        <v>15.565483093261699</v>
      </c>
      <c r="P426" s="310">
        <v>15.6823263168335</v>
      </c>
      <c r="Q426" s="310">
        <v>15.8655786514282</v>
      </c>
      <c r="R426" s="310">
        <v>15.8662757873535</v>
      </c>
      <c r="S426" s="310">
        <v>15.8647546768188</v>
      </c>
      <c r="T426" s="310">
        <v>15.9073581695557</v>
      </c>
      <c r="U426" s="310">
        <v>15.883088111877401</v>
      </c>
      <c r="V426" s="310">
        <v>15.994482994079601</v>
      </c>
      <c r="W426" s="310">
        <v>16.1067924499512</v>
      </c>
      <c r="X426" s="310">
        <v>16.2546577453613</v>
      </c>
      <c r="Y426" s="310">
        <v>16.219263076782202</v>
      </c>
      <c r="Z426" s="310">
        <v>16.2301216125488</v>
      </c>
    </row>
    <row r="427" spans="1:26" x14ac:dyDescent="0.25">
      <c r="A427" s="310" t="s">
        <v>610</v>
      </c>
      <c r="B427" s="310"/>
      <c r="C427" s="310"/>
      <c r="D427" s="310">
        <v>10.9898891448975</v>
      </c>
      <c r="E427" s="310">
        <v>13.0814533233643</v>
      </c>
      <c r="F427" s="310">
        <v>15.1407413482666</v>
      </c>
      <c r="G427" s="310">
        <v>15.435567855835</v>
      </c>
      <c r="H427" s="310">
        <v>14.2919836044312</v>
      </c>
      <c r="I427" s="310">
        <v>13.4232997894287</v>
      </c>
      <c r="J427" s="310">
        <v>12.948052406311</v>
      </c>
      <c r="K427" s="310">
        <v>12.4780015945435</v>
      </c>
      <c r="L427" s="310">
        <v>11.882830619811999</v>
      </c>
      <c r="M427" s="310">
        <v>11.641848564147899</v>
      </c>
      <c r="N427" s="310">
        <v>11.349123954772899</v>
      </c>
      <c r="O427" s="310">
        <v>11.401933670043899</v>
      </c>
      <c r="P427" s="310">
        <v>11.6324548721313</v>
      </c>
      <c r="Q427" s="310">
        <v>11.632493019104</v>
      </c>
      <c r="R427" s="310">
        <v>11.737724304199199</v>
      </c>
      <c r="S427" s="310">
        <v>12.060711860656699</v>
      </c>
      <c r="T427" s="310">
        <v>12.0405569076538</v>
      </c>
      <c r="U427" s="310">
        <v>12.1396341323853</v>
      </c>
      <c r="V427" s="310">
        <v>12.421196937561</v>
      </c>
      <c r="W427" s="310">
        <v>12.169375419616699</v>
      </c>
      <c r="X427" s="310">
        <v>12.3622283935547</v>
      </c>
      <c r="Y427" s="310">
        <v>12.619636535644499</v>
      </c>
      <c r="Z427" s="310">
        <v>12.5786838531494</v>
      </c>
    </row>
    <row r="428" spans="1:26" x14ac:dyDescent="0.25">
      <c r="A428" s="310" t="s">
        <v>611</v>
      </c>
      <c r="B428" s="310"/>
      <c r="C428" s="310"/>
      <c r="D428" s="310">
        <v>5.7738895416259801</v>
      </c>
      <c r="E428" s="310">
        <v>7.7708010673522896</v>
      </c>
      <c r="F428" s="310">
        <v>9.3422021865844709</v>
      </c>
      <c r="G428" s="310">
        <v>9.8767166137695295</v>
      </c>
      <c r="H428" s="310">
        <v>10.084191322326699</v>
      </c>
      <c r="I428" s="310">
        <v>9.7906637191772496</v>
      </c>
      <c r="J428" s="310">
        <v>9.5023155212402308</v>
      </c>
      <c r="K428" s="310">
        <v>8.7792091369628906</v>
      </c>
      <c r="L428" s="310">
        <v>8.4676847457885707</v>
      </c>
      <c r="M428" s="310">
        <v>8.0373468399047905</v>
      </c>
      <c r="N428" s="310">
        <v>7.9767365455627397</v>
      </c>
      <c r="O428" s="310">
        <v>8.2131023406982404</v>
      </c>
      <c r="P428" s="310">
        <v>8.4110374450683594</v>
      </c>
      <c r="Q428" s="310">
        <v>8.5568304061889595</v>
      </c>
      <c r="R428" s="310">
        <v>8.6100654602050799</v>
      </c>
      <c r="S428" s="310">
        <v>8.8084278106689506</v>
      </c>
      <c r="T428" s="310">
        <v>8.9135255813598597</v>
      </c>
      <c r="U428" s="310">
        <v>9.0664196014404297</v>
      </c>
      <c r="V428" s="310">
        <v>9.2084608078002894</v>
      </c>
      <c r="W428" s="310">
        <v>9.1494617462158203</v>
      </c>
      <c r="X428" s="310">
        <v>9.2910699844360405</v>
      </c>
      <c r="Y428" s="310">
        <v>9.2583961486816406</v>
      </c>
      <c r="Z428" s="310">
        <v>9.38494873046875</v>
      </c>
    </row>
    <row r="429" spans="1:26" x14ac:dyDescent="0.25">
      <c r="A429" s="312" t="s">
        <v>613</v>
      </c>
      <c r="B429" s="312"/>
      <c r="C429" s="312"/>
      <c r="D429" s="310">
        <v>6.4688553810119602</v>
      </c>
      <c r="E429" s="310">
        <v>8.1627740859985405</v>
      </c>
      <c r="F429" s="310">
        <v>7.4494204521179199</v>
      </c>
      <c r="G429" s="310">
        <v>7.3632249832153303</v>
      </c>
      <c r="H429" s="310">
        <v>7.2901554107665998</v>
      </c>
      <c r="I429" s="310">
        <v>6.7422003746032697</v>
      </c>
      <c r="J429" s="310">
        <v>6.4267692565918004</v>
      </c>
      <c r="K429" s="310">
        <v>6.0213589668273899</v>
      </c>
      <c r="L429" s="310">
        <v>5.8671450614929199</v>
      </c>
      <c r="M429" s="310">
        <v>5.6813068389892596</v>
      </c>
      <c r="N429" s="310">
        <v>5.6900143623352104</v>
      </c>
      <c r="O429" s="310">
        <v>5.6504640579223597</v>
      </c>
      <c r="P429" s="310">
        <v>5.7415480613708496</v>
      </c>
      <c r="Q429" s="310">
        <v>5.91982173919678</v>
      </c>
      <c r="R429" s="310">
        <v>5.8755149841308603</v>
      </c>
      <c r="S429" s="310">
        <v>5.8359832763671902</v>
      </c>
      <c r="T429" s="310">
        <v>5.9000439643859899</v>
      </c>
      <c r="U429" s="310">
        <v>5.8858833312988299</v>
      </c>
      <c r="V429" s="310">
        <v>6.0041050910949698</v>
      </c>
      <c r="W429" s="310">
        <v>6.1238050460815403</v>
      </c>
      <c r="X429" s="310">
        <v>6.2412667274475098</v>
      </c>
      <c r="Y429" s="310">
        <v>6.2102909088134801</v>
      </c>
      <c r="Z429" s="310">
        <v>6.2538614273071298</v>
      </c>
    </row>
    <row r="430" spans="1:26" x14ac:dyDescent="0.25">
      <c r="A430" s="310" t="s">
        <v>614</v>
      </c>
      <c r="B430" s="310"/>
      <c r="C430" s="310"/>
      <c r="D430" s="310">
        <v>2.3078472614288299</v>
      </c>
      <c r="E430" s="310">
        <v>3.0599997043609601</v>
      </c>
      <c r="F430" s="310">
        <v>3.2548489570617698</v>
      </c>
      <c r="G430" s="310">
        <v>3.2975256443023699</v>
      </c>
      <c r="H430" s="310">
        <v>3.2872827053070099</v>
      </c>
      <c r="I430" s="310">
        <v>3.1889374256134002</v>
      </c>
      <c r="J430" s="310">
        <v>3.0940959453582799</v>
      </c>
      <c r="K430" s="310">
        <v>2.9914577007293701</v>
      </c>
      <c r="L430" s="310">
        <v>2.8927016258239702</v>
      </c>
      <c r="M430" s="310">
        <v>2.78926348686218</v>
      </c>
      <c r="N430" s="310">
        <v>2.7408642768859899</v>
      </c>
      <c r="O430" s="310">
        <v>2.7166485786438002</v>
      </c>
      <c r="P430" s="310">
        <v>2.7061200141906698</v>
      </c>
      <c r="Q430" s="310">
        <v>2.7063503265380899</v>
      </c>
      <c r="R430" s="310">
        <v>2.7045123577117902</v>
      </c>
      <c r="S430" s="310">
        <v>2.68979120254517</v>
      </c>
      <c r="T430" s="310">
        <v>2.7072892189025901</v>
      </c>
      <c r="U430" s="310">
        <v>2.71812868118286</v>
      </c>
      <c r="V430" s="310">
        <v>2.7191135883331299</v>
      </c>
      <c r="W430" s="310">
        <v>2.7064330577850302</v>
      </c>
      <c r="X430" s="310">
        <v>2.68589544296265</v>
      </c>
      <c r="Y430" s="310">
        <v>2.69574999809265</v>
      </c>
      <c r="Z430" s="310">
        <v>2.7049932479858398</v>
      </c>
    </row>
    <row r="431" spans="1:26" x14ac:dyDescent="0.25">
      <c r="A431" s="310" t="s">
        <v>615</v>
      </c>
      <c r="B431" s="310"/>
      <c r="C431" s="310"/>
      <c r="D431" s="310">
        <v>1.80300605297089</v>
      </c>
      <c r="E431" s="310">
        <v>2.1500017642974898</v>
      </c>
      <c r="F431" s="310">
        <v>2.2005796432495099</v>
      </c>
      <c r="G431" s="310">
        <v>2.2392640113830602</v>
      </c>
      <c r="H431" s="310">
        <v>2.2450914382934601</v>
      </c>
      <c r="I431" s="310">
        <v>2.2358458042144802</v>
      </c>
      <c r="J431" s="310">
        <v>2.2614977359771702</v>
      </c>
      <c r="K431" s="310">
        <v>2.2480733394622798</v>
      </c>
      <c r="L431" s="310">
        <v>2.2308864593505899</v>
      </c>
      <c r="M431" s="310">
        <v>2.2124359607696502</v>
      </c>
      <c r="N431" s="310">
        <v>2.2059276103973402</v>
      </c>
      <c r="O431" s="310">
        <v>2.1967613697052002</v>
      </c>
      <c r="P431" s="310">
        <v>2.18912577629089</v>
      </c>
      <c r="Q431" s="310">
        <v>2.1856777667999299</v>
      </c>
      <c r="R431" s="310">
        <v>2.1763286590576199</v>
      </c>
      <c r="S431" s="310">
        <v>2.1755278110504199</v>
      </c>
      <c r="T431" s="310">
        <v>2.18182468414307</v>
      </c>
      <c r="U431" s="310">
        <v>2.19542455673218</v>
      </c>
      <c r="V431" s="310">
        <v>2.2050869464874299</v>
      </c>
      <c r="W431" s="310">
        <v>2.2089655399322501</v>
      </c>
      <c r="X431" s="310">
        <v>2.2187693119049099</v>
      </c>
      <c r="Y431" s="310">
        <v>2.2309319972991899</v>
      </c>
      <c r="Z431" s="310">
        <v>2.2423520088195801</v>
      </c>
    </row>
    <row r="432" spans="1:26" x14ac:dyDescent="0.25">
      <c r="A432" s="310" t="s">
        <v>616</v>
      </c>
      <c r="B432" s="310"/>
      <c r="C432" s="310"/>
      <c r="D432" s="310" t="s">
        <v>1082</v>
      </c>
      <c r="E432" s="310" t="s">
        <v>1082</v>
      </c>
      <c r="F432" s="310" t="s">
        <v>1082</v>
      </c>
      <c r="G432" s="310" t="s">
        <v>1082</v>
      </c>
      <c r="H432" s="310" t="s">
        <v>1082</v>
      </c>
      <c r="I432" s="310" t="s">
        <v>1082</v>
      </c>
      <c r="J432" s="310" t="s">
        <v>1082</v>
      </c>
      <c r="K432" s="310">
        <v>0.88956671953201305</v>
      </c>
      <c r="L432" s="310">
        <v>0.881245017051697</v>
      </c>
      <c r="M432" s="310">
        <v>0.88442194461822499</v>
      </c>
      <c r="N432" s="310">
        <v>0.89085346460342396</v>
      </c>
      <c r="O432" s="310">
        <v>0.88840740919113204</v>
      </c>
      <c r="P432" s="310">
        <v>0.89322775602340698</v>
      </c>
      <c r="Q432" s="310">
        <v>0.90440875291824296</v>
      </c>
      <c r="R432" s="310">
        <v>0.91453087329864502</v>
      </c>
      <c r="S432" s="310">
        <v>0.95469778776168801</v>
      </c>
      <c r="T432" s="310">
        <v>0.96978461742401101</v>
      </c>
      <c r="U432" s="310">
        <v>1.01334369182587</v>
      </c>
      <c r="V432" s="310">
        <v>1.02781510353088</v>
      </c>
      <c r="W432" s="310">
        <v>1.0294380187988299</v>
      </c>
      <c r="X432" s="310">
        <v>1.1219843626022299</v>
      </c>
      <c r="Y432" s="310">
        <v>1.2297383546829199</v>
      </c>
      <c r="Z432" s="310">
        <v>1.26935982704163</v>
      </c>
    </row>
    <row r="433" spans="1:26" x14ac:dyDescent="0.25">
      <c r="A433" s="311" t="s">
        <v>479</v>
      </c>
      <c r="B433" s="311"/>
      <c r="C433" s="311"/>
      <c r="D433" s="310">
        <v>15.8847751617432</v>
      </c>
      <c r="E433" s="310">
        <v>16.691057205200199</v>
      </c>
      <c r="F433" s="310">
        <v>18.258220672607401</v>
      </c>
      <c r="G433" s="310">
        <v>18.768579483032202</v>
      </c>
      <c r="H433" s="310">
        <v>18.8538303375244</v>
      </c>
      <c r="I433" s="310">
        <v>18.518165588378899</v>
      </c>
      <c r="J433" s="310">
        <v>18.014034271240199</v>
      </c>
      <c r="K433" s="310">
        <v>17.2542610168457</v>
      </c>
      <c r="L433" s="310">
        <v>16.790317535400401</v>
      </c>
      <c r="M433" s="310">
        <v>16.590124130248999</v>
      </c>
      <c r="N433" s="310">
        <v>16.466903686523398</v>
      </c>
      <c r="O433" s="310">
        <v>16.461626052856399</v>
      </c>
      <c r="P433" s="310">
        <v>16.6055717468262</v>
      </c>
      <c r="Q433" s="310">
        <v>16.851476669311499</v>
      </c>
      <c r="R433" s="310">
        <v>17.021175384521499</v>
      </c>
      <c r="S433" s="310">
        <v>17.000881195068398</v>
      </c>
      <c r="T433" s="310">
        <v>17.070917129516602</v>
      </c>
      <c r="U433" s="310">
        <v>17.1260585784912</v>
      </c>
      <c r="V433" s="310">
        <v>17.140884399414102</v>
      </c>
      <c r="W433" s="310">
        <v>17.206485748291001</v>
      </c>
      <c r="X433" s="310">
        <v>17.3262729644775</v>
      </c>
      <c r="Y433" s="310">
        <v>17.353824615478501</v>
      </c>
      <c r="Z433" s="310">
        <v>17.310489654541001</v>
      </c>
    </row>
    <row r="434" spans="1:26" x14ac:dyDescent="0.25">
      <c r="A434" s="310" t="s">
        <v>487</v>
      </c>
      <c r="B434" s="310"/>
      <c r="C434" s="310"/>
      <c r="D434" s="310"/>
      <c r="E434" s="310"/>
      <c r="F434" s="310"/>
      <c r="G434" s="310"/>
      <c r="H434" s="310"/>
      <c r="I434" s="310"/>
      <c r="J434" s="310"/>
      <c r="K434" s="310"/>
      <c r="L434" s="310"/>
      <c r="M434" s="310"/>
      <c r="N434" s="310"/>
      <c r="O434" s="310"/>
      <c r="P434" s="310"/>
      <c r="Q434" s="310"/>
      <c r="R434" s="310"/>
      <c r="S434" s="310"/>
      <c r="T434" s="310"/>
      <c r="U434" s="310"/>
      <c r="V434" s="310"/>
      <c r="W434" s="310"/>
      <c r="X434" s="310"/>
      <c r="Y434" s="310"/>
      <c r="Z434" s="310"/>
    </row>
    <row r="435" spans="1:26" x14ac:dyDescent="0.25">
      <c r="A435" s="310" t="s">
        <v>617</v>
      </c>
      <c r="B435" s="310"/>
      <c r="C435" s="310"/>
      <c r="D435" s="310">
        <v>19.6766357421875</v>
      </c>
      <c r="E435" s="310">
        <v>23.9161167144775</v>
      </c>
      <c r="F435" s="310">
        <v>26.805564880371101</v>
      </c>
      <c r="G435" s="310">
        <v>22.710954666137699</v>
      </c>
      <c r="H435" s="310">
        <v>22.759067535400401</v>
      </c>
      <c r="I435" s="310">
        <v>22.268846511840799</v>
      </c>
      <c r="J435" s="310">
        <v>24.343835830688501</v>
      </c>
      <c r="K435" s="310">
        <v>23.932544708251999</v>
      </c>
      <c r="L435" s="310">
        <v>23.763250350952099</v>
      </c>
      <c r="M435" s="310">
        <v>23.536403656005898</v>
      </c>
      <c r="N435" s="310">
        <v>23.5618801116943</v>
      </c>
      <c r="O435" s="310">
        <v>23.4868278503418</v>
      </c>
      <c r="P435" s="310">
        <v>23.560710906982401</v>
      </c>
      <c r="Q435" s="310">
        <v>23.7542419433594</v>
      </c>
      <c r="R435" s="310">
        <v>23.654756546020501</v>
      </c>
      <c r="S435" s="310">
        <v>23.5774955749512</v>
      </c>
      <c r="T435" s="310">
        <v>23.664421081543001</v>
      </c>
      <c r="U435" s="310">
        <v>23.6253147125244</v>
      </c>
      <c r="V435" s="310">
        <v>23.741106033325199</v>
      </c>
      <c r="W435" s="310">
        <v>23.8700561523438</v>
      </c>
      <c r="X435" s="310">
        <v>23.973831176757798</v>
      </c>
      <c r="Y435" s="310">
        <v>23.953416824340799</v>
      </c>
      <c r="Z435" s="310">
        <v>23.9759330749512</v>
      </c>
    </row>
    <row r="436" spans="1:26" x14ac:dyDescent="0.25">
      <c r="A436" s="314" t="s">
        <v>618</v>
      </c>
      <c r="B436" s="314"/>
      <c r="C436" s="314"/>
      <c r="D436" s="310">
        <v>20.914932250976602</v>
      </c>
      <c r="E436" s="310">
        <v>23.101913452148398</v>
      </c>
      <c r="F436" s="310">
        <v>24.811454772949201</v>
      </c>
      <c r="G436" s="310">
        <v>27.774848937988299</v>
      </c>
      <c r="H436" s="310">
        <v>25.9952602386475</v>
      </c>
      <c r="I436" s="310">
        <v>24.2666110992432</v>
      </c>
      <c r="J436" s="310">
        <v>21.291254043579102</v>
      </c>
      <c r="K436" s="310">
        <v>20.525190353393601</v>
      </c>
      <c r="L436" s="310">
        <v>20.3361301422119</v>
      </c>
      <c r="M436" s="310">
        <v>20.197395324706999</v>
      </c>
      <c r="N436" s="310">
        <v>20.009881973266602</v>
      </c>
      <c r="O436" s="310">
        <v>20.093305587768601</v>
      </c>
      <c r="P436" s="310">
        <v>20.196292877197301</v>
      </c>
      <c r="Q436" s="310">
        <v>20.4327602386475</v>
      </c>
      <c r="R436" s="310">
        <v>20.4076957702637</v>
      </c>
      <c r="S436" s="310">
        <v>20.624263763427699</v>
      </c>
      <c r="T436" s="310">
        <v>20.610368728637699</v>
      </c>
      <c r="U436" s="310">
        <v>20.617734909057599</v>
      </c>
      <c r="V436" s="310">
        <v>21.067132949829102</v>
      </c>
      <c r="W436" s="310">
        <v>20.970218658447301</v>
      </c>
      <c r="X436" s="310">
        <v>20.962213516235401</v>
      </c>
      <c r="Y436" s="310">
        <v>21.257926940918001</v>
      </c>
      <c r="Z436" s="310">
        <v>21.098123550415</v>
      </c>
    </row>
    <row r="437" spans="1:26" x14ac:dyDescent="0.25">
      <c r="A437" s="313" t="s">
        <v>619</v>
      </c>
      <c r="B437" s="313"/>
      <c r="C437" s="313"/>
      <c r="D437" s="310">
        <v>15.721848487854</v>
      </c>
      <c r="E437" s="310">
        <v>18.644901275634801</v>
      </c>
      <c r="F437" s="310">
        <v>21.1534824371338</v>
      </c>
      <c r="G437" s="310">
        <v>20.964454650878899</v>
      </c>
      <c r="H437" s="310">
        <v>19.721015930175799</v>
      </c>
      <c r="I437" s="310">
        <v>18.6920680999756</v>
      </c>
      <c r="J437" s="310">
        <v>17.902309417724599</v>
      </c>
      <c r="K437" s="310">
        <v>17.232242584228501</v>
      </c>
      <c r="L437" s="310">
        <v>16.863773345947301</v>
      </c>
      <c r="M437" s="310">
        <v>16.565891265869102</v>
      </c>
      <c r="N437" s="310">
        <v>16.0857257843018</v>
      </c>
      <c r="O437" s="310">
        <v>16.063297271728501</v>
      </c>
      <c r="P437" s="310">
        <v>16.111997604370099</v>
      </c>
      <c r="Q437" s="310">
        <v>16.240406036376999</v>
      </c>
      <c r="R437" s="310">
        <v>16.3247375488281</v>
      </c>
      <c r="S437" s="310">
        <v>16.6728916168213</v>
      </c>
      <c r="T437" s="310">
        <v>16.6320400238037</v>
      </c>
      <c r="U437" s="310">
        <v>16.751285552978501</v>
      </c>
      <c r="V437" s="310">
        <v>17.051519393920898</v>
      </c>
      <c r="W437" s="310">
        <v>16.920253753662099</v>
      </c>
      <c r="X437" s="310">
        <v>17.1026096343994</v>
      </c>
      <c r="Y437" s="310">
        <v>17.3232307434082</v>
      </c>
      <c r="Z437" s="310">
        <v>17.144313812255898</v>
      </c>
    </row>
    <row r="438" spans="1:26" x14ac:dyDescent="0.25">
      <c r="A438" s="310" t="s">
        <v>620</v>
      </c>
      <c r="B438" s="310"/>
      <c r="C438" s="310"/>
      <c r="D438" s="310">
        <v>9.2184209823608398</v>
      </c>
      <c r="E438" s="310">
        <v>13.1439361572266</v>
      </c>
      <c r="F438" s="310">
        <v>14.9574270248413</v>
      </c>
      <c r="G438" s="310">
        <v>12.9907026290894</v>
      </c>
      <c r="H438" s="310">
        <v>11.722384452819799</v>
      </c>
      <c r="I438" s="310">
        <v>11.2624855041504</v>
      </c>
      <c r="J438" s="310">
        <v>10.9056959152222</v>
      </c>
      <c r="K438" s="310">
        <v>10.3720808029175</v>
      </c>
      <c r="L438" s="310">
        <v>10.059165954589799</v>
      </c>
      <c r="M438" s="310">
        <v>10.0335283279419</v>
      </c>
      <c r="N438" s="310">
        <v>9.8430700302124006</v>
      </c>
      <c r="O438" s="310">
        <v>9.8874025344848597</v>
      </c>
      <c r="P438" s="310">
        <v>10.0322532653809</v>
      </c>
      <c r="Q438" s="310">
        <v>10.087176322936999</v>
      </c>
      <c r="R438" s="310">
        <v>10.2108345031738</v>
      </c>
      <c r="S438" s="310">
        <v>10.523097038269</v>
      </c>
      <c r="T438" s="310">
        <v>10.506872177124</v>
      </c>
      <c r="U438" s="310">
        <v>10.5880041122437</v>
      </c>
      <c r="V438" s="310">
        <v>10.8930578231812</v>
      </c>
      <c r="W438" s="310">
        <v>10.788450241088899</v>
      </c>
      <c r="X438" s="310">
        <v>10.9106340408325</v>
      </c>
      <c r="Y438" s="310">
        <v>11.0979099273682</v>
      </c>
      <c r="Z438" s="310">
        <v>11.0487413406372</v>
      </c>
    </row>
    <row r="439" spans="1:26" x14ac:dyDescent="0.25">
      <c r="A439" s="313" t="s">
        <v>621</v>
      </c>
      <c r="B439" s="313"/>
      <c r="C439" s="313"/>
      <c r="D439" s="310">
        <v>13.583283424377401</v>
      </c>
      <c r="E439" s="310">
        <v>17.522464752197301</v>
      </c>
      <c r="F439" s="310">
        <v>19.7921543121338</v>
      </c>
      <c r="G439" s="310">
        <v>19.706336975097699</v>
      </c>
      <c r="H439" s="310">
        <v>18.211244583129901</v>
      </c>
      <c r="I439" s="310">
        <v>17.3085613250732</v>
      </c>
      <c r="J439" s="310">
        <v>16.8088684082031</v>
      </c>
      <c r="K439" s="310">
        <v>16.001249313354499</v>
      </c>
      <c r="L439" s="310">
        <v>15.3922462463379</v>
      </c>
      <c r="M439" s="310">
        <v>15.213009834289601</v>
      </c>
      <c r="N439" s="310">
        <v>14.822114944458001</v>
      </c>
      <c r="O439" s="310">
        <v>14.859941482543899</v>
      </c>
      <c r="P439" s="310">
        <v>15.1213598251343</v>
      </c>
      <c r="Q439" s="310">
        <v>15.075839042663601</v>
      </c>
      <c r="R439" s="310">
        <v>15.158118247985801</v>
      </c>
      <c r="S439" s="310">
        <v>15.4795846939087</v>
      </c>
      <c r="T439" s="310">
        <v>15.4157457351685</v>
      </c>
      <c r="U439" s="310">
        <v>15.4886207580566</v>
      </c>
      <c r="V439" s="310">
        <v>15.773143768310501</v>
      </c>
      <c r="W439" s="310">
        <v>15.4716739654541</v>
      </c>
      <c r="X439" s="310">
        <v>15.639728546142599</v>
      </c>
      <c r="Y439" s="310">
        <v>15.912574768066399</v>
      </c>
      <c r="Z439" s="310">
        <v>15.834021568298301</v>
      </c>
    </row>
    <row r="440" spans="1:26" x14ac:dyDescent="0.25">
      <c r="A440" s="310" t="s">
        <v>611</v>
      </c>
      <c r="B440" s="310"/>
      <c r="C440" s="310"/>
      <c r="D440" s="310">
        <v>4.8536195755004901</v>
      </c>
      <c r="E440" s="310">
        <v>5.5067763328552202</v>
      </c>
      <c r="F440" s="310">
        <v>7.1623473167419398</v>
      </c>
      <c r="G440" s="310">
        <v>8.8221101760864293</v>
      </c>
      <c r="H440" s="310">
        <v>9.0483112335205096</v>
      </c>
      <c r="I440" s="310">
        <v>8.6029233932495099</v>
      </c>
      <c r="J440" s="310">
        <v>8.0481967926025408</v>
      </c>
      <c r="K440" s="310">
        <v>7.6902847290039098</v>
      </c>
      <c r="L440" s="310">
        <v>7.3429737091064498</v>
      </c>
      <c r="M440" s="310">
        <v>7.1018238067626998</v>
      </c>
      <c r="N440" s="310">
        <v>6.97245073318481</v>
      </c>
      <c r="O440" s="310">
        <v>7.0413579940795898</v>
      </c>
      <c r="P440" s="310">
        <v>7.0324416160583496</v>
      </c>
      <c r="Q440" s="310">
        <v>7.12284135818481</v>
      </c>
      <c r="R440" s="310">
        <v>7.14320993423462</v>
      </c>
      <c r="S440" s="310">
        <v>7.1685328483581499</v>
      </c>
      <c r="T440" s="310">
        <v>7.3589744567871103</v>
      </c>
      <c r="U440" s="310">
        <v>7.4886426925659197</v>
      </c>
      <c r="V440" s="310">
        <v>7.6476154327392596</v>
      </c>
      <c r="W440" s="310">
        <v>7.6766633987426802</v>
      </c>
      <c r="X440" s="310">
        <v>7.8515577316284197</v>
      </c>
      <c r="Y440" s="310">
        <v>7.8973522186279297</v>
      </c>
      <c r="Z440" s="310">
        <v>8.0370302200317401</v>
      </c>
    </row>
    <row r="441" spans="1:26" x14ac:dyDescent="0.25">
      <c r="A441" s="310" t="s">
        <v>622</v>
      </c>
      <c r="B441" s="310"/>
      <c r="C441" s="310"/>
      <c r="D441" s="310">
        <v>11.913727760314901</v>
      </c>
      <c r="E441" s="310">
        <v>14.761161804199199</v>
      </c>
      <c r="F441" s="310">
        <v>11.981869697570801</v>
      </c>
      <c r="G441" s="310">
        <v>12.283256530761699</v>
      </c>
      <c r="H441" s="310">
        <v>12.1389265060425</v>
      </c>
      <c r="I441" s="310">
        <v>12.3170175552368</v>
      </c>
      <c r="J441" s="310">
        <v>13.965456008911101</v>
      </c>
      <c r="K441" s="310">
        <v>13.507596015930201</v>
      </c>
      <c r="L441" s="310">
        <v>13.291357994079601</v>
      </c>
      <c r="M441" s="310">
        <v>13.0437335968018</v>
      </c>
      <c r="N441" s="310">
        <v>12.940827369689901</v>
      </c>
      <c r="O441" s="310">
        <v>12.861621856689499</v>
      </c>
      <c r="P441" s="310">
        <v>12.894752502441399</v>
      </c>
      <c r="Q441" s="310">
        <v>13.0291633605957</v>
      </c>
      <c r="R441" s="310">
        <v>12.9489841461182</v>
      </c>
      <c r="S441" s="310">
        <v>12.946153640747101</v>
      </c>
      <c r="T441" s="310">
        <v>12.9756631851196</v>
      </c>
      <c r="U441" s="310">
        <v>12.953050613403301</v>
      </c>
      <c r="V441" s="310">
        <v>13.079764366149901</v>
      </c>
      <c r="W441" s="310">
        <v>13.110743522644</v>
      </c>
      <c r="X441" s="310">
        <v>13.198463439941399</v>
      </c>
      <c r="Y441" s="310">
        <v>13.2244005203247</v>
      </c>
      <c r="Z441" s="310">
        <v>13.175202369689901</v>
      </c>
    </row>
    <row r="442" spans="1:26" x14ac:dyDescent="0.25">
      <c r="A442" s="310" t="s">
        <v>479</v>
      </c>
      <c r="B442" s="310"/>
      <c r="C442" s="310"/>
      <c r="D442" s="310">
        <v>26.1035976409912</v>
      </c>
      <c r="E442" s="310">
        <v>25.216188430786101</v>
      </c>
      <c r="F442" s="310">
        <v>26.121034622192401</v>
      </c>
      <c r="G442" s="310">
        <v>25.629154205322301</v>
      </c>
      <c r="H442" s="310">
        <v>25.7473449707031</v>
      </c>
      <c r="I442" s="310">
        <v>25.392839431762699</v>
      </c>
      <c r="J442" s="310">
        <v>24.861566543579102</v>
      </c>
      <c r="K442" s="310">
        <v>24.317947387695298</v>
      </c>
      <c r="L442" s="310">
        <v>24.125808715820298</v>
      </c>
      <c r="M442" s="310">
        <v>23.980707168579102</v>
      </c>
      <c r="N442" s="310">
        <v>23.787378311157202</v>
      </c>
      <c r="O442" s="310">
        <v>23.809650421142599</v>
      </c>
      <c r="P442" s="310">
        <v>23.876377105712901</v>
      </c>
      <c r="Q442" s="310">
        <v>24.074831008911101</v>
      </c>
      <c r="R442" s="310">
        <v>24.262081146240199</v>
      </c>
      <c r="S442" s="310">
        <v>24.183790206909201</v>
      </c>
      <c r="T442" s="310">
        <v>24.2170009613037</v>
      </c>
      <c r="U442" s="310">
        <v>24.245899200439499</v>
      </c>
      <c r="V442" s="310">
        <v>24.2234077453613</v>
      </c>
      <c r="W442" s="310">
        <v>24.307447433471701</v>
      </c>
      <c r="X442" s="310">
        <v>24.4279899597168</v>
      </c>
      <c r="Y442" s="310">
        <v>24.465734481811499</v>
      </c>
      <c r="Z442" s="310">
        <v>24.386825561523398</v>
      </c>
    </row>
    <row r="443" spans="1:26" x14ac:dyDescent="0.25">
      <c r="A443" s="310" t="s">
        <v>623</v>
      </c>
      <c r="B443" s="310"/>
      <c r="C443" s="310"/>
      <c r="D443" s="310"/>
      <c r="E443" s="310"/>
      <c r="F443" s="310"/>
      <c r="G443" s="310"/>
      <c r="H443" s="310"/>
      <c r="I443" s="310"/>
      <c r="J443" s="310"/>
      <c r="K443" s="310"/>
      <c r="L443" s="310"/>
      <c r="M443" s="310"/>
      <c r="N443" s="310"/>
      <c r="O443" s="310"/>
      <c r="P443" s="310"/>
      <c r="Q443" s="310"/>
      <c r="R443" s="310"/>
      <c r="S443" s="310"/>
      <c r="T443" s="310"/>
      <c r="U443" s="310"/>
      <c r="V443" s="310"/>
      <c r="W443" s="310"/>
      <c r="X443" s="310"/>
      <c r="Y443" s="310"/>
      <c r="Z443" s="310"/>
    </row>
    <row r="444" spans="1:26" x14ac:dyDescent="0.25">
      <c r="A444" s="310" t="s">
        <v>610</v>
      </c>
      <c r="B444" s="310"/>
      <c r="C444" s="310"/>
      <c r="D444" s="310">
        <v>9.5153579711914098</v>
      </c>
      <c r="E444" s="310">
        <v>11.3847246170044</v>
      </c>
      <c r="F444" s="310">
        <v>13.235827445983899</v>
      </c>
      <c r="G444" s="310">
        <v>14.263434410095201</v>
      </c>
      <c r="H444" s="310">
        <v>13.7692108154297</v>
      </c>
      <c r="I444" s="310">
        <v>12.704180717468301</v>
      </c>
      <c r="J444" s="310">
        <v>11.7051839828491</v>
      </c>
      <c r="K444" s="310">
        <v>10.7794647216797</v>
      </c>
      <c r="L444" s="310">
        <v>10.0299482345581</v>
      </c>
      <c r="M444" s="310">
        <v>9.2896862030029297</v>
      </c>
      <c r="N444" s="310">
        <v>9.1972703933715803</v>
      </c>
      <c r="O444" s="310">
        <v>9.2599020004272496</v>
      </c>
      <c r="P444" s="310">
        <v>9.2775526046752894</v>
      </c>
      <c r="Q444" s="310">
        <v>9.4403448104858398</v>
      </c>
      <c r="R444" s="310">
        <v>9.5352287292480504</v>
      </c>
      <c r="S444" s="310">
        <v>9.7515039443969709</v>
      </c>
      <c r="T444" s="310">
        <v>9.8428487777709996</v>
      </c>
      <c r="U444" s="310">
        <v>9.9595317840576207</v>
      </c>
      <c r="V444" s="310">
        <v>10.1106100082397</v>
      </c>
      <c r="W444" s="310">
        <v>10.0771369934082</v>
      </c>
      <c r="X444" s="310">
        <v>10.217479705810501</v>
      </c>
      <c r="Y444" s="310">
        <v>10.254093170166</v>
      </c>
      <c r="Z444" s="310">
        <v>10.318883895874</v>
      </c>
    </row>
    <row r="445" spans="1:26" x14ac:dyDescent="0.25">
      <c r="A445" s="310" t="s">
        <v>611</v>
      </c>
      <c r="B445" s="310"/>
      <c r="C445" s="310"/>
      <c r="D445" s="310">
        <v>4.9909768104553196</v>
      </c>
      <c r="E445" s="310">
        <v>6.9611043930053702</v>
      </c>
      <c r="F445" s="310">
        <v>7.8457942008972203</v>
      </c>
      <c r="G445" s="310">
        <v>7.1943798065185502</v>
      </c>
      <c r="H445" s="310">
        <v>7.2948379516601598</v>
      </c>
      <c r="I445" s="310">
        <v>6.9926204681396502</v>
      </c>
      <c r="J445" s="310">
        <v>6.5808119773864702</v>
      </c>
      <c r="K445" s="310">
        <v>6.2065305709838903</v>
      </c>
      <c r="L445" s="310">
        <v>5.9029440879821804</v>
      </c>
      <c r="M445" s="310">
        <v>5.45705270767212</v>
      </c>
      <c r="N445" s="310">
        <v>5.4534096717834499</v>
      </c>
      <c r="O445" s="310">
        <v>5.5995068550109899</v>
      </c>
      <c r="P445" s="310">
        <v>5.6287369728088397</v>
      </c>
      <c r="Q445" s="310">
        <v>5.7370648384094203</v>
      </c>
      <c r="R445" s="310">
        <v>5.8140759468078604</v>
      </c>
      <c r="S445" s="310">
        <v>6.0071105957031303</v>
      </c>
      <c r="T445" s="310">
        <v>6.0822205543518102</v>
      </c>
      <c r="U445" s="310">
        <v>6.22955322265625</v>
      </c>
      <c r="V445" s="310">
        <v>6.4186983108520499</v>
      </c>
      <c r="W445" s="310">
        <v>6.3188004493713397</v>
      </c>
      <c r="X445" s="310">
        <v>6.5342454910278303</v>
      </c>
      <c r="Y445" s="310">
        <v>6.5804891586303702</v>
      </c>
      <c r="Z445" s="310">
        <v>6.6370191574096697</v>
      </c>
    </row>
    <row r="446" spans="1:26" x14ac:dyDescent="0.25">
      <c r="A446" s="312" t="s">
        <v>510</v>
      </c>
      <c r="B446" s="312"/>
      <c r="C446" s="312"/>
      <c r="D446" s="310">
        <v>6.1140975952148402</v>
      </c>
      <c r="E446" s="310">
        <v>8.1813249588012695</v>
      </c>
      <c r="F446" s="310">
        <v>6.9707522392272896</v>
      </c>
      <c r="G446" s="310">
        <v>7.1151452064514196</v>
      </c>
      <c r="H446" s="310">
        <v>7.0668158531189</v>
      </c>
      <c r="I446" s="310">
        <v>6.5265731811523402</v>
      </c>
      <c r="J446" s="310">
        <v>6.2202811241149902</v>
      </c>
      <c r="K446" s="310">
        <v>5.8298497200012198</v>
      </c>
      <c r="L446" s="310">
        <v>5.6925516128540004</v>
      </c>
      <c r="M446" s="310">
        <v>5.4995698928832999</v>
      </c>
      <c r="N446" s="310">
        <v>5.54103326797485</v>
      </c>
      <c r="O446" s="310">
        <v>5.5007095336914098</v>
      </c>
      <c r="P446" s="310">
        <v>5.59739446640015</v>
      </c>
      <c r="Q446" s="310">
        <v>5.7880721092224103</v>
      </c>
      <c r="R446" s="310">
        <v>5.7225790023803702</v>
      </c>
      <c r="S446" s="310">
        <v>5.6709170341491699</v>
      </c>
      <c r="T446" s="310">
        <v>5.7639327049255398</v>
      </c>
      <c r="U446" s="310">
        <v>5.72597312927246</v>
      </c>
      <c r="V446" s="310">
        <v>5.8378243446350098</v>
      </c>
      <c r="W446" s="310">
        <v>5.9462161064147896</v>
      </c>
      <c r="X446" s="310">
        <v>6.05735063552856</v>
      </c>
      <c r="Y446" s="310">
        <v>6.0477237701415998</v>
      </c>
      <c r="Z446" s="310">
        <v>6.0664491653442401</v>
      </c>
    </row>
    <row r="447" spans="1:26" x14ac:dyDescent="0.25">
      <c r="A447" s="315" t="s">
        <v>624</v>
      </c>
      <c r="B447" s="315"/>
      <c r="C447" s="315"/>
      <c r="D447" s="310">
        <v>1.4011929035186801</v>
      </c>
      <c r="E447" s="310">
        <v>1.5299999713897701</v>
      </c>
      <c r="F447" s="310">
        <v>1.6714243888855</v>
      </c>
      <c r="G447" s="310">
        <v>1.69177293777466</v>
      </c>
      <c r="H447" s="310">
        <v>1.70398998260498</v>
      </c>
      <c r="I447" s="310">
        <v>1.7000321149826001</v>
      </c>
      <c r="J447" s="310">
        <v>1.7052028179168699</v>
      </c>
      <c r="K447" s="310">
        <v>1.66678094863892</v>
      </c>
      <c r="L447" s="310">
        <v>1.63700723648071</v>
      </c>
      <c r="M447" s="310">
        <v>1.6199716329574601</v>
      </c>
      <c r="N447" s="310">
        <v>1.61296951770782</v>
      </c>
      <c r="O447" s="310">
        <v>1.59987056255341</v>
      </c>
      <c r="P447" s="310">
        <v>1.59190189838409</v>
      </c>
      <c r="Q447" s="310">
        <v>1.5892090797424301</v>
      </c>
      <c r="R447" s="310">
        <v>1.57604885101318</v>
      </c>
      <c r="S447" s="310">
        <v>1.5779995918273899</v>
      </c>
      <c r="T447" s="310">
        <v>1.5809644460678101</v>
      </c>
      <c r="U447" s="310">
        <v>1.5890377759933501</v>
      </c>
      <c r="V447" s="310">
        <v>1.59825491905212</v>
      </c>
      <c r="W447" s="310">
        <v>1.6020262241363501</v>
      </c>
      <c r="X447" s="310">
        <v>1.6148724555969201</v>
      </c>
      <c r="Y447" s="310">
        <v>1.62832856178284</v>
      </c>
      <c r="Z447" s="310">
        <v>1.63934326171875</v>
      </c>
    </row>
    <row r="448" spans="1:26" x14ac:dyDescent="0.25">
      <c r="A448" s="310" t="s">
        <v>625</v>
      </c>
      <c r="B448" s="310"/>
      <c r="C448" s="310"/>
      <c r="D448" s="310"/>
      <c r="E448" s="310"/>
      <c r="F448" s="310"/>
      <c r="G448" s="310"/>
      <c r="H448" s="310"/>
      <c r="I448" s="310"/>
      <c r="J448" s="310"/>
      <c r="K448" s="310"/>
      <c r="L448" s="310"/>
      <c r="M448" s="310"/>
      <c r="N448" s="310"/>
      <c r="O448" s="310"/>
      <c r="P448" s="310"/>
      <c r="Q448" s="310"/>
      <c r="R448" s="310"/>
      <c r="S448" s="310"/>
      <c r="T448" s="310"/>
      <c r="U448" s="310"/>
      <c r="V448" s="310"/>
      <c r="W448" s="310"/>
      <c r="X448" s="310"/>
      <c r="Y448" s="310"/>
      <c r="Z448" s="310"/>
    </row>
    <row r="449" spans="1:70" x14ac:dyDescent="0.25">
      <c r="A449" s="310" t="s">
        <v>609</v>
      </c>
      <c r="B449" s="310"/>
      <c r="C449" s="310"/>
      <c r="D449" s="310">
        <v>12.6906900405884</v>
      </c>
      <c r="E449" s="310">
        <v>17.482444763183601</v>
      </c>
      <c r="F449" s="310">
        <v>19.464084625244102</v>
      </c>
      <c r="G449" s="310">
        <v>18.995626449585</v>
      </c>
      <c r="H449" s="310">
        <v>18.880571365356399</v>
      </c>
      <c r="I449" s="310">
        <v>18.286575317382798</v>
      </c>
      <c r="J449" s="310">
        <v>18.020065307617202</v>
      </c>
      <c r="K449" s="310">
        <v>17.571559906005898</v>
      </c>
      <c r="L449" s="310">
        <v>17.417589187622099</v>
      </c>
      <c r="M449" s="310">
        <v>17.2678737640381</v>
      </c>
      <c r="N449" s="310">
        <v>17.291303634643601</v>
      </c>
      <c r="O449" s="310">
        <v>17.241743087768601</v>
      </c>
      <c r="P449" s="310">
        <v>17.364793777465799</v>
      </c>
      <c r="Q449" s="310">
        <v>17.562221527099599</v>
      </c>
      <c r="R449" s="310">
        <v>17.562810897827099</v>
      </c>
      <c r="S449" s="310">
        <v>17.558799743652301</v>
      </c>
      <c r="T449" s="310">
        <v>17.620630264282202</v>
      </c>
      <c r="U449" s="310">
        <v>17.599321365356399</v>
      </c>
      <c r="V449" s="310">
        <v>17.721448898315401</v>
      </c>
      <c r="W449" s="310">
        <v>17.8418064117432</v>
      </c>
      <c r="X449" s="310">
        <v>17.9907836914063</v>
      </c>
      <c r="Y449" s="310">
        <v>17.9618225097656</v>
      </c>
      <c r="Z449" s="310">
        <v>17.988685607910199</v>
      </c>
    </row>
    <row r="450" spans="1:70" x14ac:dyDescent="0.25">
      <c r="A450" s="310" t="s">
        <v>618</v>
      </c>
      <c r="B450" s="310"/>
      <c r="C450" s="310"/>
      <c r="D450" s="310">
        <v>20.914932250976602</v>
      </c>
      <c r="E450" s="310">
        <v>23.101913452148398</v>
      </c>
      <c r="F450" s="310">
        <v>24.811454772949201</v>
      </c>
      <c r="G450" s="310">
        <v>27.774848937988299</v>
      </c>
      <c r="H450" s="310">
        <v>25.9952602386475</v>
      </c>
      <c r="I450" s="310">
        <v>24.2666110992432</v>
      </c>
      <c r="J450" s="310">
        <v>21.291254043579102</v>
      </c>
      <c r="K450" s="310">
        <v>20.525190353393601</v>
      </c>
      <c r="L450" s="310">
        <v>20.3361301422119</v>
      </c>
      <c r="M450" s="310">
        <v>20.197395324706999</v>
      </c>
      <c r="N450" s="310">
        <v>20.009881973266602</v>
      </c>
      <c r="O450" s="310">
        <v>20.093305587768601</v>
      </c>
      <c r="P450" s="310">
        <v>20.196292877197301</v>
      </c>
      <c r="Q450" s="310">
        <v>20.4327602386475</v>
      </c>
      <c r="R450" s="310">
        <v>20.4076957702637</v>
      </c>
      <c r="S450" s="310">
        <v>20.624263763427699</v>
      </c>
      <c r="T450" s="310">
        <v>20.610368728637699</v>
      </c>
      <c r="U450" s="310">
        <v>20.617734909057599</v>
      </c>
      <c r="V450" s="310">
        <v>21.067132949829102</v>
      </c>
      <c r="W450" s="310">
        <v>20.970218658447301</v>
      </c>
      <c r="X450" s="310">
        <v>20.962213516235401</v>
      </c>
      <c r="Y450" s="310">
        <v>21.257926940918001</v>
      </c>
      <c r="Z450" s="310">
        <v>21.098123550415</v>
      </c>
    </row>
    <row r="451" spans="1:70" x14ac:dyDescent="0.25">
      <c r="A451" s="310" t="s">
        <v>619</v>
      </c>
      <c r="B451" s="310"/>
      <c r="C451" s="310"/>
      <c r="D451" s="310">
        <v>15.706001281738301</v>
      </c>
      <c r="E451" s="310">
        <v>18.602125167846701</v>
      </c>
      <c r="F451" s="310">
        <v>21.1080112457275</v>
      </c>
      <c r="G451" s="310">
        <v>20.962741851806602</v>
      </c>
      <c r="H451" s="310">
        <v>19.720066070556602</v>
      </c>
      <c r="I451" s="310">
        <v>18.690637588501001</v>
      </c>
      <c r="J451" s="310">
        <v>17.900485992431602</v>
      </c>
      <c r="K451" s="310">
        <v>17.230388641357401</v>
      </c>
      <c r="L451" s="310">
        <v>16.861814498901399</v>
      </c>
      <c r="M451" s="310">
        <v>16.564214706420898</v>
      </c>
      <c r="N451" s="310">
        <v>16.0839519500732</v>
      </c>
      <c r="O451" s="310">
        <v>16.0615749359131</v>
      </c>
      <c r="P451" s="310">
        <v>16.110080718994102</v>
      </c>
      <c r="Q451" s="310">
        <v>16.238643646240199</v>
      </c>
      <c r="R451" s="310">
        <v>16.322971343994102</v>
      </c>
      <c r="S451" s="310">
        <v>16.671089172363299</v>
      </c>
      <c r="T451" s="310">
        <v>16.630247116088899</v>
      </c>
      <c r="U451" s="310">
        <v>16.7495441436768</v>
      </c>
      <c r="V451" s="310">
        <v>17.049686431884801</v>
      </c>
      <c r="W451" s="310">
        <v>16.918500900268601</v>
      </c>
      <c r="X451" s="310">
        <v>17.100944519043001</v>
      </c>
      <c r="Y451" s="310">
        <v>17.321361541748001</v>
      </c>
      <c r="Z451" s="310">
        <v>17.142530441284201</v>
      </c>
    </row>
    <row r="452" spans="1:70" x14ac:dyDescent="0.25">
      <c r="A452" s="310" t="s">
        <v>626</v>
      </c>
      <c r="B452" s="310"/>
      <c r="C452" s="310"/>
      <c r="D452" s="310">
        <v>9.2184209823608398</v>
      </c>
      <c r="E452" s="310">
        <v>13.1439361572266</v>
      </c>
      <c r="F452" s="310">
        <v>14.9574270248413</v>
      </c>
      <c r="G452" s="310">
        <v>12.9907026290894</v>
      </c>
      <c r="H452" s="310">
        <v>11.722384452819799</v>
      </c>
      <c r="I452" s="310">
        <v>11.2624855041504</v>
      </c>
      <c r="J452" s="310">
        <v>10.9056959152222</v>
      </c>
      <c r="K452" s="310">
        <v>10.3720808029175</v>
      </c>
      <c r="L452" s="310">
        <v>10.059165954589799</v>
      </c>
      <c r="M452" s="310">
        <v>10.0335283279419</v>
      </c>
      <c r="N452" s="310">
        <v>9.8430700302124006</v>
      </c>
      <c r="O452" s="310">
        <v>9.8874025344848597</v>
      </c>
      <c r="P452" s="310">
        <v>10.0322532653809</v>
      </c>
      <c r="Q452" s="310">
        <v>10.087176322936999</v>
      </c>
      <c r="R452" s="310">
        <v>10.2108345031738</v>
      </c>
      <c r="S452" s="310">
        <v>10.523097038269</v>
      </c>
      <c r="T452" s="310">
        <v>10.506872177124</v>
      </c>
      <c r="U452" s="310">
        <v>10.5880041122437</v>
      </c>
      <c r="V452" s="310">
        <v>10.8930578231812</v>
      </c>
      <c r="W452" s="310">
        <v>10.788450241088899</v>
      </c>
      <c r="X452" s="310">
        <v>10.9106340408325</v>
      </c>
      <c r="Y452" s="310">
        <v>11.0979099273682</v>
      </c>
      <c r="Z452" s="310">
        <v>11.0487413406372</v>
      </c>
    </row>
    <row r="453" spans="1:70" x14ac:dyDescent="0.25">
      <c r="A453" s="310" t="s">
        <v>610</v>
      </c>
      <c r="B453" s="310"/>
      <c r="C453" s="310"/>
      <c r="D453" s="310">
        <v>12.9106340408325</v>
      </c>
      <c r="E453" s="310">
        <v>16.217037200927699</v>
      </c>
      <c r="F453" s="310">
        <v>18.421550750732401</v>
      </c>
      <c r="G453" s="310">
        <v>18.437913894653299</v>
      </c>
      <c r="H453" s="310">
        <v>17.199058532714801</v>
      </c>
      <c r="I453" s="310">
        <v>16.296318054199201</v>
      </c>
      <c r="J453" s="310">
        <v>15.704516410827599</v>
      </c>
      <c r="K453" s="310">
        <v>14.921827316284199</v>
      </c>
      <c r="L453" s="310">
        <v>14.360170364379901</v>
      </c>
      <c r="M453" s="310">
        <v>14.182985305786101</v>
      </c>
      <c r="N453" s="310">
        <v>13.862556457519499</v>
      </c>
      <c r="O453" s="310">
        <v>13.915904045105</v>
      </c>
      <c r="P453" s="310">
        <v>14.153459548950201</v>
      </c>
      <c r="Q453" s="310">
        <v>14.1445617675781</v>
      </c>
      <c r="R453" s="310">
        <v>14.2399711608887</v>
      </c>
      <c r="S453" s="310">
        <v>14.558382987976101</v>
      </c>
      <c r="T453" s="310">
        <v>14.527869224548301</v>
      </c>
      <c r="U453" s="310">
        <v>14.6189737319946</v>
      </c>
      <c r="V453" s="310">
        <v>14.9021968841553</v>
      </c>
      <c r="W453" s="310">
        <v>14.6463842391968</v>
      </c>
      <c r="X453" s="310">
        <v>14.8252000808716</v>
      </c>
      <c r="Y453" s="310">
        <v>15.0819444656372</v>
      </c>
      <c r="Z453" s="310">
        <v>15.031323432922401</v>
      </c>
    </row>
    <row r="454" spans="1:70" x14ac:dyDescent="0.25">
      <c r="A454" s="310" t="s">
        <v>611</v>
      </c>
      <c r="B454" s="310"/>
      <c r="C454" s="310"/>
      <c r="D454" s="310">
        <v>5.0985417366027797</v>
      </c>
      <c r="E454" s="310">
        <v>6.5886197090148899</v>
      </c>
      <c r="F454" s="310">
        <v>7.9185199737548801</v>
      </c>
      <c r="G454" s="310">
        <v>8.2529850006103498</v>
      </c>
      <c r="H454" s="310">
        <v>8.4050197601318395</v>
      </c>
      <c r="I454" s="310">
        <v>8.0572872161865199</v>
      </c>
      <c r="J454" s="310">
        <v>7.6087560653686497</v>
      </c>
      <c r="K454" s="310">
        <v>7.1943945884704599</v>
      </c>
      <c r="L454" s="310">
        <v>6.8676166534423801</v>
      </c>
      <c r="M454" s="310">
        <v>6.4547815322876003</v>
      </c>
      <c r="N454" s="310">
        <v>6.4073238372802699</v>
      </c>
      <c r="O454" s="310">
        <v>6.54701900482178</v>
      </c>
      <c r="P454" s="310">
        <v>6.5695567131042498</v>
      </c>
      <c r="Q454" s="310">
        <v>6.6816062927246103</v>
      </c>
      <c r="R454" s="310">
        <v>6.7372307777404803</v>
      </c>
      <c r="S454" s="310">
        <v>6.86507225036621</v>
      </c>
      <c r="T454" s="310">
        <v>6.9956922531127903</v>
      </c>
      <c r="U454" s="310">
        <v>7.1396765708923304</v>
      </c>
      <c r="V454" s="310">
        <v>7.3088741302490199</v>
      </c>
      <c r="W454" s="310">
        <v>7.2670574188232404</v>
      </c>
      <c r="X454" s="310">
        <v>7.4510564804077104</v>
      </c>
      <c r="Y454" s="310">
        <v>7.4737396240234402</v>
      </c>
      <c r="Z454" s="310">
        <v>7.5808291435241699</v>
      </c>
    </row>
    <row r="455" spans="1:70" x14ac:dyDescent="0.25">
      <c r="A455" s="310" t="s">
        <v>510</v>
      </c>
      <c r="B455" s="310"/>
      <c r="C455" s="310"/>
      <c r="D455" s="310">
        <v>7.8259296417236301</v>
      </c>
      <c r="E455" s="310">
        <v>9.6487970352172905</v>
      </c>
      <c r="F455" s="310">
        <v>9.1377601623535192</v>
      </c>
      <c r="G455" s="310">
        <v>8.7611961364746094</v>
      </c>
      <c r="H455" s="310">
        <v>8.6626396179199201</v>
      </c>
      <c r="I455" s="310">
        <v>8.1270828247070295</v>
      </c>
      <c r="J455" s="310">
        <v>7.8336372375488299</v>
      </c>
      <c r="K455" s="310">
        <v>7.4448304176330602</v>
      </c>
      <c r="L455" s="310">
        <v>7.2887372970581099</v>
      </c>
      <c r="M455" s="310">
        <v>7.0927038192748997</v>
      </c>
      <c r="N455" s="310">
        <v>7.1150150299072301</v>
      </c>
      <c r="O455" s="310">
        <v>7.0641679763793901</v>
      </c>
      <c r="P455" s="310">
        <v>7.1520218849182102</v>
      </c>
      <c r="Q455" s="310">
        <v>7.3469972610473597</v>
      </c>
      <c r="R455" s="310">
        <v>7.2896466255187997</v>
      </c>
      <c r="S455" s="310">
        <v>7.2448530197143599</v>
      </c>
      <c r="T455" s="310">
        <v>7.3207983970642099</v>
      </c>
      <c r="U455" s="310">
        <v>7.3070926666259801</v>
      </c>
      <c r="V455" s="310">
        <v>7.4372458457946804</v>
      </c>
      <c r="W455" s="310">
        <v>7.5700182914733896</v>
      </c>
      <c r="X455" s="310">
        <v>7.6924967765808097</v>
      </c>
      <c r="Y455" s="310">
        <v>7.6794857978820801</v>
      </c>
      <c r="Z455" s="310">
        <v>7.7304539680481001</v>
      </c>
    </row>
    <row r="456" spans="1:70" x14ac:dyDescent="0.25">
      <c r="A456" s="310" t="s">
        <v>614</v>
      </c>
      <c r="B456" s="310"/>
      <c r="C456" s="310"/>
      <c r="D456" s="310">
        <v>2.3078472614288299</v>
      </c>
      <c r="E456" s="310">
        <v>3.0599997043609601</v>
      </c>
      <c r="F456" s="310">
        <v>3.2548489570617698</v>
      </c>
      <c r="G456" s="310">
        <v>3.2975256443023699</v>
      </c>
      <c r="H456" s="310">
        <v>3.2872827053070099</v>
      </c>
      <c r="I456" s="310">
        <v>3.1889374256134002</v>
      </c>
      <c r="J456" s="310">
        <v>3.0940959453582799</v>
      </c>
      <c r="K456" s="310">
        <v>2.9914577007293701</v>
      </c>
      <c r="L456" s="310">
        <v>2.8927016258239702</v>
      </c>
      <c r="M456" s="310">
        <v>2.78926348686218</v>
      </c>
      <c r="N456" s="310">
        <v>2.7408642768859899</v>
      </c>
      <c r="O456" s="310">
        <v>2.7166485786438002</v>
      </c>
      <c r="P456" s="310">
        <v>2.7061200141906698</v>
      </c>
      <c r="Q456" s="310">
        <v>2.7063503265380899</v>
      </c>
      <c r="R456" s="310">
        <v>2.7045123577117902</v>
      </c>
      <c r="S456" s="310">
        <v>2.68979120254517</v>
      </c>
      <c r="T456" s="310">
        <v>2.7072892189025901</v>
      </c>
      <c r="U456" s="310">
        <v>2.71812868118286</v>
      </c>
      <c r="V456" s="310">
        <v>2.7191135883331299</v>
      </c>
      <c r="W456" s="310">
        <v>2.7064330577850302</v>
      </c>
      <c r="X456" s="310">
        <v>2.68589544296265</v>
      </c>
      <c r="Y456" s="310">
        <v>2.69574999809265</v>
      </c>
      <c r="Z456" s="310">
        <v>2.7049932479858398</v>
      </c>
      <c r="AA456">
        <v>2027</v>
      </c>
      <c r="AB456">
        <v>2028</v>
      </c>
      <c r="AC456">
        <v>2029</v>
      </c>
      <c r="AD456">
        <v>2030</v>
      </c>
      <c r="AE456">
        <v>2031</v>
      </c>
      <c r="AF456">
        <v>2032</v>
      </c>
      <c r="AG456">
        <v>2033</v>
      </c>
      <c r="AH456">
        <v>2034</v>
      </c>
      <c r="AI456">
        <v>2035</v>
      </c>
      <c r="AJ456">
        <v>2036</v>
      </c>
      <c r="AK456">
        <v>2037</v>
      </c>
      <c r="AL456">
        <v>2038</v>
      </c>
      <c r="AM456">
        <v>2039</v>
      </c>
      <c r="AN456">
        <v>2040</v>
      </c>
      <c r="AO456">
        <v>2041</v>
      </c>
      <c r="AP456">
        <v>2042</v>
      </c>
      <c r="AQ456">
        <v>2043</v>
      </c>
      <c r="AR456">
        <v>2044</v>
      </c>
      <c r="AS456">
        <v>2045</v>
      </c>
      <c r="AT456">
        <v>2046</v>
      </c>
      <c r="AU456">
        <v>2047</v>
      </c>
      <c r="AV456">
        <v>2048</v>
      </c>
      <c r="AW456">
        <v>2049</v>
      </c>
      <c r="AX456">
        <v>2050</v>
      </c>
      <c r="AY456">
        <v>2051</v>
      </c>
      <c r="AZ456">
        <v>2052</v>
      </c>
      <c r="BA456">
        <v>2053</v>
      </c>
      <c r="BB456">
        <v>2054</v>
      </c>
      <c r="BC456">
        <v>2055</v>
      </c>
      <c r="BD456">
        <v>2056</v>
      </c>
      <c r="BE456">
        <v>2057</v>
      </c>
      <c r="BF456">
        <v>2058</v>
      </c>
      <c r="BG456">
        <v>2059</v>
      </c>
      <c r="BH456">
        <v>2060</v>
      </c>
      <c r="BI456">
        <v>2061</v>
      </c>
      <c r="BJ456">
        <v>2062</v>
      </c>
      <c r="BK456">
        <v>2063</v>
      </c>
      <c r="BL456">
        <v>2064</v>
      </c>
      <c r="BM456">
        <v>2065</v>
      </c>
      <c r="BN456">
        <v>2066</v>
      </c>
      <c r="BO456">
        <v>2067</v>
      </c>
      <c r="BP456">
        <v>2068</v>
      </c>
      <c r="BQ456">
        <v>2069</v>
      </c>
      <c r="BR456">
        <v>2070</v>
      </c>
    </row>
    <row r="457" spans="1:70" x14ac:dyDescent="0.25">
      <c r="A457" s="310" t="s">
        <v>627</v>
      </c>
      <c r="B457" s="310"/>
      <c r="C457" s="310"/>
      <c r="D457" s="310">
        <v>1.43066883087158</v>
      </c>
      <c r="E457" s="310">
        <v>1.5706532001495399</v>
      </c>
      <c r="F457" s="310">
        <v>1.7059867382049601</v>
      </c>
      <c r="G457" s="310">
        <v>1.7268872261047401</v>
      </c>
      <c r="H457" s="310">
        <v>1.7392324209213299</v>
      </c>
      <c r="I457" s="310">
        <v>1.7345312833786</v>
      </c>
      <c r="J457" s="310">
        <v>1.7401528358459499</v>
      </c>
      <c r="K457" s="310">
        <v>1.7026997804641699</v>
      </c>
      <c r="L457" s="310">
        <v>1.67319643497467</v>
      </c>
      <c r="M457" s="310">
        <v>1.6556009054184</v>
      </c>
      <c r="N457" s="310">
        <v>1.6479283571243299</v>
      </c>
      <c r="O457" s="310">
        <v>1.63474309444427</v>
      </c>
      <c r="P457" s="310">
        <v>1.6263667345046999</v>
      </c>
      <c r="Q457" s="310">
        <v>1.6231272220611599</v>
      </c>
      <c r="R457" s="310">
        <v>1.60980331897736</v>
      </c>
      <c r="S457" s="310">
        <v>1.6111264228820801</v>
      </c>
      <c r="T457" s="310">
        <v>1.61373710632324</v>
      </c>
      <c r="U457" s="310">
        <v>1.6214674711227399</v>
      </c>
      <c r="V457" s="310">
        <v>1.6300570964813199</v>
      </c>
      <c r="W457" s="310">
        <v>1.6331868171691899</v>
      </c>
      <c r="X457" s="310">
        <v>1.6452817916870099</v>
      </c>
      <c r="Y457" s="310">
        <v>1.6581670045852701</v>
      </c>
      <c r="Z457" s="310">
        <v>1.6686607599258401</v>
      </c>
    </row>
    <row r="458" spans="1:70" x14ac:dyDescent="0.25">
      <c r="A458" s="310" t="s">
        <v>616</v>
      </c>
      <c r="B458" s="310"/>
      <c r="C458" s="310"/>
      <c r="D458" s="310" t="s">
        <v>1082</v>
      </c>
      <c r="E458" s="310" t="s">
        <v>1082</v>
      </c>
      <c r="F458" s="310" t="s">
        <v>1082</v>
      </c>
      <c r="G458" s="310" t="s">
        <v>1082</v>
      </c>
      <c r="H458" s="310" t="s">
        <v>1082</v>
      </c>
      <c r="I458" s="310" t="s">
        <v>1082</v>
      </c>
      <c r="J458" s="310" t="s">
        <v>1082</v>
      </c>
      <c r="K458" s="310">
        <v>0.88956671953201305</v>
      </c>
      <c r="L458" s="310">
        <v>0.881245017051697</v>
      </c>
      <c r="M458" s="310">
        <v>0.88442194461822499</v>
      </c>
      <c r="N458" s="310">
        <v>0.89085346460342396</v>
      </c>
      <c r="O458" s="310">
        <v>0.88840740919113204</v>
      </c>
      <c r="P458" s="310">
        <v>0.89322775602340698</v>
      </c>
      <c r="Q458" s="310">
        <v>0.90440875291824296</v>
      </c>
      <c r="R458" s="310">
        <v>0.91453087329864502</v>
      </c>
      <c r="S458" s="310">
        <v>0.95469778776168801</v>
      </c>
      <c r="T458" s="310">
        <v>0.96978461742401101</v>
      </c>
      <c r="U458" s="310">
        <v>1.01334369182587</v>
      </c>
      <c r="V458" s="310">
        <v>1.02781510353088</v>
      </c>
      <c r="W458" s="310">
        <v>1.0294380187988299</v>
      </c>
      <c r="X458" s="310">
        <v>1.1219843626022299</v>
      </c>
      <c r="Y458" s="310">
        <v>1.2297383546829199</v>
      </c>
      <c r="Z458" s="310">
        <v>1.26935982704163</v>
      </c>
    </row>
    <row r="459" spans="1:70" x14ac:dyDescent="0.25">
      <c r="A459" s="310" t="s">
        <v>479</v>
      </c>
      <c r="B459" s="310"/>
      <c r="C459" s="310"/>
      <c r="D459" s="310">
        <v>23.009492874145501</v>
      </c>
      <c r="E459" s="310">
        <v>23.734071731567401</v>
      </c>
      <c r="F459" s="310">
        <v>24.3845615386963</v>
      </c>
      <c r="G459" s="310">
        <v>24.318822860717798</v>
      </c>
      <c r="H459" s="310">
        <v>24.297929763793899</v>
      </c>
      <c r="I459" s="310">
        <v>24.022377014160199</v>
      </c>
      <c r="J459" s="310">
        <v>23.662025451660199</v>
      </c>
      <c r="K459" s="310">
        <v>23.093143463134801</v>
      </c>
      <c r="L459" s="310">
        <v>22.802413940429702</v>
      </c>
      <c r="M459" s="310">
        <v>22.663448333740199</v>
      </c>
      <c r="N459" s="310">
        <v>22.5459308624268</v>
      </c>
      <c r="O459" s="310">
        <v>22.5456428527832</v>
      </c>
      <c r="P459" s="310">
        <v>22.688844680786101</v>
      </c>
      <c r="Q459" s="310">
        <v>22.9480895996094</v>
      </c>
      <c r="R459" s="310">
        <v>23.136041641235401</v>
      </c>
      <c r="S459" s="310">
        <v>23.0899753570557</v>
      </c>
      <c r="T459" s="310">
        <v>23.154170989990199</v>
      </c>
      <c r="U459" s="310">
        <v>23.213594436645501</v>
      </c>
      <c r="V459" s="310">
        <v>23.230543136596701</v>
      </c>
      <c r="W459" s="310">
        <v>23.3047065734863</v>
      </c>
      <c r="X459" s="310">
        <v>23.429094314575199</v>
      </c>
      <c r="Y459" s="310">
        <v>23.4709377288818</v>
      </c>
      <c r="Z459" s="310">
        <v>23.433801651001001</v>
      </c>
    </row>
    <row r="460" spans="1:70" x14ac:dyDescent="0.25">
      <c r="A460" s="310" t="s">
        <v>513</v>
      </c>
      <c r="B460" s="310"/>
      <c r="C460" s="310"/>
      <c r="D460" s="310"/>
      <c r="E460" s="310"/>
      <c r="F460" s="310"/>
      <c r="G460" s="310"/>
      <c r="H460" s="310"/>
      <c r="I460" s="310"/>
      <c r="J460" s="310"/>
      <c r="K460" s="310"/>
      <c r="L460" s="310"/>
      <c r="M460" s="310"/>
      <c r="N460" s="310"/>
      <c r="O460" s="310"/>
      <c r="P460" s="310"/>
      <c r="Q460" s="310"/>
      <c r="R460" s="310"/>
      <c r="S460" s="310"/>
      <c r="T460" s="310"/>
      <c r="U460" s="310"/>
      <c r="V460" s="310"/>
      <c r="W460" s="310"/>
      <c r="X460" s="310"/>
      <c r="Y460" s="310"/>
      <c r="Z460" s="310"/>
    </row>
    <row r="461" spans="1:70" x14ac:dyDescent="0.25">
      <c r="A461" s="310" t="s">
        <v>628</v>
      </c>
      <c r="B461" s="310"/>
      <c r="C461" s="310"/>
      <c r="D461" s="310"/>
      <c r="E461" s="310"/>
      <c r="F461" s="310"/>
      <c r="G461" s="310"/>
      <c r="H461" s="310"/>
      <c r="I461" s="310"/>
      <c r="J461" s="310"/>
      <c r="K461" s="310"/>
      <c r="L461" s="310"/>
      <c r="M461" s="310"/>
      <c r="N461" s="310"/>
      <c r="O461" s="310"/>
      <c r="P461" s="310"/>
      <c r="Q461" s="310"/>
      <c r="R461" s="310"/>
      <c r="S461" s="310"/>
      <c r="T461" s="310"/>
      <c r="U461" s="310"/>
      <c r="V461" s="310"/>
      <c r="W461" s="310"/>
      <c r="X461" s="310"/>
      <c r="Y461" s="310"/>
      <c r="Z461" s="310"/>
    </row>
    <row r="462" spans="1:70" x14ac:dyDescent="0.25">
      <c r="A462" s="310" t="s">
        <v>473</v>
      </c>
      <c r="B462" s="310"/>
      <c r="C462" s="310"/>
      <c r="D462" s="310">
        <v>195.98880004882801</v>
      </c>
      <c r="E462" s="310">
        <v>215.13366699218801</v>
      </c>
      <c r="F462" s="310">
        <v>218.80557250976599</v>
      </c>
      <c r="G462" s="310">
        <v>221.29866027832</v>
      </c>
      <c r="H462" s="310">
        <v>223.50036621093801</v>
      </c>
      <c r="I462" s="310">
        <v>221.10458374023401</v>
      </c>
      <c r="J462" s="310">
        <v>220.438400268555</v>
      </c>
      <c r="K462" s="310">
        <v>218.08479309082</v>
      </c>
      <c r="L462" s="310">
        <v>218.45701599121099</v>
      </c>
      <c r="M462" s="310">
        <v>217.84970092773401</v>
      </c>
      <c r="N462" s="310">
        <v>219.40165710449199</v>
      </c>
      <c r="O462" s="310">
        <v>221.00289916992199</v>
      </c>
      <c r="P462" s="310">
        <v>224.59239196777301</v>
      </c>
      <c r="Q462" s="310">
        <v>228.53056335449199</v>
      </c>
      <c r="R462" s="310">
        <v>230.97148132324199</v>
      </c>
      <c r="S462" s="310">
        <v>232.57162475585901</v>
      </c>
      <c r="T462" s="310">
        <v>236.03457641601599</v>
      </c>
      <c r="U462" s="310">
        <v>237.58020019531301</v>
      </c>
      <c r="V462" s="310">
        <v>240.43632507324199</v>
      </c>
      <c r="W462" s="310">
        <v>243.39186096191401</v>
      </c>
      <c r="X462" s="310">
        <v>247.24427795410199</v>
      </c>
      <c r="Y462" s="310">
        <v>248.98767089843801</v>
      </c>
      <c r="Z462" s="310">
        <v>251.02548217773401</v>
      </c>
    </row>
    <row r="463" spans="1:70" x14ac:dyDescent="0.25">
      <c r="A463" s="310" t="s">
        <v>480</v>
      </c>
      <c r="B463" s="310"/>
      <c r="C463" s="310"/>
      <c r="D463" s="310">
        <v>141.77845764160199</v>
      </c>
      <c r="E463" s="310">
        <v>154.38449096679699</v>
      </c>
      <c r="F463" s="310">
        <v>157.84999084472699</v>
      </c>
      <c r="G463" s="310">
        <v>156.06527709960901</v>
      </c>
      <c r="H463" s="310">
        <v>159.312088012695</v>
      </c>
      <c r="I463" s="310">
        <v>158.53677368164099</v>
      </c>
      <c r="J463" s="310">
        <v>157.966796875</v>
      </c>
      <c r="K463" s="310">
        <v>156.350173950195</v>
      </c>
      <c r="L463" s="310">
        <v>157.31393432617199</v>
      </c>
      <c r="M463" s="310">
        <v>158.58882141113301</v>
      </c>
      <c r="N463" s="310">
        <v>160.74195861816401</v>
      </c>
      <c r="O463" s="310">
        <v>163.37489318847699</v>
      </c>
      <c r="P463" s="310">
        <v>167.20817565918</v>
      </c>
      <c r="Q463" s="310">
        <v>172.04411315918</v>
      </c>
      <c r="R463" s="310">
        <v>175.58262634277301</v>
      </c>
      <c r="S463" s="310">
        <v>178.093505859375</v>
      </c>
      <c r="T463" s="310">
        <v>181.73991394043</v>
      </c>
      <c r="U463" s="310">
        <v>185.01341247558599</v>
      </c>
      <c r="V463" s="310">
        <v>188.79048156738301</v>
      </c>
      <c r="W463" s="310">
        <v>192.86947631835901</v>
      </c>
      <c r="X463" s="310">
        <v>197.36026000976599</v>
      </c>
      <c r="Y463" s="310">
        <v>201.10684204101599</v>
      </c>
      <c r="Z463" s="310">
        <v>204.49230957031301</v>
      </c>
    </row>
    <row r="464" spans="1:70" x14ac:dyDescent="0.25">
      <c r="A464" s="310" t="s">
        <v>515</v>
      </c>
      <c r="B464" s="310"/>
      <c r="C464" s="310"/>
      <c r="D464" s="310">
        <v>184.22943115234401</v>
      </c>
      <c r="E464" s="310">
        <v>196.07313537597699</v>
      </c>
      <c r="F464" s="310">
        <v>205.39855957031301</v>
      </c>
      <c r="G464" s="310">
        <v>217.87611389160199</v>
      </c>
      <c r="H464" s="310">
        <v>214.14784240722699</v>
      </c>
      <c r="I464" s="310">
        <v>207.11370849609401</v>
      </c>
      <c r="J464" s="310">
        <v>200.48422241210901</v>
      </c>
      <c r="K464" s="310">
        <v>191.81477355957</v>
      </c>
      <c r="L464" s="310">
        <v>187.29217529296901</v>
      </c>
      <c r="M464" s="310">
        <v>184.91578674316401</v>
      </c>
      <c r="N464" s="310">
        <v>184.25204467773401</v>
      </c>
      <c r="O464" s="310">
        <v>184.11447143554699</v>
      </c>
      <c r="P464" s="310">
        <v>186.80691528320301</v>
      </c>
      <c r="Q464" s="310">
        <v>189.66255187988301</v>
      </c>
      <c r="R464" s="310">
        <v>190.49990844726599</v>
      </c>
      <c r="S464" s="310">
        <v>192.03105163574199</v>
      </c>
      <c r="T464" s="310">
        <v>194.88296508789099</v>
      </c>
      <c r="U464" s="310">
        <v>196.87213134765599</v>
      </c>
      <c r="V464" s="310">
        <v>200.07191467285199</v>
      </c>
      <c r="W464" s="310">
        <v>202.13279724121099</v>
      </c>
      <c r="X464" s="310">
        <v>205.48814392089801</v>
      </c>
      <c r="Y464" s="310">
        <v>206.97822570800801</v>
      </c>
      <c r="Z464" s="310">
        <v>209.30905151367199</v>
      </c>
    </row>
    <row r="465" spans="1:70" x14ac:dyDescent="0.25">
      <c r="A465" s="310" t="s">
        <v>487</v>
      </c>
      <c r="B465" s="310"/>
      <c r="C465" s="310"/>
      <c r="D465" s="310">
        <v>385.00112915039102</v>
      </c>
      <c r="E465" s="310">
        <v>474.66281127929699</v>
      </c>
      <c r="F465" s="310">
        <v>545.7236328125</v>
      </c>
      <c r="G465" s="310">
        <v>538.79211425781295</v>
      </c>
      <c r="H465" s="310">
        <v>508.11019897460898</v>
      </c>
      <c r="I465" s="310">
        <v>488.44781494140602</v>
      </c>
      <c r="J465" s="310">
        <v>476.37777709960898</v>
      </c>
      <c r="K465" s="310">
        <v>463.41403198242199</v>
      </c>
      <c r="L465" s="310">
        <v>458.16046142578102</v>
      </c>
      <c r="M465" s="310">
        <v>458.57275390625</v>
      </c>
      <c r="N465" s="310">
        <v>452.78533935546898</v>
      </c>
      <c r="O465" s="310">
        <v>459.41848754882801</v>
      </c>
      <c r="P465" s="310">
        <v>469.74392700195301</v>
      </c>
      <c r="Q465" s="310">
        <v>478.67190551757801</v>
      </c>
      <c r="R465" s="310">
        <v>487.87078857421898</v>
      </c>
      <c r="S465" s="310">
        <v>505.29348754882801</v>
      </c>
      <c r="T465" s="310">
        <v>511.07485961914102</v>
      </c>
      <c r="U465" s="310">
        <v>521.646240234375</v>
      </c>
      <c r="V465" s="310">
        <v>538.77532958984398</v>
      </c>
      <c r="W465" s="310">
        <v>540.642822265625</v>
      </c>
      <c r="X465" s="310">
        <v>554.21173095703102</v>
      </c>
      <c r="Y465" s="310">
        <v>570.280029296875</v>
      </c>
      <c r="Z465" s="310">
        <v>574.30035400390602</v>
      </c>
    </row>
    <row r="466" spans="1:70" x14ac:dyDescent="0.25">
      <c r="A466" s="310" t="s">
        <v>516</v>
      </c>
      <c r="B466" s="310"/>
      <c r="C466" s="310"/>
      <c r="D466" s="310">
        <v>906.997802734375</v>
      </c>
      <c r="E466" s="310">
        <v>1040.25415039063</v>
      </c>
      <c r="F466" s="310">
        <v>1127.77770996094</v>
      </c>
      <c r="G466" s="310">
        <v>1134.0322265625</v>
      </c>
      <c r="H466" s="310">
        <v>1105.07055664063</v>
      </c>
      <c r="I466" s="310">
        <v>1075.20288085938</v>
      </c>
      <c r="J466" s="310">
        <v>1055.26721191406</v>
      </c>
      <c r="K466" s="310">
        <v>1029.66381835938</v>
      </c>
      <c r="L466" s="310">
        <v>1021.22357177734</v>
      </c>
      <c r="M466" s="310">
        <v>1019.92706298828</v>
      </c>
      <c r="N466" s="310">
        <v>1017.18103027344</v>
      </c>
      <c r="O466" s="310">
        <v>1027.91076660156</v>
      </c>
      <c r="P466" s="310">
        <v>1048.35144042969</v>
      </c>
      <c r="Q466" s="310">
        <v>1068.9091796875</v>
      </c>
      <c r="R466" s="310">
        <v>1084.9248046875</v>
      </c>
      <c r="S466" s="310">
        <v>1107.98962402344</v>
      </c>
      <c r="T466" s="310">
        <v>1123.73229980469</v>
      </c>
      <c r="U466" s="310">
        <v>1141.11193847656</v>
      </c>
      <c r="V466" s="310">
        <v>1168.07409667969</v>
      </c>
      <c r="W466" s="310">
        <v>1179.03698730469</v>
      </c>
      <c r="X466" s="310">
        <v>1204.30444335938</v>
      </c>
      <c r="Y466" s="310">
        <v>1227.35278320313</v>
      </c>
      <c r="Z466" s="310">
        <v>1239.12719726563</v>
      </c>
    </row>
    <row r="467" spans="1:70" x14ac:dyDescent="0.25">
      <c r="A467" s="310" t="s">
        <v>629</v>
      </c>
      <c r="B467" s="310"/>
      <c r="C467" s="310"/>
      <c r="D467" s="310">
        <v>2.27928571403027E-2</v>
      </c>
      <c r="E467" s="310">
        <v>3.3822253346443197E-2</v>
      </c>
      <c r="F467" s="310">
        <v>4.68330308794975E-2</v>
      </c>
      <c r="G467" s="310">
        <v>4.2311083525419201E-2</v>
      </c>
      <c r="H467" s="310">
        <v>4.6379543840885197E-2</v>
      </c>
      <c r="I467" s="310">
        <v>5.0339180976152399E-2</v>
      </c>
      <c r="J467" s="310">
        <v>6.3796535134315505E-2</v>
      </c>
      <c r="K467" s="310">
        <v>7.1353547275066403E-2</v>
      </c>
      <c r="L467" s="310">
        <v>7.5695373117923695E-2</v>
      </c>
      <c r="M467" s="310">
        <v>8.06071981787682E-2</v>
      </c>
      <c r="N467" s="310">
        <v>8.2480475306510898E-2</v>
      </c>
      <c r="O467" s="310">
        <v>8.9031867682933793E-2</v>
      </c>
      <c r="P467" s="310">
        <v>9.6231654286384596E-2</v>
      </c>
      <c r="Q467" s="310">
        <v>0.10344713926315301</v>
      </c>
      <c r="R467" s="310">
        <v>0.112680315971375</v>
      </c>
      <c r="S467" s="310">
        <v>0.13150542974471999</v>
      </c>
      <c r="T467" s="310">
        <v>0.15408998727798501</v>
      </c>
      <c r="U467" s="310">
        <v>0.18660007417201999</v>
      </c>
      <c r="V467" s="310">
        <v>0.21707823872566201</v>
      </c>
      <c r="W467" s="310">
        <v>0.243339464068413</v>
      </c>
      <c r="X467" s="310">
        <v>0.28575915098190302</v>
      </c>
      <c r="Y467" s="310">
        <v>0.31987324357032798</v>
      </c>
      <c r="Z467" s="310">
        <v>0.34808513522148099</v>
      </c>
    </row>
    <row r="468" spans="1:70" x14ac:dyDescent="0.25">
      <c r="A468" s="310" t="s">
        <v>518</v>
      </c>
      <c r="B468" s="310"/>
      <c r="C468" s="310"/>
      <c r="D468" s="310">
        <v>907.02056884765602</v>
      </c>
      <c r="E468" s="310">
        <v>1040.28796386719</v>
      </c>
      <c r="F468" s="310">
        <v>1127.82458496094</v>
      </c>
      <c r="G468" s="310">
        <v>1134.07458496094</v>
      </c>
      <c r="H468" s="310">
        <v>1105.11694335938</v>
      </c>
      <c r="I468" s="310">
        <v>1075.25317382813</v>
      </c>
      <c r="J468" s="310">
        <v>1055.3310546875</v>
      </c>
      <c r="K468" s="310">
        <v>1029.73522949219</v>
      </c>
      <c r="L468" s="310">
        <v>1021.29925537109</v>
      </c>
      <c r="M468" s="310">
        <v>1020.00769042969</v>
      </c>
      <c r="N468" s="310">
        <v>1017.26348876953</v>
      </c>
      <c r="O468" s="310">
        <v>1027.99975585938</v>
      </c>
      <c r="P468" s="310">
        <v>1048.44763183594</v>
      </c>
      <c r="Q468" s="310">
        <v>1069.01257324219</v>
      </c>
      <c r="R468" s="310">
        <v>1085.03747558594</v>
      </c>
      <c r="S468" s="310">
        <v>1108.12109375</v>
      </c>
      <c r="T468" s="310">
        <v>1123.88635253906</v>
      </c>
      <c r="U468" s="310">
        <v>1141.29858398438</v>
      </c>
      <c r="V468" s="310">
        <v>1168.29113769531</v>
      </c>
      <c r="W468" s="310">
        <v>1179.2802734375</v>
      </c>
      <c r="X468" s="310">
        <v>1204.59020996094</v>
      </c>
      <c r="Y468" s="310">
        <v>1227.67260742188</v>
      </c>
      <c r="Z468" s="310">
        <v>1239.47534179688</v>
      </c>
    </row>
    <row r="469" spans="1:70" x14ac:dyDescent="0.25">
      <c r="A469" s="297" t="s">
        <v>1081</v>
      </c>
      <c r="B469" s="257" t="s">
        <v>593</v>
      </c>
      <c r="C469" s="310"/>
      <c r="D469" s="310"/>
      <c r="E469" s="310"/>
      <c r="F469" s="310"/>
      <c r="G469" s="310"/>
      <c r="H469" s="310"/>
      <c r="I469" s="310"/>
      <c r="J469" s="310"/>
      <c r="K469" s="310"/>
      <c r="L469" s="310"/>
      <c r="M469" s="310"/>
      <c r="N469" s="310"/>
      <c r="O469" s="310"/>
      <c r="P469" s="310"/>
      <c r="Q469" s="310"/>
      <c r="R469" s="310"/>
      <c r="S469" s="310"/>
      <c r="T469" s="310"/>
      <c r="U469" s="310"/>
      <c r="V469" s="310"/>
      <c r="W469" s="310"/>
      <c r="X469" s="310"/>
      <c r="Y469" s="310"/>
      <c r="Z469" s="310"/>
    </row>
    <row r="470" spans="1:70" ht="13" thickBot="1" x14ac:dyDescent="0.3">
      <c r="A470" s="286" t="s">
        <v>311</v>
      </c>
      <c r="B470" s="257" t="s">
        <v>593</v>
      </c>
      <c r="C470" s="310"/>
      <c r="D470" s="310"/>
      <c r="E470" s="310"/>
      <c r="F470" s="310"/>
      <c r="G470" s="310"/>
      <c r="H470" s="310"/>
      <c r="I470" s="310"/>
      <c r="J470" s="310"/>
      <c r="K470" s="310"/>
      <c r="L470" s="310"/>
      <c r="M470" s="310"/>
      <c r="N470" s="310"/>
      <c r="O470" s="310"/>
      <c r="P470" s="310"/>
      <c r="Q470" s="310"/>
      <c r="R470" s="310"/>
      <c r="S470" s="310"/>
      <c r="T470" s="310"/>
      <c r="U470" s="310"/>
      <c r="V470" s="310"/>
      <c r="W470" s="310"/>
      <c r="X470" s="310"/>
      <c r="Y470" s="310"/>
      <c r="Z470" s="310"/>
    </row>
    <row r="471" spans="1:70" ht="13" thickBot="1" x14ac:dyDescent="0.3">
      <c r="A471" s="310" t="s">
        <v>976</v>
      </c>
      <c r="B471" s="310"/>
      <c r="C471" s="310"/>
      <c r="D471" s="310"/>
      <c r="E471" s="310"/>
      <c r="F471" s="310"/>
      <c r="G471" s="310"/>
      <c r="H471" s="310"/>
      <c r="I471" s="310"/>
      <c r="J471" s="310"/>
      <c r="K471" s="310"/>
      <c r="L471" s="310"/>
      <c r="M471" s="310"/>
      <c r="N471" s="310"/>
      <c r="O471" s="310"/>
      <c r="P471" s="310"/>
      <c r="Q471" s="310"/>
      <c r="R471" s="310"/>
      <c r="S471" s="310"/>
      <c r="T471" s="310"/>
      <c r="U471" s="310"/>
      <c r="V471" s="310"/>
      <c r="W471" s="310"/>
      <c r="X471" s="310"/>
      <c r="Y471" s="310"/>
      <c r="Z471" s="310"/>
      <c r="AA471" s="287">
        <f>Z641+($AI$471-$Y$641)/10</f>
        <v>8.1072037368774854</v>
      </c>
      <c r="AB471" s="287">
        <f t="shared" ref="AB471:AH471" si="48">AA471+($AI$471-$Y$641)/10</f>
        <v>8.1552847846985532</v>
      </c>
      <c r="AC471" s="287">
        <f t="shared" si="48"/>
        <v>8.203365832519621</v>
      </c>
      <c r="AD471" s="287">
        <f t="shared" si="48"/>
        <v>8.2514468803406888</v>
      </c>
      <c r="AE471" s="287">
        <f t="shared" si="48"/>
        <v>8.2995279281617567</v>
      </c>
      <c r="AF471" s="287">
        <f t="shared" si="48"/>
        <v>8.3476089759828245</v>
      </c>
      <c r="AG471" s="287">
        <f t="shared" si="48"/>
        <v>8.3956900238038923</v>
      </c>
      <c r="AH471" s="287">
        <f t="shared" si="48"/>
        <v>8.4437710716249601</v>
      </c>
      <c r="AI471" s="288">
        <f>T641*$E$742</f>
        <v>8.4918521194460261</v>
      </c>
      <c r="AJ471" s="287">
        <f>AI471+($AX$471-$AI$471)/15</f>
        <v>8.5879736457897184</v>
      </c>
      <c r="AK471" s="287">
        <f t="shared" ref="AK471:AW471" si="49">AJ471+($AX$471-$AI$471)/15</f>
        <v>8.6840951721334108</v>
      </c>
      <c r="AL471" s="287">
        <f t="shared" si="49"/>
        <v>8.7802166984771031</v>
      </c>
      <c r="AM471" s="287">
        <f t="shared" si="49"/>
        <v>8.8763382248207954</v>
      </c>
      <c r="AN471" s="287">
        <f t="shared" si="49"/>
        <v>8.9724597511644877</v>
      </c>
      <c r="AO471" s="287">
        <f t="shared" si="49"/>
        <v>9.06858127750818</v>
      </c>
      <c r="AP471" s="287">
        <f t="shared" si="49"/>
        <v>9.1647028038518723</v>
      </c>
      <c r="AQ471" s="287">
        <f t="shared" si="49"/>
        <v>9.2608243301955646</v>
      </c>
      <c r="AR471" s="287">
        <f t="shared" si="49"/>
        <v>9.3569458565392569</v>
      </c>
      <c r="AS471" s="287">
        <f t="shared" si="49"/>
        <v>9.4530673828829492</v>
      </c>
      <c r="AT471" s="287">
        <f t="shared" si="49"/>
        <v>9.5491889092266415</v>
      </c>
      <c r="AU471" s="287">
        <f t="shared" si="49"/>
        <v>9.6453104355703339</v>
      </c>
      <c r="AV471" s="287">
        <f t="shared" si="49"/>
        <v>9.7414319619140262</v>
      </c>
      <c r="AW471" s="287">
        <f t="shared" si="49"/>
        <v>9.8375534882577185</v>
      </c>
      <c r="AX471" s="288">
        <f>AI471*$B$742</f>
        <v>9.9336750146014001</v>
      </c>
      <c r="AY471" s="287">
        <f>AX471+($BM$471-$AX$471)/15</f>
        <v>10.032035813725209</v>
      </c>
      <c r="AZ471" s="287">
        <f t="shared" ref="AZ471:BL471" si="50">AY471+($BM$471-$AX$471)/15</f>
        <v>10.130396612849017</v>
      </c>
      <c r="BA471" s="287">
        <f t="shared" si="50"/>
        <v>10.228757411972826</v>
      </c>
      <c r="BB471" s="287">
        <f t="shared" si="50"/>
        <v>10.327118211096634</v>
      </c>
      <c r="BC471" s="287">
        <f t="shared" si="50"/>
        <v>10.425479010220442</v>
      </c>
      <c r="BD471" s="287">
        <f t="shared" si="50"/>
        <v>10.523839809344251</v>
      </c>
      <c r="BE471" s="287">
        <f t="shared" si="50"/>
        <v>10.622200608468059</v>
      </c>
      <c r="BF471" s="287">
        <f t="shared" si="50"/>
        <v>10.720561407591868</v>
      </c>
      <c r="BG471" s="287">
        <f t="shared" si="50"/>
        <v>10.818922206715676</v>
      </c>
      <c r="BH471" s="287">
        <f t="shared" si="50"/>
        <v>10.917283005839485</v>
      </c>
      <c r="BI471" s="287">
        <f t="shared" si="50"/>
        <v>11.015643804963293</v>
      </c>
      <c r="BJ471" s="287">
        <f t="shared" si="50"/>
        <v>11.114004604087102</v>
      </c>
      <c r="BK471" s="287">
        <f t="shared" si="50"/>
        <v>11.21236540321091</v>
      </c>
      <c r="BL471" s="287">
        <f t="shared" si="50"/>
        <v>11.310726202334719</v>
      </c>
      <c r="BM471" s="288">
        <f>AX471*$C$742</f>
        <v>11.409087001458516</v>
      </c>
      <c r="BN471" s="287">
        <f>BM471+($BR$471-$BM$471)/5</f>
        <v>11.522056966057418</v>
      </c>
      <c r="BO471" s="287">
        <f>BN471+($BR$471-$BM$471)/5</f>
        <v>11.63502693065632</v>
      </c>
      <c r="BP471" s="287">
        <f>BO471+($BR$471-$BM$471)/5</f>
        <v>11.747996895255222</v>
      </c>
      <c r="BQ471" s="287">
        <f>BP471+($BR$471-$BM$471)/5</f>
        <v>11.860966859854123</v>
      </c>
      <c r="BR471" s="288">
        <f>BM471*$D$742</f>
        <v>11.973936824453022</v>
      </c>
    </row>
    <row r="472" spans="1:70" ht="13" thickBot="1" x14ac:dyDescent="0.3">
      <c r="A472" s="310" t="s">
        <v>630</v>
      </c>
      <c r="B472" s="310"/>
      <c r="C472" s="310"/>
      <c r="D472" s="310"/>
      <c r="E472" s="310"/>
      <c r="F472" s="310"/>
      <c r="G472" s="310"/>
      <c r="H472" s="310"/>
      <c r="I472" s="310"/>
      <c r="J472" s="310"/>
      <c r="K472" s="310"/>
      <c r="L472" s="310"/>
      <c r="M472" s="310"/>
      <c r="N472" s="310"/>
      <c r="O472" s="310"/>
      <c r="P472" s="310"/>
      <c r="Q472" s="310"/>
      <c r="R472" s="310"/>
      <c r="S472" s="310"/>
      <c r="T472" s="310"/>
      <c r="U472" s="310"/>
      <c r="V472" s="310"/>
      <c r="W472" s="310"/>
      <c r="X472" s="310"/>
      <c r="Y472" s="310"/>
      <c r="Z472" s="310"/>
      <c r="AA472" s="289">
        <f>Z642+($AI$472-$Y$642)/10</f>
        <v>22.490795032640289</v>
      </c>
      <c r="AB472" s="289">
        <f t="shared" ref="AB472:AH472" si="51">AA472+($AI$472-$Y$642)/10</f>
        <v>22.394891584604984</v>
      </c>
      <c r="AC472" s="289">
        <f t="shared" si="51"/>
        <v>22.29898813656968</v>
      </c>
      <c r="AD472" s="289">
        <f t="shared" si="51"/>
        <v>22.203084688534375</v>
      </c>
      <c r="AE472" s="289">
        <f t="shared" si="51"/>
        <v>22.10718124049907</v>
      </c>
      <c r="AF472" s="289">
        <f t="shared" si="51"/>
        <v>22.011277792463765</v>
      </c>
      <c r="AG472" s="289">
        <f t="shared" si="51"/>
        <v>21.915374344428461</v>
      </c>
      <c r="AH472" s="289">
        <f t="shared" si="51"/>
        <v>21.819470896393156</v>
      </c>
      <c r="AI472" s="290">
        <f>T642*$E$745</f>
        <v>21.723567448357841</v>
      </c>
      <c r="AJ472" s="289">
        <f>AI472+($AX$472-$AI$472)/15</f>
        <v>21.715027463671497</v>
      </c>
      <c r="AK472" s="289">
        <f t="shared" ref="AK472:AW472" si="52">AJ472+($AX$472-$AI$472)/15</f>
        <v>21.706487478985153</v>
      </c>
      <c r="AL472" s="289">
        <f t="shared" si="52"/>
        <v>21.697947494298809</v>
      </c>
      <c r="AM472" s="289">
        <f t="shared" si="52"/>
        <v>21.689407509612465</v>
      </c>
      <c r="AN472" s="289">
        <f t="shared" si="52"/>
        <v>21.680867524926121</v>
      </c>
      <c r="AO472" s="289">
        <f t="shared" si="52"/>
        <v>21.672327540239777</v>
      </c>
      <c r="AP472" s="289">
        <f t="shared" si="52"/>
        <v>21.663787555553434</v>
      </c>
      <c r="AQ472" s="289">
        <f t="shared" si="52"/>
        <v>21.65524757086709</v>
      </c>
      <c r="AR472" s="289">
        <f t="shared" si="52"/>
        <v>21.646707586180746</v>
      </c>
      <c r="AS472" s="289">
        <f t="shared" si="52"/>
        <v>21.638167601494402</v>
      </c>
      <c r="AT472" s="289">
        <f t="shared" si="52"/>
        <v>21.629627616808058</v>
      </c>
      <c r="AU472" s="289">
        <f t="shared" si="52"/>
        <v>21.621087632121714</v>
      </c>
      <c r="AV472" s="289">
        <f t="shared" si="52"/>
        <v>21.61254764743537</v>
      </c>
      <c r="AW472" s="289">
        <f t="shared" si="52"/>
        <v>21.604007662749027</v>
      </c>
      <c r="AX472" s="290">
        <f>AI472*$B$745</f>
        <v>21.595467678062693</v>
      </c>
      <c r="AY472" s="289">
        <f>AX472+($BM$472-$AX$472)/15</f>
        <v>21.609186144316791</v>
      </c>
      <c r="AZ472" s="289">
        <f t="shared" ref="AZ472:BL472" si="53">AY472+($BM$472-$AX$472)/15</f>
        <v>21.622904610570888</v>
      </c>
      <c r="BA472" s="289">
        <f t="shared" si="53"/>
        <v>21.636623076824986</v>
      </c>
      <c r="BB472" s="289">
        <f t="shared" si="53"/>
        <v>21.650341543079083</v>
      </c>
      <c r="BC472" s="289">
        <f t="shared" si="53"/>
        <v>21.664060009333181</v>
      </c>
      <c r="BD472" s="289">
        <f t="shared" si="53"/>
        <v>21.677778475587278</v>
      </c>
      <c r="BE472" s="289">
        <f t="shared" si="53"/>
        <v>21.691496941841375</v>
      </c>
      <c r="BF472" s="289">
        <f t="shared" si="53"/>
        <v>21.705215408095473</v>
      </c>
      <c r="BG472" s="289">
        <f t="shared" si="53"/>
        <v>21.71893387434957</v>
      </c>
      <c r="BH472" s="289">
        <f t="shared" si="53"/>
        <v>21.732652340603668</v>
      </c>
      <c r="BI472" s="289">
        <f t="shared" si="53"/>
        <v>21.746370806857765</v>
      </c>
      <c r="BJ472" s="289">
        <f t="shared" si="53"/>
        <v>21.760089273111863</v>
      </c>
      <c r="BK472" s="289">
        <f t="shared" si="53"/>
        <v>21.77380773936596</v>
      </c>
      <c r="BL472" s="289">
        <f t="shared" si="53"/>
        <v>21.787526205620058</v>
      </c>
      <c r="BM472" s="290">
        <f>AX472*$C$745</f>
        <v>21.801244671874137</v>
      </c>
      <c r="BN472" s="289">
        <f>BM472+($BR$472-$BM$472)/5</f>
        <v>21.815093857443394</v>
      </c>
      <c r="BO472" s="289">
        <f>BN472+($BR$472-$BM$472)/5</f>
        <v>21.82894304301265</v>
      </c>
      <c r="BP472" s="289">
        <f>BO472+($BR$472-$BM$472)/5</f>
        <v>21.842792228581906</v>
      </c>
      <c r="BQ472" s="289">
        <f>BP472+($BR$472-$BM$472)/5</f>
        <v>21.856641414151163</v>
      </c>
      <c r="BR472" s="290">
        <f>BM472*$D$745</f>
        <v>21.870490599720426</v>
      </c>
    </row>
    <row r="473" spans="1:70" x14ac:dyDescent="0.25">
      <c r="A473" s="310" t="s">
        <v>631</v>
      </c>
      <c r="B473" s="310"/>
      <c r="C473" s="310"/>
      <c r="D473" s="310"/>
      <c r="E473" s="310"/>
      <c r="F473" s="310"/>
      <c r="G473" s="310"/>
      <c r="H473" s="310"/>
      <c r="I473" s="310"/>
      <c r="J473" s="310"/>
      <c r="K473" s="310"/>
      <c r="L473" s="310"/>
      <c r="M473" s="310"/>
      <c r="N473" s="310"/>
      <c r="O473" s="310"/>
      <c r="P473" s="310"/>
      <c r="Q473" s="310"/>
      <c r="R473" s="310"/>
      <c r="S473" s="310"/>
      <c r="T473" s="310"/>
      <c r="U473" s="310"/>
      <c r="V473" s="310"/>
      <c r="W473" s="310"/>
      <c r="X473" s="310"/>
      <c r="Y473" s="310"/>
      <c r="Z473" s="310"/>
    </row>
    <row r="474" spans="1:70" x14ac:dyDescent="0.25">
      <c r="A474" s="310" t="s">
        <v>632</v>
      </c>
      <c r="B474" s="310"/>
      <c r="C474" s="310"/>
      <c r="D474" s="310"/>
      <c r="E474" s="310"/>
      <c r="F474" s="310"/>
      <c r="G474" s="310"/>
      <c r="H474" s="310"/>
      <c r="I474" s="310"/>
      <c r="J474" s="310"/>
      <c r="K474" s="310"/>
      <c r="L474" s="310"/>
      <c r="M474" s="310"/>
      <c r="N474" s="310"/>
      <c r="O474" s="310"/>
      <c r="P474" s="310"/>
      <c r="Q474" s="310"/>
      <c r="R474" s="310"/>
      <c r="S474" s="310"/>
      <c r="T474" s="310"/>
      <c r="U474" s="310"/>
      <c r="V474" s="310"/>
      <c r="W474" s="310"/>
      <c r="X474" s="310"/>
      <c r="Y474" s="310"/>
      <c r="Z474" s="310"/>
    </row>
    <row r="475" spans="1:70" x14ac:dyDescent="0.25">
      <c r="A475" s="310" t="s">
        <v>648</v>
      </c>
      <c r="B475" s="310"/>
      <c r="C475" s="310"/>
      <c r="D475" s="310"/>
      <c r="E475" s="310"/>
      <c r="F475" s="310"/>
      <c r="G475" s="310"/>
      <c r="H475" s="310"/>
      <c r="I475" s="310"/>
      <c r="J475" s="310"/>
      <c r="K475" s="310"/>
      <c r="L475" s="310"/>
      <c r="M475" s="310"/>
      <c r="N475" s="310"/>
      <c r="O475" s="310"/>
      <c r="P475" s="310"/>
      <c r="Q475" s="310"/>
      <c r="R475" s="310"/>
      <c r="S475" s="310"/>
      <c r="T475" s="310"/>
      <c r="U475" s="310"/>
      <c r="V475" s="310"/>
      <c r="W475" s="310"/>
      <c r="X475" s="310"/>
      <c r="Y475" s="310"/>
      <c r="Z475" s="310"/>
    </row>
    <row r="476" spans="1:70" x14ac:dyDescent="0.25">
      <c r="A476" s="310" t="s">
        <v>542</v>
      </c>
      <c r="B476" s="310"/>
      <c r="C476" s="310"/>
      <c r="D476" s="310"/>
      <c r="E476" s="310"/>
      <c r="F476" s="310"/>
      <c r="G476" s="310"/>
      <c r="H476" s="310"/>
      <c r="I476" s="310"/>
      <c r="J476" s="310"/>
      <c r="K476" s="310"/>
      <c r="L476" s="310"/>
      <c r="M476" s="310"/>
      <c r="N476" s="310"/>
      <c r="O476" s="310"/>
      <c r="P476" s="310"/>
      <c r="Q476" s="310"/>
      <c r="R476" s="310"/>
      <c r="S476" s="310"/>
      <c r="T476" s="310"/>
      <c r="U476" s="310"/>
      <c r="V476" s="310"/>
      <c r="W476" s="310"/>
      <c r="X476" s="310"/>
      <c r="Y476" s="310"/>
      <c r="Z476" s="310"/>
    </row>
    <row r="477" spans="1:70" ht="52.5" customHeight="1" x14ac:dyDescent="0.25">
      <c r="A477" s="310" t="s">
        <v>649</v>
      </c>
      <c r="B477" s="310"/>
      <c r="C477" s="310"/>
      <c r="D477" s="310"/>
      <c r="E477" s="310"/>
      <c r="F477" s="310"/>
      <c r="G477" s="310"/>
      <c r="H477" s="310"/>
      <c r="I477" s="310"/>
      <c r="J477" s="310"/>
      <c r="K477" s="310"/>
      <c r="L477" s="310"/>
      <c r="M477" s="310"/>
      <c r="N477" s="310"/>
      <c r="O477" s="310"/>
      <c r="P477" s="310"/>
      <c r="Q477" s="310"/>
      <c r="R477" s="310"/>
      <c r="S477" s="310"/>
      <c r="T477" s="310"/>
      <c r="U477" s="310"/>
      <c r="V477" s="310"/>
      <c r="W477" s="310"/>
      <c r="X477" s="310"/>
      <c r="Y477" s="310"/>
      <c r="Z477" s="310"/>
    </row>
    <row r="478" spans="1:70" x14ac:dyDescent="0.25">
      <c r="A478" s="310" t="s">
        <v>650</v>
      </c>
      <c r="B478" s="310"/>
      <c r="C478" s="310"/>
      <c r="D478" s="310"/>
      <c r="E478" s="310"/>
      <c r="F478" s="310"/>
      <c r="G478" s="310"/>
      <c r="H478" s="310"/>
      <c r="I478" s="310"/>
      <c r="J478" s="310"/>
      <c r="K478" s="310"/>
      <c r="L478" s="310"/>
      <c r="M478" s="310"/>
      <c r="N478" s="310"/>
      <c r="O478" s="310"/>
      <c r="P478" s="310"/>
      <c r="Q478" s="310"/>
      <c r="R478" s="310"/>
      <c r="S478" s="310"/>
      <c r="T478" s="310"/>
      <c r="U478" s="310"/>
      <c r="V478" s="310"/>
      <c r="W478" s="310"/>
      <c r="X478" s="310"/>
      <c r="Y478" s="310"/>
      <c r="Z478" s="310"/>
    </row>
    <row r="479" spans="1:70" ht="13" thickBot="1" x14ac:dyDescent="0.3">
      <c r="A479" s="310" t="s">
        <v>651</v>
      </c>
      <c r="B479" s="310"/>
      <c r="C479" s="310"/>
      <c r="D479" s="310"/>
      <c r="E479" s="310"/>
      <c r="F479" s="310"/>
      <c r="G479" s="310"/>
      <c r="H479" s="310"/>
      <c r="I479" s="310"/>
      <c r="J479" s="310"/>
      <c r="K479" s="310"/>
      <c r="L479" s="310"/>
      <c r="M479" s="310"/>
      <c r="N479" s="310"/>
      <c r="O479" s="310"/>
      <c r="P479" s="310"/>
      <c r="Q479" s="310"/>
      <c r="R479" s="310"/>
      <c r="S479" s="310"/>
      <c r="T479" s="310"/>
      <c r="U479" s="310"/>
      <c r="V479" s="310"/>
      <c r="W479" s="310"/>
      <c r="X479" s="310"/>
      <c r="Y479" s="310"/>
      <c r="Z479" s="310"/>
    </row>
    <row r="480" spans="1:70" ht="13" thickBot="1" x14ac:dyDescent="0.3">
      <c r="A480" s="310" t="s">
        <v>652</v>
      </c>
      <c r="B480" s="310"/>
      <c r="C480" s="310"/>
      <c r="D480" s="310"/>
      <c r="E480" s="310"/>
      <c r="F480" s="310"/>
      <c r="G480" s="310"/>
      <c r="H480" s="310"/>
      <c r="I480" s="310"/>
      <c r="J480" s="310"/>
      <c r="K480" s="310"/>
      <c r="L480" s="310"/>
      <c r="M480" s="310"/>
      <c r="N480" s="310"/>
      <c r="O480" s="310"/>
      <c r="P480" s="310"/>
      <c r="Q480" s="310"/>
      <c r="R480" s="310"/>
      <c r="S480" s="310"/>
      <c r="T480" s="310"/>
      <c r="U480" s="310"/>
      <c r="V480" s="310"/>
      <c r="W480" s="310"/>
      <c r="X480" s="310"/>
      <c r="Y480" s="310"/>
      <c r="Z480" s="310"/>
      <c r="AA480" s="287">
        <f>Z650+($AI$480-$Y$650)/10</f>
        <v>5.5873463921161282</v>
      </c>
      <c r="AB480" s="287">
        <f t="shared" ref="AB480:AH480" si="54">AA480+($AI$480-$Y$650)/10</f>
        <v>5.6146233040707969</v>
      </c>
      <c r="AC480" s="287">
        <f t="shared" si="54"/>
        <v>5.6419002160254657</v>
      </c>
      <c r="AD480" s="287">
        <f t="shared" si="54"/>
        <v>5.6691771279801344</v>
      </c>
      <c r="AE480" s="287">
        <f t="shared" si="54"/>
        <v>5.6964540399348031</v>
      </c>
      <c r="AF480" s="287">
        <f t="shared" si="54"/>
        <v>5.7237309518894719</v>
      </c>
      <c r="AG480" s="287">
        <f t="shared" si="54"/>
        <v>5.7510078638441406</v>
      </c>
      <c r="AH480" s="287">
        <f t="shared" si="54"/>
        <v>5.7782847757988094</v>
      </c>
      <c r="AI480" s="288">
        <f>T650*$E$742</f>
        <v>5.8055616877534817</v>
      </c>
      <c r="AJ480" s="287">
        <f>AI480+($AX$480-$AI$480)/15</f>
        <v>5.8712763802445851</v>
      </c>
      <c r="AK480" s="287">
        <f t="shared" ref="AK480:AW480" si="55">AJ480+($AX$480-$AI$480)/15</f>
        <v>5.9369910727356885</v>
      </c>
      <c r="AL480" s="287">
        <f t="shared" si="55"/>
        <v>6.0027057652267919</v>
      </c>
      <c r="AM480" s="287">
        <f t="shared" si="55"/>
        <v>6.0684204577178953</v>
      </c>
      <c r="AN480" s="287">
        <f t="shared" si="55"/>
        <v>6.1341351502089987</v>
      </c>
      <c r="AO480" s="287">
        <f t="shared" si="55"/>
        <v>6.1998498427001021</v>
      </c>
      <c r="AP480" s="287">
        <f t="shared" si="55"/>
        <v>6.2655645351912055</v>
      </c>
      <c r="AQ480" s="287">
        <f t="shared" si="55"/>
        <v>6.3312792276823089</v>
      </c>
      <c r="AR480" s="287">
        <f t="shared" si="55"/>
        <v>6.3969939201734123</v>
      </c>
      <c r="AS480" s="287">
        <f t="shared" si="55"/>
        <v>6.4627086126645157</v>
      </c>
      <c r="AT480" s="287">
        <f t="shared" si="55"/>
        <v>6.5284233051556191</v>
      </c>
      <c r="AU480" s="287">
        <f t="shared" si="55"/>
        <v>6.5941379976467225</v>
      </c>
      <c r="AV480" s="287">
        <f t="shared" si="55"/>
        <v>6.6598526901378259</v>
      </c>
      <c r="AW480" s="287">
        <f t="shared" si="55"/>
        <v>6.7255673826289293</v>
      </c>
      <c r="AX480" s="288">
        <f>AI480*$B$742</f>
        <v>6.791282075120038</v>
      </c>
      <c r="AY480" s="287">
        <f>AX480+($BM$480-$AX$480)/15</f>
        <v>6.858527674659193</v>
      </c>
      <c r="AZ480" s="287">
        <f t="shared" ref="AZ480:BL480" si="56">AY480+($BM$480-$AX$480)/15</f>
        <v>6.925773274198348</v>
      </c>
      <c r="BA480" s="287">
        <f t="shared" si="56"/>
        <v>6.993018873737503</v>
      </c>
      <c r="BB480" s="287">
        <f t="shared" si="56"/>
        <v>7.060264473276658</v>
      </c>
      <c r="BC480" s="287">
        <f t="shared" si="56"/>
        <v>7.1275100728158129</v>
      </c>
      <c r="BD480" s="287">
        <f t="shared" si="56"/>
        <v>7.1947556723549679</v>
      </c>
      <c r="BE480" s="287">
        <f t="shared" si="56"/>
        <v>7.2620012718941229</v>
      </c>
      <c r="BF480" s="287">
        <f t="shared" si="56"/>
        <v>7.3292468714332779</v>
      </c>
      <c r="BG480" s="287">
        <f t="shared" si="56"/>
        <v>7.3964924709724329</v>
      </c>
      <c r="BH480" s="287">
        <f t="shared" si="56"/>
        <v>7.4637380705115879</v>
      </c>
      <c r="BI480" s="287">
        <f t="shared" si="56"/>
        <v>7.5309836700507429</v>
      </c>
      <c r="BJ480" s="287">
        <f t="shared" si="56"/>
        <v>7.5982292695898979</v>
      </c>
      <c r="BK480" s="287">
        <f t="shared" si="56"/>
        <v>7.6654748691290528</v>
      </c>
      <c r="BL480" s="287">
        <f t="shared" si="56"/>
        <v>7.7327204686682078</v>
      </c>
      <c r="BM480" s="288">
        <f>AX480*$C$742</f>
        <v>7.7999660682073682</v>
      </c>
      <c r="BN480" s="287">
        <f>BM480+($BR$480-$BM$480)/5</f>
        <v>7.8771994077800587</v>
      </c>
      <c r="BO480" s="287">
        <f>BN480+($BR$480-$BM$480)/5</f>
        <v>7.9544327473527492</v>
      </c>
      <c r="BP480" s="287">
        <f>BO480+($BR$480-$BM$480)/5</f>
        <v>8.0316660869254388</v>
      </c>
      <c r="BQ480" s="287">
        <f>BP480+($BR$480-$BM$480)/5</f>
        <v>8.1088994264981284</v>
      </c>
      <c r="BR480" s="288">
        <f>BM480*$D$742</f>
        <v>8.1861327660708199</v>
      </c>
    </row>
    <row r="481" spans="1:70" x14ac:dyDescent="0.25">
      <c r="A481" s="310" t="s">
        <v>653</v>
      </c>
      <c r="B481" s="310"/>
      <c r="C481" s="310"/>
      <c r="D481" s="310"/>
      <c r="E481" s="310"/>
      <c r="F481" s="310"/>
      <c r="G481" s="310"/>
      <c r="H481" s="310"/>
      <c r="I481" s="310"/>
      <c r="J481" s="310"/>
      <c r="K481" s="310"/>
      <c r="L481" s="310"/>
      <c r="M481" s="310"/>
      <c r="N481" s="310"/>
      <c r="O481" s="310"/>
      <c r="P481" s="310"/>
      <c r="Q481" s="310"/>
      <c r="R481" s="310"/>
      <c r="S481" s="310"/>
      <c r="T481" s="310"/>
      <c r="U481" s="310"/>
      <c r="V481" s="310"/>
      <c r="W481" s="310"/>
      <c r="X481" s="310"/>
      <c r="Y481" s="310"/>
      <c r="Z481" s="310"/>
    </row>
    <row r="482" spans="1:70" ht="13" thickBot="1" x14ac:dyDescent="0.3">
      <c r="A482" s="310" t="s">
        <v>654</v>
      </c>
      <c r="B482" s="310"/>
      <c r="C482" s="310"/>
      <c r="D482" s="310"/>
      <c r="E482" s="310"/>
      <c r="F482" s="310"/>
      <c r="G482" s="310"/>
      <c r="H482" s="310"/>
      <c r="I482" s="310"/>
      <c r="J482" s="310"/>
      <c r="K482" s="310"/>
      <c r="L482" s="310"/>
      <c r="M482" s="310"/>
      <c r="N482" s="310"/>
      <c r="O482" s="310"/>
      <c r="P482" s="310"/>
      <c r="Q482" s="310"/>
      <c r="R482" s="310"/>
      <c r="S482" s="310"/>
      <c r="T482" s="310"/>
      <c r="U482" s="310"/>
      <c r="V482" s="310"/>
      <c r="W482" s="310"/>
      <c r="X482" s="310"/>
      <c r="Y482" s="310"/>
      <c r="Z482" s="310"/>
    </row>
    <row r="483" spans="1:70" ht="13" thickBot="1" x14ac:dyDescent="0.3">
      <c r="A483" s="310" t="s">
        <v>545</v>
      </c>
      <c r="B483" s="310"/>
      <c r="C483" s="310"/>
      <c r="D483" s="310"/>
      <c r="E483" s="310"/>
      <c r="F483" s="310"/>
      <c r="G483" s="310"/>
      <c r="H483" s="310"/>
      <c r="I483" s="310"/>
      <c r="J483" s="310"/>
      <c r="K483" s="310"/>
      <c r="L483" s="310"/>
      <c r="M483" s="310"/>
      <c r="N483" s="310"/>
      <c r="O483" s="310"/>
      <c r="P483" s="310"/>
      <c r="Q483" s="310"/>
      <c r="R483" s="310"/>
      <c r="S483" s="310"/>
      <c r="T483" s="310"/>
      <c r="U483" s="310"/>
      <c r="V483" s="310"/>
      <c r="W483" s="310"/>
      <c r="X483" s="310"/>
      <c r="Y483" s="310"/>
      <c r="Z483" s="310"/>
      <c r="AA483" s="289">
        <f>Z653+($AI$483-$Y$653)/10</f>
        <v>15.747041087587585</v>
      </c>
      <c r="AB483" s="289">
        <f t="shared" ref="AB483:AH483" si="57">AA483+($AI$483-$Y$653)/10</f>
        <v>15.673905881106727</v>
      </c>
      <c r="AC483" s="289">
        <f t="shared" si="57"/>
        <v>15.600770674625869</v>
      </c>
      <c r="AD483" s="289">
        <f t="shared" si="57"/>
        <v>15.527635468145011</v>
      </c>
      <c r="AE483" s="289">
        <f t="shared" si="57"/>
        <v>15.454500261664153</v>
      </c>
      <c r="AF483" s="289">
        <f t="shared" si="57"/>
        <v>15.381365055183295</v>
      </c>
      <c r="AG483" s="289">
        <f t="shared" si="57"/>
        <v>15.308229848702437</v>
      </c>
      <c r="AH483" s="289">
        <f t="shared" si="57"/>
        <v>15.235094642221579</v>
      </c>
      <c r="AI483" s="290">
        <f>T653*$E$745</f>
        <v>15.161959435740725</v>
      </c>
      <c r="AJ483" s="289">
        <f>AI483+($AX$483-$AI$483)/15</f>
        <v>15.155998955184113</v>
      </c>
      <c r="AK483" s="289">
        <f t="shared" ref="AK483:AW483" si="58">AJ483+($AX$483-$AI$483)/15</f>
        <v>15.150038474627502</v>
      </c>
      <c r="AL483" s="289">
        <f t="shared" si="58"/>
        <v>15.144077994070891</v>
      </c>
      <c r="AM483" s="289">
        <f t="shared" si="58"/>
        <v>15.138117513514279</v>
      </c>
      <c r="AN483" s="289">
        <f t="shared" si="58"/>
        <v>15.132157032957668</v>
      </c>
      <c r="AO483" s="289">
        <f t="shared" si="58"/>
        <v>15.126196552401057</v>
      </c>
      <c r="AP483" s="289">
        <f t="shared" si="58"/>
        <v>15.120236071844445</v>
      </c>
      <c r="AQ483" s="289">
        <f t="shared" si="58"/>
        <v>15.114275591287834</v>
      </c>
      <c r="AR483" s="289">
        <f t="shared" si="58"/>
        <v>15.108315110731223</v>
      </c>
      <c r="AS483" s="289">
        <f t="shared" si="58"/>
        <v>15.102354630174611</v>
      </c>
      <c r="AT483" s="289">
        <f t="shared" si="58"/>
        <v>15.096394149618</v>
      </c>
      <c r="AU483" s="289">
        <f t="shared" si="58"/>
        <v>15.090433669061388</v>
      </c>
      <c r="AV483" s="289">
        <f t="shared" si="58"/>
        <v>15.084473188504777</v>
      </c>
      <c r="AW483" s="289">
        <f t="shared" si="58"/>
        <v>15.078512707948166</v>
      </c>
      <c r="AX483" s="290">
        <f>AI483*$B$745</f>
        <v>15.072552227391549</v>
      </c>
      <c r="AY483" s="289">
        <f>AX483+($BM$483-$AX$483)/15</f>
        <v>15.082127028094042</v>
      </c>
      <c r="AZ483" s="289">
        <f t="shared" ref="AZ483:BL483" si="59">AY483+($BM$483-$AX$483)/15</f>
        <v>15.091701828796536</v>
      </c>
      <c r="BA483" s="289">
        <f t="shared" si="59"/>
        <v>15.101276629499029</v>
      </c>
      <c r="BB483" s="289">
        <f t="shared" si="59"/>
        <v>15.110851430201523</v>
      </c>
      <c r="BC483" s="289">
        <f t="shared" si="59"/>
        <v>15.120426230904016</v>
      </c>
      <c r="BD483" s="289">
        <f t="shared" si="59"/>
        <v>15.130001031606509</v>
      </c>
      <c r="BE483" s="289">
        <f t="shared" si="59"/>
        <v>15.139575832309003</v>
      </c>
      <c r="BF483" s="289">
        <f t="shared" si="59"/>
        <v>15.149150633011496</v>
      </c>
      <c r="BG483" s="289">
        <f t="shared" si="59"/>
        <v>15.15872543371399</v>
      </c>
      <c r="BH483" s="289">
        <f t="shared" si="59"/>
        <v>15.168300234416483</v>
      </c>
      <c r="BI483" s="289">
        <f t="shared" si="59"/>
        <v>15.177875035118976</v>
      </c>
      <c r="BJ483" s="289">
        <f t="shared" si="59"/>
        <v>15.18744983582147</v>
      </c>
      <c r="BK483" s="289">
        <f t="shared" si="59"/>
        <v>15.197024636523963</v>
      </c>
      <c r="BL483" s="289">
        <f t="shared" si="59"/>
        <v>15.206599437226457</v>
      </c>
      <c r="BM483" s="290">
        <f>AX483*$C$745</f>
        <v>15.216174237928941</v>
      </c>
      <c r="BN483" s="289">
        <f>BM483+($BR$483-$BM$483)/5</f>
        <v>15.225840274150585</v>
      </c>
      <c r="BO483" s="289">
        <f>BN483+($BR$483-$BM$483)/5</f>
        <v>15.235506310372228</v>
      </c>
      <c r="BP483" s="289">
        <f>BO483+($BR$483-$BM$483)/5</f>
        <v>15.245172346593872</v>
      </c>
      <c r="BQ483" s="289">
        <f>BP483+($BR$483-$BM$483)/5</f>
        <v>15.254838382815516</v>
      </c>
      <c r="BR483" s="290">
        <f>BM483*$D$745</f>
        <v>15.264504419037157</v>
      </c>
    </row>
    <row r="484" spans="1:70" x14ac:dyDescent="0.25">
      <c r="A484" s="310" t="s">
        <v>655</v>
      </c>
      <c r="B484" s="310"/>
      <c r="C484" s="310"/>
      <c r="D484" s="310"/>
      <c r="E484" s="310"/>
      <c r="F484" s="310"/>
      <c r="G484" s="310"/>
      <c r="H484" s="310"/>
      <c r="I484" s="310"/>
      <c r="J484" s="310"/>
      <c r="K484" s="310"/>
      <c r="L484" s="310"/>
      <c r="M484" s="310"/>
      <c r="N484" s="310"/>
      <c r="O484" s="310"/>
      <c r="P484" s="310"/>
      <c r="Q484" s="310"/>
      <c r="R484" s="310"/>
      <c r="S484" s="310"/>
      <c r="T484" s="310"/>
      <c r="U484" s="310"/>
      <c r="V484" s="310"/>
      <c r="W484" s="310"/>
      <c r="X484" s="310"/>
      <c r="Y484" s="310"/>
      <c r="Z484" s="310"/>
    </row>
    <row r="485" spans="1:70" x14ac:dyDescent="0.25">
      <c r="A485" s="310" t="s">
        <v>656</v>
      </c>
      <c r="B485" s="310"/>
      <c r="C485" s="310"/>
      <c r="D485" s="310"/>
      <c r="E485" s="310"/>
      <c r="F485" s="310"/>
      <c r="G485" s="310"/>
      <c r="H485" s="310"/>
      <c r="I485" s="310"/>
      <c r="J485" s="310"/>
      <c r="K485" s="310"/>
      <c r="L485" s="310"/>
      <c r="M485" s="310"/>
      <c r="N485" s="310"/>
      <c r="O485" s="310"/>
      <c r="P485" s="310"/>
      <c r="Q485" s="310"/>
      <c r="R485" s="310"/>
      <c r="S485" s="310"/>
      <c r="T485" s="310"/>
      <c r="U485" s="310"/>
      <c r="V485" s="310"/>
      <c r="W485" s="310"/>
      <c r="X485" s="310"/>
      <c r="Y485" s="310"/>
      <c r="Z485" s="310"/>
    </row>
    <row r="486" spans="1:70" x14ac:dyDescent="0.25">
      <c r="A486" s="310" t="s">
        <v>657</v>
      </c>
      <c r="B486" s="310"/>
      <c r="C486" s="310"/>
      <c r="D486" s="310"/>
      <c r="E486" s="310"/>
      <c r="F486" s="310"/>
      <c r="G486" s="310"/>
      <c r="H486" s="310"/>
      <c r="I486" s="310"/>
      <c r="J486" s="310"/>
      <c r="K486" s="310"/>
      <c r="L486" s="310"/>
      <c r="M486" s="310"/>
      <c r="N486" s="310"/>
      <c r="O486" s="310"/>
      <c r="P486" s="310"/>
      <c r="Q486" s="310"/>
      <c r="R486" s="310"/>
      <c r="S486" s="310"/>
      <c r="T486" s="310"/>
      <c r="U486" s="310"/>
      <c r="V486" s="310"/>
      <c r="W486" s="310"/>
      <c r="X486" s="310"/>
      <c r="Y486" s="310"/>
      <c r="Z486" s="310"/>
    </row>
    <row r="487" spans="1:70" ht="13" thickBot="1" x14ac:dyDescent="0.3">
      <c r="A487" s="310" t="s">
        <v>658</v>
      </c>
      <c r="B487" s="310"/>
      <c r="C487" s="310"/>
      <c r="D487" s="310"/>
      <c r="E487" s="310"/>
      <c r="F487" s="310"/>
      <c r="G487" s="310"/>
      <c r="H487" s="310"/>
      <c r="I487" s="310"/>
      <c r="J487" s="310"/>
      <c r="K487" s="310"/>
      <c r="L487" s="310"/>
      <c r="M487" s="310"/>
      <c r="N487" s="310"/>
      <c r="O487" s="310"/>
      <c r="P487" s="310"/>
      <c r="Q487" s="310"/>
      <c r="R487" s="310"/>
      <c r="S487" s="310"/>
      <c r="T487" s="310"/>
      <c r="U487" s="310"/>
      <c r="V487" s="310"/>
      <c r="W487" s="310"/>
      <c r="X487" s="310"/>
      <c r="Y487" s="310"/>
      <c r="Z487" s="310"/>
    </row>
    <row r="488" spans="1:70" ht="13" thickBot="1" x14ac:dyDescent="0.3">
      <c r="A488" s="310" t="s">
        <v>659</v>
      </c>
      <c r="B488" s="310"/>
      <c r="C488" s="310"/>
      <c r="D488" s="310"/>
      <c r="E488" s="310"/>
      <c r="F488" s="310"/>
      <c r="G488" s="310"/>
      <c r="H488" s="310"/>
      <c r="I488" s="310"/>
      <c r="J488" s="310"/>
      <c r="K488" s="310"/>
      <c r="L488" s="310"/>
      <c r="M488" s="310"/>
      <c r="N488" s="310"/>
      <c r="O488" s="310"/>
      <c r="P488" s="310"/>
      <c r="Q488" s="310"/>
      <c r="R488" s="310"/>
      <c r="S488" s="310"/>
      <c r="T488" s="310"/>
      <c r="U488" s="310"/>
      <c r="V488" s="310"/>
      <c r="W488" s="310"/>
      <c r="X488" s="310"/>
      <c r="Y488" s="310"/>
      <c r="Z488" s="310"/>
      <c r="AA488" s="291">
        <f>Z658+($AI$488-$Y$658)/10</f>
        <v>13.224797394153365</v>
      </c>
      <c r="AB488" s="291">
        <f t="shared" ref="AB488:AH488" si="60">AA488+($AI$488-$Y$658)/10</f>
        <v>13.589441040570847</v>
      </c>
      <c r="AC488" s="291">
        <f t="shared" si="60"/>
        <v>13.954084686988329</v>
      </c>
      <c r="AD488" s="291">
        <f t="shared" si="60"/>
        <v>14.318728333405812</v>
      </c>
      <c r="AE488" s="291">
        <f t="shared" si="60"/>
        <v>14.683371979823294</v>
      </c>
      <c r="AF488" s="291">
        <f t="shared" si="60"/>
        <v>15.048015626240776</v>
      </c>
      <c r="AG488" s="291">
        <f t="shared" si="60"/>
        <v>15.412659272658258</v>
      </c>
      <c r="AH488" s="291">
        <f t="shared" si="60"/>
        <v>15.777302919075741</v>
      </c>
      <c r="AI488" s="292">
        <f>T658*$E$744</f>
        <v>16.141946565493228</v>
      </c>
      <c r="AJ488" s="291">
        <f>AI488+($AX$488-$AI$488)/15</f>
        <v>16.312798018423909</v>
      </c>
      <c r="AK488" s="291">
        <f t="shared" ref="AK488:AW488" si="61">AJ488+($AX$488-$AI$488)/15</f>
        <v>16.483649471354589</v>
      </c>
      <c r="AL488" s="291">
        <f t="shared" si="61"/>
        <v>16.654500924285269</v>
      </c>
      <c r="AM488" s="291">
        <f t="shared" si="61"/>
        <v>16.82535237721595</v>
      </c>
      <c r="AN488" s="291">
        <f t="shared" si="61"/>
        <v>16.99620383014663</v>
      </c>
      <c r="AO488" s="291">
        <f t="shared" si="61"/>
        <v>17.16705528307731</v>
      </c>
      <c r="AP488" s="291">
        <f t="shared" si="61"/>
        <v>17.337906736007991</v>
      </c>
      <c r="AQ488" s="291">
        <f t="shared" si="61"/>
        <v>17.508758188938671</v>
      </c>
      <c r="AR488" s="291">
        <f t="shared" si="61"/>
        <v>17.679609641869352</v>
      </c>
      <c r="AS488" s="291">
        <f t="shared" si="61"/>
        <v>17.850461094800032</v>
      </c>
      <c r="AT488" s="291">
        <f t="shared" si="61"/>
        <v>18.021312547730712</v>
      </c>
      <c r="AU488" s="291">
        <f t="shared" si="61"/>
        <v>18.192164000661393</v>
      </c>
      <c r="AV488" s="291">
        <f t="shared" si="61"/>
        <v>18.363015453592073</v>
      </c>
      <c r="AW488" s="291">
        <f t="shared" si="61"/>
        <v>18.533866906522753</v>
      </c>
      <c r="AX488" s="292">
        <f>AI488*$B$744</f>
        <v>18.704718359453445</v>
      </c>
      <c r="AY488" s="291">
        <f>AX488+($BM$488-$AX$488)/15</f>
        <v>18.811222625087144</v>
      </c>
      <c r="AZ488" s="291">
        <f t="shared" ref="AZ488:BL488" si="62">AY488+($BM$488-$AX$488)/15</f>
        <v>18.917726890720843</v>
      </c>
      <c r="BA488" s="291">
        <f t="shared" si="62"/>
        <v>19.024231156354542</v>
      </c>
      <c r="BB488" s="291">
        <f t="shared" si="62"/>
        <v>19.130735421988241</v>
      </c>
      <c r="BC488" s="291">
        <f t="shared" si="62"/>
        <v>19.23723968762194</v>
      </c>
      <c r="BD488" s="291">
        <f t="shared" si="62"/>
        <v>19.34374395325564</v>
      </c>
      <c r="BE488" s="291">
        <f t="shared" si="62"/>
        <v>19.450248218889339</v>
      </c>
      <c r="BF488" s="291">
        <f t="shared" si="62"/>
        <v>19.556752484523038</v>
      </c>
      <c r="BG488" s="291">
        <f t="shared" si="62"/>
        <v>19.663256750156737</v>
      </c>
      <c r="BH488" s="291">
        <f t="shared" si="62"/>
        <v>19.769761015790436</v>
      </c>
      <c r="BI488" s="291">
        <f t="shared" si="62"/>
        <v>19.876265281424136</v>
      </c>
      <c r="BJ488" s="291">
        <f t="shared" si="62"/>
        <v>19.982769547057835</v>
      </c>
      <c r="BK488" s="291">
        <f t="shared" si="62"/>
        <v>20.089273812691534</v>
      </c>
      <c r="BL488" s="291">
        <f t="shared" si="62"/>
        <v>20.195778078325233</v>
      </c>
      <c r="BM488" s="292">
        <f>AX488*$C$744</f>
        <v>20.302282343958908</v>
      </c>
      <c r="BN488" s="291">
        <f>BM488+($BR$488-$BM$488)/5</f>
        <v>20.417883104696291</v>
      </c>
      <c r="BO488" s="291">
        <f>BN488+($BR$488-$BM$488)/5</f>
        <v>20.533483865433674</v>
      </c>
      <c r="BP488" s="291">
        <f>BO488+($BR$488-$BM$488)/5</f>
        <v>20.649084626171057</v>
      </c>
      <c r="BQ488" s="291">
        <f>BP488+($BR$488-$BM$488)/5</f>
        <v>20.76468538690844</v>
      </c>
      <c r="BR488" s="292">
        <f>BM488*$D$744</f>
        <v>20.880286147645826</v>
      </c>
    </row>
    <row r="489" spans="1:70" ht="13" thickBot="1" x14ac:dyDescent="0.3">
      <c r="A489" s="310" t="s">
        <v>660</v>
      </c>
      <c r="B489" s="310"/>
      <c r="C489" s="310"/>
      <c r="D489" s="310"/>
      <c r="E489" s="310"/>
      <c r="F489" s="310"/>
      <c r="G489" s="310"/>
      <c r="H489" s="310"/>
      <c r="I489" s="310"/>
      <c r="J489" s="310"/>
      <c r="K489" s="310"/>
      <c r="L489" s="310"/>
      <c r="M489" s="310"/>
      <c r="N489" s="310"/>
      <c r="O489" s="310"/>
      <c r="P489" s="310"/>
      <c r="Q489" s="310"/>
      <c r="R489" s="310"/>
      <c r="S489" s="310"/>
      <c r="T489" s="310"/>
      <c r="U489" s="310"/>
      <c r="V489" s="310"/>
      <c r="W489" s="310"/>
      <c r="X489" s="310"/>
      <c r="Y489" s="310"/>
      <c r="Z489" s="310"/>
    </row>
    <row r="490" spans="1:70" ht="13" thickBot="1" x14ac:dyDescent="0.3">
      <c r="A490" s="310" t="s">
        <v>661</v>
      </c>
      <c r="B490" s="310"/>
      <c r="C490" s="310"/>
      <c r="D490" s="310"/>
      <c r="E490" s="310"/>
      <c r="F490" s="310"/>
      <c r="G490" s="310"/>
      <c r="H490" s="310"/>
      <c r="I490" s="310"/>
      <c r="J490" s="310"/>
      <c r="K490" s="310"/>
      <c r="L490" s="310"/>
      <c r="M490" s="310"/>
      <c r="N490" s="310"/>
      <c r="O490" s="310"/>
      <c r="P490" s="310"/>
      <c r="Q490" s="310"/>
      <c r="R490" s="310"/>
      <c r="S490" s="310"/>
      <c r="T490" s="310"/>
      <c r="U490" s="310"/>
      <c r="V490" s="310"/>
      <c r="W490" s="310"/>
      <c r="X490" s="310"/>
      <c r="Y490" s="310"/>
      <c r="Z490" s="310"/>
      <c r="AA490" s="291">
        <f>Z660+($AI$490-$Y$660)/10</f>
        <v>15.4577980437679</v>
      </c>
      <c r="AB490" s="291">
        <f t="shared" ref="AB490:AH490" si="63">AA490+($AI$490-$Y$660)/10</f>
        <v>15.88385635596555</v>
      </c>
      <c r="AC490" s="291">
        <f t="shared" si="63"/>
        <v>16.309914668163202</v>
      </c>
      <c r="AD490" s="291">
        <f t="shared" si="63"/>
        <v>16.735972980360852</v>
      </c>
      <c r="AE490" s="291">
        <f t="shared" si="63"/>
        <v>17.162031292558503</v>
      </c>
      <c r="AF490" s="291">
        <f t="shared" si="63"/>
        <v>17.588089604756153</v>
      </c>
      <c r="AG490" s="291">
        <f t="shared" si="63"/>
        <v>18.014147916953803</v>
      </c>
      <c r="AH490" s="291">
        <f t="shared" si="63"/>
        <v>18.440206229151453</v>
      </c>
      <c r="AI490" s="292">
        <f>T660*$E$744</f>
        <v>18.866264541349103</v>
      </c>
      <c r="AJ490" s="291">
        <f>AI490+($AX$490-$AI$490)/15</f>
        <v>19.065951034869943</v>
      </c>
      <c r="AK490" s="291">
        <f t="shared" ref="AK490:AW490" si="64">AJ490+($AX$490-$AI$490)/15</f>
        <v>19.265637528390783</v>
      </c>
      <c r="AL490" s="291">
        <f t="shared" si="64"/>
        <v>19.465324021911623</v>
      </c>
      <c r="AM490" s="291">
        <f t="shared" si="64"/>
        <v>19.665010515432463</v>
      </c>
      <c r="AN490" s="291">
        <f t="shared" si="64"/>
        <v>19.864697008953303</v>
      </c>
      <c r="AO490" s="291">
        <f t="shared" si="64"/>
        <v>20.064383502474143</v>
      </c>
      <c r="AP490" s="291">
        <f t="shared" si="64"/>
        <v>20.264069995994983</v>
      </c>
      <c r="AQ490" s="291">
        <f t="shared" si="64"/>
        <v>20.463756489515823</v>
      </c>
      <c r="AR490" s="291">
        <f t="shared" si="64"/>
        <v>20.663442983036663</v>
      </c>
      <c r="AS490" s="291">
        <f t="shared" si="64"/>
        <v>20.863129476557503</v>
      </c>
      <c r="AT490" s="291">
        <f t="shared" si="64"/>
        <v>21.062815970078343</v>
      </c>
      <c r="AU490" s="291">
        <f t="shared" si="64"/>
        <v>21.262502463599183</v>
      </c>
      <c r="AV490" s="291">
        <f t="shared" si="64"/>
        <v>21.462188957120024</v>
      </c>
      <c r="AW490" s="291">
        <f t="shared" si="64"/>
        <v>21.661875450640864</v>
      </c>
      <c r="AX490" s="292">
        <f>AI490*$B$744</f>
        <v>21.861561944161682</v>
      </c>
      <c r="AY490" s="291">
        <f>AX490+($BM$490-$AX$490)/15</f>
        <v>21.986041209538687</v>
      </c>
      <c r="AZ490" s="291">
        <f t="shared" ref="AZ490:BL490" si="65">AY490+($BM$490-$AX$490)/15</f>
        <v>22.110520474915692</v>
      </c>
      <c r="BA490" s="291">
        <f t="shared" si="65"/>
        <v>22.234999740292697</v>
      </c>
      <c r="BB490" s="291">
        <f t="shared" si="65"/>
        <v>22.359479005669701</v>
      </c>
      <c r="BC490" s="291">
        <f t="shared" si="65"/>
        <v>22.483958271046706</v>
      </c>
      <c r="BD490" s="291">
        <f t="shared" si="65"/>
        <v>22.608437536423711</v>
      </c>
      <c r="BE490" s="291">
        <f t="shared" si="65"/>
        <v>22.732916801800716</v>
      </c>
      <c r="BF490" s="291">
        <f t="shared" si="65"/>
        <v>22.857396067177721</v>
      </c>
      <c r="BG490" s="291">
        <f t="shared" si="65"/>
        <v>22.981875332554726</v>
      </c>
      <c r="BH490" s="291">
        <f t="shared" si="65"/>
        <v>23.10635459793173</v>
      </c>
      <c r="BI490" s="291">
        <f t="shared" si="65"/>
        <v>23.230833863308735</v>
      </c>
      <c r="BJ490" s="291">
        <f t="shared" si="65"/>
        <v>23.35531312868574</v>
      </c>
      <c r="BK490" s="291">
        <f t="shared" si="65"/>
        <v>23.479792394062745</v>
      </c>
      <c r="BL490" s="291">
        <f t="shared" si="65"/>
        <v>23.60427165943975</v>
      </c>
      <c r="BM490" s="292">
        <f>AX490*$C$744</f>
        <v>23.728750924816747</v>
      </c>
      <c r="BN490" s="291">
        <f>BM490+($BR$490-$BM$490)/5</f>
        <v>23.863861924249427</v>
      </c>
      <c r="BO490" s="291">
        <f>BN490+($BR$490-$BM$490)/5</f>
        <v>23.998972923682107</v>
      </c>
      <c r="BP490" s="291">
        <f>BO490+($BR$490-$BM$490)/5</f>
        <v>24.134083923114787</v>
      </c>
      <c r="BQ490" s="291">
        <f>BP490+($BR$490-$BM$490)/5</f>
        <v>24.269194922547467</v>
      </c>
      <c r="BR490" s="292">
        <f>BM490*$D$744</f>
        <v>24.404305921980139</v>
      </c>
    </row>
    <row r="491" spans="1:70" x14ac:dyDescent="0.25">
      <c r="A491" s="310" t="s">
        <v>663</v>
      </c>
      <c r="B491" s="310"/>
      <c r="C491" s="310"/>
      <c r="D491" s="310"/>
      <c r="E491" s="310"/>
      <c r="F491" s="310"/>
      <c r="G491" s="310"/>
      <c r="H491" s="310"/>
      <c r="I491" s="310"/>
      <c r="J491" s="310"/>
      <c r="K491" s="310"/>
      <c r="L491" s="310"/>
      <c r="M491" s="310"/>
      <c r="N491" s="310"/>
      <c r="O491" s="310"/>
      <c r="P491" s="310"/>
      <c r="Q491" s="310"/>
      <c r="R491" s="310"/>
      <c r="S491" s="310"/>
      <c r="T491" s="310"/>
      <c r="U491" s="310"/>
      <c r="V491" s="310"/>
      <c r="W491" s="310"/>
      <c r="X491" s="310"/>
      <c r="Y491" s="310"/>
      <c r="Z491" s="310"/>
    </row>
    <row r="492" spans="1:70" x14ac:dyDescent="0.25">
      <c r="A492" s="310" t="s">
        <v>926</v>
      </c>
      <c r="B492" s="310"/>
      <c r="C492" s="310"/>
      <c r="D492" s="310"/>
      <c r="E492" s="310"/>
      <c r="F492" s="310"/>
      <c r="G492" s="310"/>
      <c r="H492" s="310"/>
      <c r="I492" s="310"/>
      <c r="J492" s="310"/>
      <c r="K492" s="310"/>
      <c r="L492" s="310"/>
      <c r="M492" s="310"/>
      <c r="N492" s="310"/>
      <c r="O492" s="310"/>
      <c r="P492" s="310"/>
      <c r="Q492" s="310"/>
      <c r="R492" s="310"/>
      <c r="S492" s="310"/>
      <c r="T492" s="310"/>
      <c r="U492" s="310"/>
      <c r="V492" s="310"/>
      <c r="W492" s="310"/>
      <c r="X492" s="310"/>
      <c r="Y492" s="310"/>
      <c r="Z492" s="310"/>
    </row>
    <row r="493" spans="1:70" ht="13" thickBot="1" x14ac:dyDescent="0.3">
      <c r="A493" s="310" t="s">
        <v>927</v>
      </c>
      <c r="B493" s="310"/>
      <c r="C493" s="310"/>
      <c r="D493" s="310"/>
      <c r="E493" s="310"/>
      <c r="F493" s="310"/>
      <c r="G493" s="310"/>
      <c r="H493" s="310"/>
      <c r="I493" s="310"/>
      <c r="J493" s="310"/>
      <c r="K493" s="310"/>
      <c r="L493" s="310"/>
      <c r="M493" s="310"/>
      <c r="N493" s="310"/>
      <c r="O493" s="310"/>
      <c r="P493" s="310"/>
      <c r="Q493" s="310"/>
      <c r="R493" s="310"/>
      <c r="S493" s="310"/>
      <c r="T493" s="310"/>
      <c r="U493" s="310"/>
      <c r="V493" s="310"/>
      <c r="W493" s="310"/>
      <c r="X493" s="310"/>
      <c r="Y493" s="310"/>
      <c r="Z493" s="310"/>
    </row>
    <row r="494" spans="1:70" ht="13" thickBot="1" x14ac:dyDescent="0.3">
      <c r="A494" s="310" t="s">
        <v>949</v>
      </c>
      <c r="B494" s="310"/>
      <c r="C494" s="310"/>
      <c r="D494" s="310"/>
      <c r="E494" s="310"/>
      <c r="F494" s="310"/>
      <c r="G494" s="310"/>
      <c r="H494" s="310"/>
      <c r="I494" s="310"/>
      <c r="J494" s="310"/>
      <c r="K494" s="310"/>
      <c r="L494" s="310"/>
      <c r="M494" s="310"/>
      <c r="N494" s="310"/>
      <c r="O494" s="310"/>
      <c r="P494" s="310"/>
      <c r="Q494" s="310"/>
      <c r="R494" s="310"/>
      <c r="S494" s="310"/>
      <c r="T494" s="310"/>
      <c r="U494" s="310"/>
      <c r="V494" s="310"/>
      <c r="W494" s="310"/>
      <c r="X494" s="310"/>
      <c r="Y494" s="310"/>
      <c r="Z494" s="310"/>
      <c r="AA494" s="293">
        <f>Z664+($AI$494-$Y$664)/10</f>
        <v>19.493346965415647</v>
      </c>
      <c r="AB494" s="293">
        <f t="shared" ref="AB494:AH494" si="66">AA494+($AI$494-$Y$664)/10</f>
        <v>19.39274662152437</v>
      </c>
      <c r="AC494" s="293">
        <f t="shared" si="66"/>
        <v>19.292146277633094</v>
      </c>
      <c r="AD494" s="293">
        <f t="shared" si="66"/>
        <v>19.191545933741818</v>
      </c>
      <c r="AE494" s="293">
        <f t="shared" si="66"/>
        <v>19.090945589850541</v>
      </c>
      <c r="AF494" s="293">
        <f t="shared" si="66"/>
        <v>18.990345245959265</v>
      </c>
      <c r="AG494" s="293">
        <f t="shared" si="66"/>
        <v>18.889744902067989</v>
      </c>
      <c r="AH494" s="293">
        <f t="shared" si="66"/>
        <v>18.789144558176712</v>
      </c>
      <c r="AI494" s="294">
        <f>T664*$E$747</f>
        <v>18.68854421428545</v>
      </c>
      <c r="AJ494" s="293">
        <f>AI494+($AX$494-$AI$494)/15</f>
        <v>18.700972398006513</v>
      </c>
      <c r="AK494" s="293">
        <f t="shared" ref="AK494:AW494" si="67">AJ494+($AX$494-$AI$494)/15</f>
        <v>18.713400581727576</v>
      </c>
      <c r="AL494" s="293">
        <f t="shared" si="67"/>
        <v>18.72582876544864</v>
      </c>
      <c r="AM494" s="293">
        <f t="shared" si="67"/>
        <v>18.738256949169703</v>
      </c>
      <c r="AN494" s="293">
        <f t="shared" si="67"/>
        <v>18.750685132890766</v>
      </c>
      <c r="AO494" s="293">
        <f t="shared" si="67"/>
        <v>18.763113316611829</v>
      </c>
      <c r="AP494" s="293">
        <f t="shared" si="67"/>
        <v>18.775541500332892</v>
      </c>
      <c r="AQ494" s="293">
        <f t="shared" si="67"/>
        <v>18.787969684053955</v>
      </c>
      <c r="AR494" s="293">
        <f t="shared" si="67"/>
        <v>18.800397867775018</v>
      </c>
      <c r="AS494" s="293">
        <f t="shared" si="67"/>
        <v>18.812826051496081</v>
      </c>
      <c r="AT494" s="293">
        <f t="shared" si="67"/>
        <v>18.825254235217145</v>
      </c>
      <c r="AU494" s="293">
        <f t="shared" si="67"/>
        <v>18.837682418938208</v>
      </c>
      <c r="AV494" s="293">
        <f t="shared" si="67"/>
        <v>18.850110602659271</v>
      </c>
      <c r="AW494" s="293">
        <f t="shared" si="67"/>
        <v>18.862538786380334</v>
      </c>
      <c r="AX494" s="294">
        <f>AI494*$B$747</f>
        <v>18.874966970101411</v>
      </c>
      <c r="AY494" s="293">
        <f>AX494+($BM$494-$AX$494)/15</f>
        <v>18.881381252955478</v>
      </c>
      <c r="AZ494" s="293">
        <f t="shared" ref="AZ494:BL494" si="68">AY494+($BM$494-$AX$494)/15</f>
        <v>18.887795535809545</v>
      </c>
      <c r="BA494" s="293">
        <f t="shared" si="68"/>
        <v>18.894209818663612</v>
      </c>
      <c r="BB494" s="293">
        <f t="shared" si="68"/>
        <v>18.900624101517678</v>
      </c>
      <c r="BC494" s="293">
        <f t="shared" si="68"/>
        <v>18.907038384371745</v>
      </c>
      <c r="BD494" s="293">
        <f t="shared" si="68"/>
        <v>18.913452667225812</v>
      </c>
      <c r="BE494" s="293">
        <f t="shared" si="68"/>
        <v>18.919866950079879</v>
      </c>
      <c r="BF494" s="293">
        <f t="shared" si="68"/>
        <v>18.926281232933945</v>
      </c>
      <c r="BG494" s="293">
        <f t="shared" si="68"/>
        <v>18.932695515788012</v>
      </c>
      <c r="BH494" s="293">
        <f t="shared" si="68"/>
        <v>18.939109798642079</v>
      </c>
      <c r="BI494" s="293">
        <f t="shared" si="68"/>
        <v>18.945524081496146</v>
      </c>
      <c r="BJ494" s="293">
        <f t="shared" si="68"/>
        <v>18.951938364350212</v>
      </c>
      <c r="BK494" s="293">
        <f t="shared" si="68"/>
        <v>18.958352647204279</v>
      </c>
      <c r="BL494" s="293">
        <f t="shared" si="68"/>
        <v>18.964766930058346</v>
      </c>
      <c r="BM494" s="294">
        <f>AX494*$C$747</f>
        <v>18.971181212912409</v>
      </c>
      <c r="BN494" s="293">
        <f>BM494+($BR$494-$BM$494)/5</f>
        <v>18.97762819226703</v>
      </c>
      <c r="BO494" s="293">
        <f>BN494+($BR$494-$BM$494)/5</f>
        <v>18.984075171621651</v>
      </c>
      <c r="BP494" s="293">
        <f>BO494+($BR$494-$BM$494)/5</f>
        <v>18.990522150976272</v>
      </c>
      <c r="BQ494" s="293">
        <f>BP494+($BR$494-$BM$494)/5</f>
        <v>18.996969130330893</v>
      </c>
      <c r="BR494" s="294">
        <f>BM494*$D$747</f>
        <v>19.003416109685507</v>
      </c>
    </row>
    <row r="495" spans="1:70" x14ac:dyDescent="0.25">
      <c r="A495" s="310" t="s">
        <v>950</v>
      </c>
      <c r="B495" s="310"/>
      <c r="C495" s="310"/>
      <c r="D495" s="310"/>
      <c r="E495" s="310"/>
      <c r="F495" s="310"/>
      <c r="G495" s="310"/>
      <c r="H495" s="310"/>
      <c r="I495" s="310"/>
      <c r="J495" s="310"/>
      <c r="K495" s="310"/>
      <c r="L495" s="310"/>
      <c r="M495" s="310"/>
      <c r="N495" s="310"/>
      <c r="O495" s="310"/>
      <c r="P495" s="310"/>
      <c r="Q495" s="310"/>
      <c r="R495" s="310"/>
      <c r="S495" s="310"/>
      <c r="T495" s="310"/>
      <c r="U495" s="310"/>
      <c r="V495" s="310"/>
      <c r="W495" s="310"/>
      <c r="X495" s="310"/>
      <c r="Y495" s="310"/>
      <c r="Z495" s="310"/>
    </row>
    <row r="496" spans="1:70" x14ac:dyDescent="0.25">
      <c r="A496" s="310" t="s">
        <v>975</v>
      </c>
      <c r="B496" s="310"/>
      <c r="C496" s="310"/>
      <c r="D496" s="310"/>
      <c r="E496" s="310"/>
      <c r="F496" s="310"/>
      <c r="G496" s="310"/>
      <c r="H496" s="310"/>
      <c r="I496" s="310"/>
      <c r="J496" s="310"/>
      <c r="K496" s="310"/>
      <c r="L496" s="310"/>
      <c r="M496" s="310"/>
      <c r="N496" s="310"/>
      <c r="O496" s="310"/>
      <c r="P496" s="310"/>
      <c r="Q496" s="310"/>
      <c r="R496" s="310"/>
      <c r="S496" s="310"/>
      <c r="T496" s="310"/>
      <c r="U496" s="310"/>
      <c r="V496" s="310"/>
      <c r="W496" s="310"/>
      <c r="X496" s="310"/>
      <c r="Y496" s="310"/>
      <c r="Z496" s="310"/>
    </row>
    <row r="499" spans="1:70" ht="13" thickBot="1" x14ac:dyDescent="0.3"/>
    <row r="500" spans="1:70" ht="13" x14ac:dyDescent="0.3">
      <c r="A500" s="250" t="s">
        <v>442</v>
      </c>
      <c r="B500" s="251"/>
      <c r="C500" s="251"/>
      <c r="D500" s="252"/>
      <c r="E500" s="251"/>
      <c r="F500" s="251"/>
      <c r="G500" s="251"/>
      <c r="H500" s="251"/>
      <c r="I500" s="251"/>
      <c r="J500" s="251"/>
      <c r="K500" s="251"/>
      <c r="L500" s="251"/>
      <c r="M500" s="251"/>
      <c r="N500" s="251"/>
      <c r="O500" s="251"/>
      <c r="P500" s="251"/>
      <c r="Q500" s="251"/>
      <c r="R500" s="251"/>
      <c r="S500" s="251"/>
      <c r="T500" s="251"/>
      <c r="U500" s="251"/>
      <c r="V500" s="251"/>
      <c r="W500" s="251"/>
      <c r="X500" s="251"/>
      <c r="Y500" s="251"/>
    </row>
    <row r="501" spans="1:70" x14ac:dyDescent="0.25">
      <c r="A501" s="253" t="s">
        <v>443</v>
      </c>
      <c r="B501" s="254"/>
      <c r="C501" s="254"/>
      <c r="D501" s="254"/>
      <c r="E501" s="254"/>
      <c r="F501" s="254"/>
      <c r="G501" s="254"/>
      <c r="H501" s="254"/>
      <c r="I501" s="254"/>
      <c r="J501" s="254"/>
      <c r="K501" s="254"/>
      <c r="L501" s="254"/>
      <c r="M501" s="254"/>
      <c r="N501" s="254"/>
      <c r="O501" s="254"/>
      <c r="P501" s="254"/>
      <c r="Q501" s="254"/>
      <c r="R501" s="254"/>
      <c r="S501" s="254"/>
      <c r="T501" s="254"/>
      <c r="U501" s="254"/>
      <c r="V501" s="254"/>
      <c r="W501" s="254"/>
      <c r="X501" s="254"/>
      <c r="Y501" s="254"/>
    </row>
    <row r="502" spans="1:70" x14ac:dyDescent="0.25">
      <c r="A502" s="253" t="s">
        <v>859</v>
      </c>
      <c r="B502" s="254"/>
      <c r="C502" s="254"/>
      <c r="D502" s="254"/>
      <c r="E502" s="254"/>
      <c r="F502" s="254"/>
      <c r="G502" s="254"/>
      <c r="H502" s="254"/>
      <c r="I502" s="254"/>
      <c r="J502" s="254"/>
      <c r="K502" s="254"/>
      <c r="L502" s="254"/>
      <c r="M502" s="254"/>
      <c r="N502" s="254"/>
      <c r="O502" s="254"/>
      <c r="P502" s="254"/>
      <c r="Q502" s="254"/>
      <c r="R502" s="254"/>
      <c r="S502" s="254"/>
      <c r="T502" s="254"/>
      <c r="U502" s="254"/>
      <c r="V502" s="254"/>
      <c r="W502" s="254"/>
      <c r="X502" s="254"/>
      <c r="Y502" s="254"/>
    </row>
    <row r="503" spans="1:70" x14ac:dyDescent="0.25">
      <c r="A503" s="253" t="s">
        <v>860</v>
      </c>
      <c r="B503" s="254"/>
      <c r="C503" s="254"/>
      <c r="D503" s="254"/>
      <c r="E503" s="254"/>
      <c r="F503" s="254"/>
      <c r="G503" s="254"/>
      <c r="H503" s="254"/>
      <c r="I503" s="254"/>
      <c r="J503" s="254"/>
      <c r="K503" s="254"/>
      <c r="L503" s="254"/>
      <c r="M503" s="254"/>
      <c r="N503" s="254"/>
      <c r="O503" s="254"/>
      <c r="P503" s="254"/>
      <c r="Q503" s="254"/>
      <c r="R503" s="254"/>
      <c r="S503" s="254"/>
      <c r="T503" s="254"/>
      <c r="U503" s="254"/>
      <c r="V503" s="254"/>
      <c r="W503" s="254"/>
      <c r="X503" s="254"/>
      <c r="Y503" s="254"/>
    </row>
    <row r="504" spans="1:70" x14ac:dyDescent="0.25">
      <c r="A504" s="253" t="s">
        <v>444</v>
      </c>
      <c r="B504" s="254"/>
      <c r="C504" s="254"/>
      <c r="D504" s="254"/>
      <c r="E504" s="254"/>
      <c r="F504" s="254"/>
      <c r="G504" s="254"/>
      <c r="H504" s="254"/>
      <c r="I504" s="254"/>
      <c r="J504" s="254"/>
      <c r="K504" s="254"/>
      <c r="L504" s="254"/>
      <c r="M504" s="254"/>
      <c r="N504" s="254"/>
      <c r="O504" s="254"/>
      <c r="P504" s="254"/>
      <c r="Q504" s="254"/>
      <c r="R504" s="254"/>
      <c r="S504" s="254"/>
      <c r="T504" s="254"/>
      <c r="U504" s="254"/>
      <c r="V504" s="254"/>
      <c r="W504" s="254"/>
      <c r="X504" s="254"/>
      <c r="Y504" s="254"/>
    </row>
    <row r="505" spans="1:70" ht="13" thickBot="1" x14ac:dyDescent="0.3">
      <c r="A505" s="253" t="s">
        <v>445</v>
      </c>
      <c r="B505" s="254"/>
      <c r="C505" s="254"/>
      <c r="D505" s="254"/>
      <c r="E505" s="254"/>
      <c r="F505" s="254"/>
      <c r="G505" s="254"/>
      <c r="H505" s="254"/>
      <c r="I505" s="254"/>
      <c r="J505" s="254"/>
      <c r="K505" s="254"/>
      <c r="L505" s="254"/>
      <c r="M505" s="254"/>
      <c r="N505" s="254"/>
      <c r="O505" s="254"/>
      <c r="P505" s="254"/>
      <c r="Q505" s="254"/>
      <c r="R505" s="254"/>
      <c r="S505" s="254"/>
      <c r="T505" s="254"/>
      <c r="U505" s="254"/>
      <c r="V505" s="254"/>
      <c r="W505" s="254"/>
      <c r="X505" s="254"/>
      <c r="Y505" s="254"/>
    </row>
    <row r="506" spans="1:70" ht="13" thickBot="1" x14ac:dyDescent="0.3">
      <c r="A506" s="255" t="s">
        <v>446</v>
      </c>
      <c r="B506" s="254"/>
      <c r="C506" s="254"/>
      <c r="D506" s="254"/>
      <c r="E506" s="254"/>
      <c r="F506" s="254"/>
      <c r="G506" s="254"/>
      <c r="H506" s="254"/>
      <c r="I506" s="254"/>
      <c r="J506" s="254"/>
      <c r="K506" s="254"/>
      <c r="L506" s="254"/>
      <c r="M506" s="254"/>
      <c r="N506" s="254"/>
      <c r="O506" s="254"/>
      <c r="P506" s="254"/>
      <c r="Q506" s="254"/>
      <c r="R506" s="254"/>
      <c r="S506" s="254"/>
      <c r="T506" s="254"/>
      <c r="U506" s="254"/>
      <c r="V506" s="254"/>
      <c r="W506" s="254"/>
      <c r="X506" s="254"/>
      <c r="Y506" s="254"/>
      <c r="AA506" s="287">
        <f>Z676+($AI$506-$Y$676)/10</f>
        <v>5.5529965108452508</v>
      </c>
      <c r="AB506" s="287">
        <f t="shared" ref="AB506:AH506" si="69">AA506+($AI$506-$Y$676)/10</f>
        <v>5.5809474506703411</v>
      </c>
      <c r="AC506" s="287">
        <f t="shared" si="69"/>
        <v>5.6088983904954315</v>
      </c>
      <c r="AD506" s="287">
        <f t="shared" si="69"/>
        <v>5.6368493303205218</v>
      </c>
      <c r="AE506" s="287">
        <f t="shared" si="69"/>
        <v>5.6648002701456122</v>
      </c>
      <c r="AF506" s="287">
        <f t="shared" si="69"/>
        <v>5.6927512099707025</v>
      </c>
      <c r="AG506" s="287">
        <f t="shared" si="69"/>
        <v>5.7207021497957928</v>
      </c>
      <c r="AH506" s="287">
        <f t="shared" si="69"/>
        <v>5.7486530896208832</v>
      </c>
      <c r="AI506" s="288">
        <f>T676*$E$742</f>
        <v>5.77660402944597</v>
      </c>
      <c r="AJ506" s="287">
        <f>AI506+($AX$506-$AI$506)/15</f>
        <v>5.8419909425225587</v>
      </c>
      <c r="AK506" s="287">
        <f t="shared" ref="AK506:AW506" si="70">AJ506+($AX$506-$AI$506)/15</f>
        <v>5.9073778555991474</v>
      </c>
      <c r="AL506" s="287">
        <f t="shared" si="70"/>
        <v>5.9727647686757361</v>
      </c>
      <c r="AM506" s="287">
        <f t="shared" si="70"/>
        <v>6.0381516817523249</v>
      </c>
      <c r="AN506" s="287">
        <f t="shared" si="70"/>
        <v>6.1035385948289136</v>
      </c>
      <c r="AO506" s="287">
        <f t="shared" si="70"/>
        <v>6.1689255079055023</v>
      </c>
      <c r="AP506" s="287">
        <f t="shared" si="70"/>
        <v>6.234312420982091</v>
      </c>
      <c r="AQ506" s="287">
        <f t="shared" si="70"/>
        <v>6.2996993340586798</v>
      </c>
      <c r="AR506" s="287">
        <f t="shared" si="70"/>
        <v>6.3650862471352685</v>
      </c>
      <c r="AS506" s="287">
        <f t="shared" si="70"/>
        <v>6.4304731602118572</v>
      </c>
      <c r="AT506" s="287">
        <f t="shared" si="70"/>
        <v>6.4958600732884459</v>
      </c>
      <c r="AU506" s="287">
        <f t="shared" si="70"/>
        <v>6.5612469863650347</v>
      </c>
      <c r="AV506" s="287">
        <f t="shared" si="70"/>
        <v>6.6266338994416234</v>
      </c>
      <c r="AW506" s="287">
        <f t="shared" si="70"/>
        <v>6.6920208125182121</v>
      </c>
      <c r="AX506" s="288">
        <f>AI506*$B$742</f>
        <v>6.7574077255948062</v>
      </c>
      <c r="AY506" s="287">
        <f>AX506+($BM$506-$AX$506)/15</f>
        <v>6.8243179096825601</v>
      </c>
      <c r="AZ506" s="287">
        <f t="shared" ref="AZ506:BL506" si="71">AY506+($BM$506-$AX$506)/15</f>
        <v>6.8912280937703141</v>
      </c>
      <c r="BA506" s="287">
        <f t="shared" si="71"/>
        <v>6.958138277858068</v>
      </c>
      <c r="BB506" s="287">
        <f t="shared" si="71"/>
        <v>7.025048461945822</v>
      </c>
      <c r="BC506" s="287">
        <f t="shared" si="71"/>
        <v>7.091958646033576</v>
      </c>
      <c r="BD506" s="287">
        <f t="shared" si="71"/>
        <v>7.1588688301213299</v>
      </c>
      <c r="BE506" s="287">
        <f t="shared" si="71"/>
        <v>7.2257790142090839</v>
      </c>
      <c r="BF506" s="287">
        <f t="shared" si="71"/>
        <v>7.2926891982968378</v>
      </c>
      <c r="BG506" s="287">
        <f t="shared" si="71"/>
        <v>7.3595993823845918</v>
      </c>
      <c r="BH506" s="287">
        <f t="shared" si="71"/>
        <v>7.4265095664723457</v>
      </c>
      <c r="BI506" s="287">
        <f t="shared" si="71"/>
        <v>7.4934197505600997</v>
      </c>
      <c r="BJ506" s="287">
        <f t="shared" si="71"/>
        <v>7.5603299346478536</v>
      </c>
      <c r="BK506" s="287">
        <f t="shared" si="71"/>
        <v>7.6272401187356076</v>
      </c>
      <c r="BL506" s="287">
        <f t="shared" si="71"/>
        <v>7.6941503028233615</v>
      </c>
      <c r="BM506" s="288">
        <f>AX506*$C$742</f>
        <v>7.7610604869111093</v>
      </c>
      <c r="BN506" s="287">
        <f>BM506+($BR$506-$BM$506)/5</f>
        <v>7.8379085930167243</v>
      </c>
      <c r="BO506" s="287">
        <f>BN506+($BR$506-$BM$506)/5</f>
        <v>7.9147566991223393</v>
      </c>
      <c r="BP506" s="287">
        <f>BO506+($BR$506-$BM$506)/5</f>
        <v>7.9916048052279542</v>
      </c>
      <c r="BQ506" s="287">
        <f>BP506+($BR$506-$BM$506)/5</f>
        <v>8.0684529113335692</v>
      </c>
      <c r="BR506" s="288">
        <f>BM506*$D$742</f>
        <v>8.1453010174391842</v>
      </c>
    </row>
    <row r="507" spans="1:70" ht="13" thickBot="1" x14ac:dyDescent="0.3">
      <c r="A507" s="253"/>
      <c r="B507" s="254"/>
      <c r="C507" s="254"/>
      <c r="D507" s="254"/>
      <c r="E507" s="254"/>
      <c r="F507" s="254"/>
      <c r="G507" s="254"/>
      <c r="H507" s="254"/>
      <c r="I507" s="254"/>
      <c r="J507" s="254"/>
      <c r="K507" s="254"/>
      <c r="L507" s="254"/>
      <c r="M507" s="254"/>
      <c r="N507" s="254"/>
      <c r="O507" s="254"/>
      <c r="P507" s="254"/>
      <c r="Q507" s="254"/>
      <c r="R507" s="254"/>
      <c r="S507" s="254"/>
      <c r="T507" s="254"/>
      <c r="U507" s="254"/>
      <c r="V507" s="254"/>
      <c r="W507" s="254"/>
      <c r="X507" s="254"/>
      <c r="Y507" s="254"/>
      <c r="AA507" s="295">
        <f>Z677+($AI$507-$Y$677)/10</f>
        <v>1.3364941226202385</v>
      </c>
      <c r="AB507" s="295">
        <f t="shared" ref="AB507:AH507" si="72">AA507+($AI$507-$Y$677)/10</f>
        <v>1.3402060190972878</v>
      </c>
      <c r="AC507" s="295">
        <f t="shared" si="72"/>
        <v>1.343917915574337</v>
      </c>
      <c r="AD507" s="295">
        <f t="shared" si="72"/>
        <v>1.3476298120513863</v>
      </c>
      <c r="AE507" s="295">
        <f t="shared" si="72"/>
        <v>1.3513417085284356</v>
      </c>
      <c r="AF507" s="295">
        <f t="shared" si="72"/>
        <v>1.3550536050054849</v>
      </c>
      <c r="AG507" s="295">
        <f t="shared" si="72"/>
        <v>1.3587655014825342</v>
      </c>
      <c r="AH507" s="295">
        <f t="shared" si="72"/>
        <v>1.3624773979595834</v>
      </c>
      <c r="AI507" s="296">
        <f>T677*$E$740</f>
        <v>1.3661892944366323</v>
      </c>
      <c r="AJ507" s="295">
        <f>AI507+($AX$507-$AI$507)/15</f>
        <v>1.3701947313799723</v>
      </c>
      <c r="AK507" s="295">
        <f t="shared" ref="AK507:AW507" si="73">AJ507+($AX$507-$AI$507)/15</f>
        <v>1.3742001683233123</v>
      </c>
      <c r="AL507" s="295">
        <f t="shared" si="73"/>
        <v>1.3782056052666523</v>
      </c>
      <c r="AM507" s="295">
        <f t="shared" si="73"/>
        <v>1.3822110422099922</v>
      </c>
      <c r="AN507" s="295">
        <f t="shared" si="73"/>
        <v>1.3862164791533322</v>
      </c>
      <c r="AO507" s="295">
        <f t="shared" si="73"/>
        <v>1.3902219160966722</v>
      </c>
      <c r="AP507" s="295">
        <f t="shared" si="73"/>
        <v>1.3942273530400122</v>
      </c>
      <c r="AQ507" s="295">
        <f t="shared" si="73"/>
        <v>1.3982327899833522</v>
      </c>
      <c r="AR507" s="295">
        <f t="shared" si="73"/>
        <v>1.4022382269266922</v>
      </c>
      <c r="AS507" s="295">
        <f t="shared" si="73"/>
        <v>1.4062436638700322</v>
      </c>
      <c r="AT507" s="295">
        <f t="shared" si="73"/>
        <v>1.4102491008133722</v>
      </c>
      <c r="AU507" s="295">
        <f t="shared" si="73"/>
        <v>1.4142545377567122</v>
      </c>
      <c r="AV507" s="295">
        <f t="shared" si="73"/>
        <v>1.4182599747000522</v>
      </c>
      <c r="AW507" s="295">
        <f t="shared" si="73"/>
        <v>1.4222654116433922</v>
      </c>
      <c r="AX507" s="296">
        <f>AI507*$B$740</f>
        <v>1.4262708485867317</v>
      </c>
      <c r="AY507" s="295">
        <f>AX507+($BM$507-$AX$507)/15</f>
        <v>1.428975877834666</v>
      </c>
      <c r="AZ507" s="295">
        <f t="shared" ref="AZ507:BL507" si="74">AY507+($BM$507-$AX$507)/15</f>
        <v>1.4316809070826002</v>
      </c>
      <c r="BA507" s="295">
        <f t="shared" si="74"/>
        <v>1.4343859363305345</v>
      </c>
      <c r="BB507" s="295">
        <f t="shared" si="74"/>
        <v>1.4370909655784687</v>
      </c>
      <c r="BC507" s="295">
        <f t="shared" si="74"/>
        <v>1.439795994826403</v>
      </c>
      <c r="BD507" s="295">
        <f t="shared" si="74"/>
        <v>1.4425010240743372</v>
      </c>
      <c r="BE507" s="295">
        <f t="shared" si="74"/>
        <v>1.4452060533222715</v>
      </c>
      <c r="BF507" s="295">
        <f t="shared" si="74"/>
        <v>1.4479110825702057</v>
      </c>
      <c r="BG507" s="295">
        <f t="shared" si="74"/>
        <v>1.45061611181814</v>
      </c>
      <c r="BH507" s="295">
        <f t="shared" si="74"/>
        <v>1.4533211410660742</v>
      </c>
      <c r="BI507" s="295">
        <f t="shared" si="74"/>
        <v>1.4560261703140085</v>
      </c>
      <c r="BJ507" s="295">
        <f t="shared" si="74"/>
        <v>1.4587311995619427</v>
      </c>
      <c r="BK507" s="295">
        <f t="shared" si="74"/>
        <v>1.461436228809877</v>
      </c>
      <c r="BL507" s="295">
        <f t="shared" si="74"/>
        <v>1.4641412580578113</v>
      </c>
      <c r="BM507" s="296">
        <f>AX507*$C$740</f>
        <v>1.4668462873057471</v>
      </c>
      <c r="BN507" s="295">
        <f>BM507+($BR$507-$BM$507)/5</f>
        <v>1.4696282709053681</v>
      </c>
      <c r="BO507" s="295">
        <f>BN507+($BR$507-$BM$507)/5</f>
        <v>1.4724102545049891</v>
      </c>
      <c r="BP507" s="295">
        <f>BO507+($BR$507-$BM$507)/5</f>
        <v>1.4751922381046101</v>
      </c>
      <c r="BQ507" s="295">
        <f>BP507+($BR$507-$BM$507)/5</f>
        <v>1.4779742217042311</v>
      </c>
      <c r="BR507" s="296">
        <f>BM507*$D$740</f>
        <v>1.4807562053038525</v>
      </c>
    </row>
    <row r="508" spans="1:70" x14ac:dyDescent="0.25">
      <c r="A508" s="256" t="s">
        <v>447</v>
      </c>
      <c r="B508" s="254"/>
      <c r="C508" s="254"/>
      <c r="D508" s="254"/>
      <c r="E508" s="254"/>
      <c r="F508" s="254"/>
      <c r="G508" s="254"/>
      <c r="H508" s="254"/>
      <c r="I508" s="254"/>
      <c r="J508" s="254"/>
      <c r="K508" s="254"/>
      <c r="L508" s="254"/>
      <c r="M508" s="254"/>
      <c r="N508" s="254"/>
      <c r="O508" s="254"/>
      <c r="P508" s="254"/>
      <c r="Q508" s="254"/>
      <c r="R508" s="254"/>
      <c r="S508" s="254"/>
      <c r="T508" s="254"/>
      <c r="U508" s="254"/>
      <c r="V508" s="254"/>
      <c r="W508" s="254"/>
      <c r="X508" s="254"/>
      <c r="Y508" s="254"/>
    </row>
    <row r="509" spans="1:70" x14ac:dyDescent="0.25">
      <c r="A509" s="256" t="s">
        <v>448</v>
      </c>
      <c r="B509" s="254"/>
      <c r="C509" s="254"/>
      <c r="D509" s="254"/>
      <c r="E509" s="254"/>
      <c r="F509" s="254"/>
      <c r="G509" s="254"/>
      <c r="H509" s="254"/>
      <c r="I509" s="254"/>
      <c r="J509" s="254"/>
      <c r="K509" s="254"/>
      <c r="L509" s="254"/>
      <c r="M509" s="254"/>
      <c r="N509" s="254"/>
      <c r="O509" s="254"/>
      <c r="P509" s="254"/>
      <c r="Q509" s="254"/>
      <c r="R509" s="254"/>
      <c r="S509" s="254"/>
      <c r="T509" s="254"/>
      <c r="U509" s="254"/>
      <c r="V509" s="254"/>
      <c r="W509" s="254"/>
      <c r="X509" s="254"/>
      <c r="Y509" s="254"/>
    </row>
    <row r="510" spans="1:70" x14ac:dyDescent="0.25">
      <c r="A510" s="256"/>
      <c r="B510" s="254"/>
      <c r="C510" s="254"/>
      <c r="D510" s="254"/>
      <c r="E510" s="254"/>
      <c r="F510" s="254"/>
      <c r="G510" s="254"/>
      <c r="H510" s="254"/>
      <c r="I510" s="254"/>
      <c r="J510" s="254"/>
      <c r="K510" s="254"/>
      <c r="L510" s="254"/>
      <c r="M510" s="254"/>
      <c r="N510" s="254"/>
      <c r="O510" s="254"/>
      <c r="P510" s="254"/>
      <c r="Q510" s="254"/>
      <c r="R510" s="254"/>
      <c r="S510" s="254"/>
      <c r="T510" s="254"/>
      <c r="U510" s="254"/>
      <c r="V510" s="254"/>
      <c r="W510" s="254"/>
      <c r="X510" s="254"/>
      <c r="Y510" s="254"/>
    </row>
    <row r="511" spans="1:70" x14ac:dyDescent="0.25">
      <c r="A511" s="253" t="s">
        <v>440</v>
      </c>
      <c r="B511" s="254" t="s">
        <v>449</v>
      </c>
      <c r="C511" s="254" t="s">
        <v>450</v>
      </c>
      <c r="D511" s="254" t="s">
        <v>451</v>
      </c>
      <c r="E511" s="254" t="s">
        <v>452</v>
      </c>
      <c r="F511" s="254" t="s">
        <v>453</v>
      </c>
      <c r="G511" s="254" t="s">
        <v>454</v>
      </c>
      <c r="H511" s="254" t="s">
        <v>455</v>
      </c>
      <c r="I511" s="254" t="s">
        <v>456</v>
      </c>
      <c r="J511" s="254" t="s">
        <v>457</v>
      </c>
      <c r="K511" s="254" t="s">
        <v>458</v>
      </c>
      <c r="L511" s="254" t="s">
        <v>459</v>
      </c>
      <c r="M511" s="254" t="s">
        <v>460</v>
      </c>
      <c r="N511" s="254" t="s">
        <v>461</v>
      </c>
      <c r="O511" s="254" t="s">
        <v>462</v>
      </c>
      <c r="P511" s="254" t="s">
        <v>463</v>
      </c>
      <c r="Q511" s="254" t="s">
        <v>464</v>
      </c>
      <c r="R511" s="254" t="s">
        <v>465</v>
      </c>
      <c r="S511" s="254" t="s">
        <v>466</v>
      </c>
      <c r="T511" s="254" t="s">
        <v>467</v>
      </c>
      <c r="U511" s="254" t="s">
        <v>468</v>
      </c>
      <c r="V511" s="254" t="s">
        <v>469</v>
      </c>
      <c r="W511" s="254" t="s">
        <v>470</v>
      </c>
      <c r="X511" s="254" t="s">
        <v>471</v>
      </c>
      <c r="Y511" s="254" t="s">
        <v>472</v>
      </c>
      <c r="Z511">
        <v>2026</v>
      </c>
    </row>
    <row r="512" spans="1:70" x14ac:dyDescent="0.25">
      <c r="A512" s="253" t="s">
        <v>440</v>
      </c>
      <c r="B512" s="254" t="s">
        <v>440</v>
      </c>
      <c r="C512" s="254" t="s">
        <v>440</v>
      </c>
      <c r="D512" s="254" t="s">
        <v>440</v>
      </c>
      <c r="E512" s="254" t="s">
        <v>440</v>
      </c>
      <c r="F512" s="254" t="s">
        <v>440</v>
      </c>
      <c r="G512" s="254" t="s">
        <v>440</v>
      </c>
      <c r="H512" s="254" t="s">
        <v>440</v>
      </c>
      <c r="I512" s="254" t="s">
        <v>440</v>
      </c>
      <c r="J512" s="254" t="s">
        <v>440</v>
      </c>
      <c r="K512" s="254" t="s">
        <v>440</v>
      </c>
      <c r="L512" s="254" t="s">
        <v>440</v>
      </c>
      <c r="M512" s="254" t="s">
        <v>440</v>
      </c>
      <c r="N512" s="254" t="s">
        <v>440</v>
      </c>
      <c r="O512" s="254" t="s">
        <v>440</v>
      </c>
      <c r="P512" s="254" t="s">
        <v>440</v>
      </c>
      <c r="Q512" s="254" t="s">
        <v>440</v>
      </c>
      <c r="R512" s="254" t="s">
        <v>440</v>
      </c>
      <c r="S512" s="254" t="s">
        <v>440</v>
      </c>
      <c r="T512" s="254" t="s">
        <v>440</v>
      </c>
      <c r="U512" s="254" t="s">
        <v>440</v>
      </c>
      <c r="V512" s="254" t="s">
        <v>440</v>
      </c>
      <c r="W512" s="254" t="s">
        <v>440</v>
      </c>
      <c r="X512" s="254" t="s">
        <v>440</v>
      </c>
      <c r="Y512" s="254" t="s">
        <v>440</v>
      </c>
    </row>
    <row r="513" spans="1:26" x14ac:dyDescent="0.25">
      <c r="A513" s="253" t="s">
        <v>440</v>
      </c>
      <c r="B513" s="254" t="s">
        <v>440</v>
      </c>
      <c r="C513" s="254" t="s">
        <v>440</v>
      </c>
      <c r="D513" s="254" t="s">
        <v>440</v>
      </c>
      <c r="E513" s="254" t="s">
        <v>440</v>
      </c>
      <c r="F513" s="254" t="s">
        <v>440</v>
      </c>
      <c r="G513" s="254" t="s">
        <v>440</v>
      </c>
      <c r="H513" s="254" t="s">
        <v>440</v>
      </c>
      <c r="I513" s="254" t="s">
        <v>440</v>
      </c>
      <c r="J513" s="254" t="s">
        <v>440</v>
      </c>
      <c r="K513" s="254" t="s">
        <v>440</v>
      </c>
      <c r="L513" s="254" t="s">
        <v>440</v>
      </c>
      <c r="M513" s="254" t="s">
        <v>440</v>
      </c>
      <c r="N513" s="254" t="s">
        <v>440</v>
      </c>
      <c r="O513" s="254" t="s">
        <v>440</v>
      </c>
      <c r="P513" s="254" t="s">
        <v>440</v>
      </c>
      <c r="Q513" s="254" t="s">
        <v>440</v>
      </c>
      <c r="R513" s="254" t="s">
        <v>440</v>
      </c>
      <c r="S513" s="254" t="s">
        <v>440</v>
      </c>
      <c r="T513" s="254" t="s">
        <v>440</v>
      </c>
      <c r="U513" s="254" t="s">
        <v>440</v>
      </c>
      <c r="V513" s="254" t="s">
        <v>440</v>
      </c>
      <c r="W513" s="254" t="s">
        <v>440</v>
      </c>
      <c r="X513" s="254" t="s">
        <v>440</v>
      </c>
      <c r="Y513" s="254" t="s">
        <v>440</v>
      </c>
    </row>
    <row r="514" spans="1:26" x14ac:dyDescent="0.25">
      <c r="A514" s="253" t="s">
        <v>473</v>
      </c>
      <c r="B514" s="257">
        <v>15.0220499038696</v>
      </c>
      <c r="C514" s="257">
        <v>15.811363220214799</v>
      </c>
      <c r="D514" s="257">
        <v>16.4251308441162</v>
      </c>
      <c r="E514" s="257">
        <v>16.464759826660199</v>
      </c>
      <c r="F514" s="257">
        <v>15.680528640747101</v>
      </c>
      <c r="G514" s="257">
        <v>15.0112085342407</v>
      </c>
      <c r="H514" s="257">
        <v>14.5817928314209</v>
      </c>
      <c r="I514" s="257">
        <v>14.458288192749</v>
      </c>
      <c r="J514" s="257">
        <v>14.326377868652299</v>
      </c>
      <c r="K514" s="257">
        <v>14.293612480163601</v>
      </c>
      <c r="L514" s="257">
        <v>14.4205980300903</v>
      </c>
      <c r="M514" s="257">
        <v>14.6031141281128</v>
      </c>
      <c r="N514" s="257">
        <v>14.8352861404419</v>
      </c>
      <c r="O514" s="257">
        <v>14.979790687561</v>
      </c>
      <c r="P514" s="257">
        <v>15.0010738372803</v>
      </c>
      <c r="Q514" s="257">
        <v>15.073490142822299</v>
      </c>
      <c r="R514" s="257">
        <v>15.2468109130859</v>
      </c>
      <c r="S514" s="257">
        <v>15.482013702392599</v>
      </c>
      <c r="T514" s="257">
        <v>15.6422672271729</v>
      </c>
      <c r="U514" s="257">
        <v>15.809124946594199</v>
      </c>
      <c r="V514" s="257">
        <v>15.869408607482899</v>
      </c>
      <c r="W514" s="257">
        <v>15.910493850708001</v>
      </c>
      <c r="X514" s="257">
        <v>16.000511169433601</v>
      </c>
      <c r="Y514" s="257">
        <v>16.127393722534201</v>
      </c>
    </row>
    <row r="515" spans="1:26" x14ac:dyDescent="0.25">
      <c r="A515" s="253" t="s">
        <v>474</v>
      </c>
      <c r="B515" s="257">
        <v>8.3285751342773402</v>
      </c>
      <c r="C515" s="257">
        <v>9.67810153961182</v>
      </c>
      <c r="D515" s="257">
        <v>10.6516561508179</v>
      </c>
      <c r="E515" s="257">
        <v>10.5737972259521</v>
      </c>
      <c r="F515" s="257">
        <v>9.7301187515258807</v>
      </c>
      <c r="G515" s="257">
        <v>9.2126417160034197</v>
      </c>
      <c r="H515" s="257">
        <v>8.7946681976318395</v>
      </c>
      <c r="I515" s="257">
        <v>8.5506849288940394</v>
      </c>
      <c r="J515" s="257">
        <v>8.3542766571044904</v>
      </c>
      <c r="K515" s="257">
        <v>8.2684001922607404</v>
      </c>
      <c r="L515" s="257">
        <v>8.3419942855834996</v>
      </c>
      <c r="M515" s="257">
        <v>8.4596767425537092</v>
      </c>
      <c r="N515" s="257">
        <v>8.6078786849975604</v>
      </c>
      <c r="O515" s="257">
        <v>8.7398357391357404</v>
      </c>
      <c r="P515" s="257">
        <v>8.7483062744140607</v>
      </c>
      <c r="Q515" s="257">
        <v>8.7686567306518608</v>
      </c>
      <c r="R515" s="257">
        <v>8.8867673873901403</v>
      </c>
      <c r="S515" s="257">
        <v>9.0631914138793892</v>
      </c>
      <c r="T515" s="257">
        <v>9.2055320739746094</v>
      </c>
      <c r="U515" s="257">
        <v>9.3421277999877894</v>
      </c>
      <c r="V515" s="257">
        <v>9.4150266647338903</v>
      </c>
      <c r="W515" s="257">
        <v>9.4582109451293892</v>
      </c>
      <c r="X515" s="257">
        <v>9.5390539169311506</v>
      </c>
      <c r="Y515" s="257">
        <v>9.6245632171630895</v>
      </c>
    </row>
    <row r="516" spans="1:26" x14ac:dyDescent="0.25">
      <c r="A516" s="253" t="s">
        <v>475</v>
      </c>
      <c r="B516" s="257">
        <v>10.0436496734619</v>
      </c>
      <c r="C516" s="257">
        <v>11.266843795776399</v>
      </c>
      <c r="D516" s="257">
        <v>13.0600261688232</v>
      </c>
      <c r="E516" s="257">
        <v>12.5262813568115</v>
      </c>
      <c r="F516" s="257">
        <v>11.260459899902299</v>
      </c>
      <c r="G516" s="257">
        <v>10.814398765564</v>
      </c>
      <c r="H516" s="257">
        <v>10.6458578109741</v>
      </c>
      <c r="I516" s="257">
        <v>10.453662872314499</v>
      </c>
      <c r="J516" s="257">
        <v>10.443992614746101</v>
      </c>
      <c r="K516" s="257">
        <v>10.420529365539601</v>
      </c>
      <c r="L516" s="257">
        <v>10.4911556243896</v>
      </c>
      <c r="M516" s="257">
        <v>10.5971431732178</v>
      </c>
      <c r="N516" s="257">
        <v>10.650529861450201</v>
      </c>
      <c r="O516" s="257">
        <v>10.7566242218018</v>
      </c>
      <c r="P516" s="257">
        <v>10.8697347640991</v>
      </c>
      <c r="Q516" s="257">
        <v>10.955939292907701</v>
      </c>
      <c r="R516" s="257">
        <v>11.0780487060547</v>
      </c>
      <c r="S516" s="257">
        <v>11.222780227661101</v>
      </c>
      <c r="T516" s="257">
        <v>11.364427566528301</v>
      </c>
      <c r="U516" s="257">
        <v>11.5109758377075</v>
      </c>
      <c r="V516" s="257">
        <v>11.6184797286987</v>
      </c>
      <c r="W516" s="257">
        <v>11.7467203140259</v>
      </c>
      <c r="X516" s="257">
        <v>11.8437652587891</v>
      </c>
      <c r="Y516" s="257">
        <v>11.9311771392822</v>
      </c>
    </row>
    <row r="517" spans="1:26" x14ac:dyDescent="0.25">
      <c r="A517" s="253" t="s">
        <v>476</v>
      </c>
      <c r="B517" s="257">
        <v>8.3698368072509801</v>
      </c>
      <c r="C517" s="257">
        <v>9.5702075958252006</v>
      </c>
      <c r="D517" s="257">
        <v>10.537187576293899</v>
      </c>
      <c r="E517" s="257">
        <v>10.120927810668899</v>
      </c>
      <c r="F517" s="257">
        <v>9.0704116821289098</v>
      </c>
      <c r="G517" s="257">
        <v>8.6811342239379901</v>
      </c>
      <c r="H517" s="257">
        <v>8.4951152801513707</v>
      </c>
      <c r="I517" s="257">
        <v>8.3145399093627894</v>
      </c>
      <c r="J517" s="257">
        <v>8.2864685058593803</v>
      </c>
      <c r="K517" s="257">
        <v>8.2537784576415998</v>
      </c>
      <c r="L517" s="257">
        <v>8.2966070175170898</v>
      </c>
      <c r="M517" s="257">
        <v>8.3739995956420898</v>
      </c>
      <c r="N517" s="257">
        <v>8.4385089874267596</v>
      </c>
      <c r="O517" s="257">
        <v>8.4884243011474592</v>
      </c>
      <c r="P517" s="257">
        <v>8.5346355438232404</v>
      </c>
      <c r="Q517" s="257">
        <v>8.5863618850708008</v>
      </c>
      <c r="R517" s="257">
        <v>8.7058753967285192</v>
      </c>
      <c r="S517" s="257">
        <v>8.7835302352905291</v>
      </c>
      <c r="T517" s="257">
        <v>8.8462095260620099</v>
      </c>
      <c r="U517" s="257">
        <v>8.9105930328369105</v>
      </c>
      <c r="V517" s="257">
        <v>8.9716310501098597</v>
      </c>
      <c r="W517" s="257">
        <v>9.0270709991455096</v>
      </c>
      <c r="X517" s="257">
        <v>9.0740833282470703</v>
      </c>
      <c r="Y517" s="257">
        <v>9.1169166564941406</v>
      </c>
    </row>
    <row r="518" spans="1:26" x14ac:dyDescent="0.25">
      <c r="A518" s="253" t="s">
        <v>477</v>
      </c>
      <c r="B518" s="257">
        <v>12.976583480835</v>
      </c>
      <c r="C518" s="257">
        <v>14.582922935485801</v>
      </c>
      <c r="D518" s="257">
        <v>17.5701904296875</v>
      </c>
      <c r="E518" s="257">
        <v>17.073207855224599</v>
      </c>
      <c r="F518" s="257">
        <v>15.3619232177734</v>
      </c>
      <c r="G518" s="257">
        <v>14.740796089172401</v>
      </c>
      <c r="H518" s="257">
        <v>14.555371284484901</v>
      </c>
      <c r="I518" s="257">
        <v>14.281338691711399</v>
      </c>
      <c r="J518" s="257">
        <v>14.253823280334499</v>
      </c>
      <c r="K518" s="257">
        <v>14.190848350524901</v>
      </c>
      <c r="L518" s="257">
        <v>14.252662658691399</v>
      </c>
      <c r="M518" s="257">
        <v>14.348473548889199</v>
      </c>
      <c r="N518" s="257">
        <v>14.316626548767101</v>
      </c>
      <c r="O518" s="257">
        <v>14.447472572326699</v>
      </c>
      <c r="P518" s="257">
        <v>14.6025552749634</v>
      </c>
      <c r="Q518" s="257">
        <v>14.6705665588379</v>
      </c>
      <c r="R518" s="257">
        <v>14.712552070617701</v>
      </c>
      <c r="S518" s="257">
        <v>14.8757133483887</v>
      </c>
      <c r="T518" s="257">
        <v>15.056845664978001</v>
      </c>
      <c r="U518" s="257">
        <v>15.2477731704712</v>
      </c>
      <c r="V518" s="257">
        <v>15.3445425033569</v>
      </c>
      <c r="W518" s="257">
        <v>15.4947566986084</v>
      </c>
      <c r="X518" s="257">
        <v>15.580441474914601</v>
      </c>
      <c r="Y518" s="257">
        <v>15.645468711853001</v>
      </c>
    </row>
    <row r="519" spans="1:26" x14ac:dyDescent="0.25">
      <c r="A519" s="253" t="s">
        <v>478</v>
      </c>
      <c r="B519" s="257">
        <v>7.8179483413696298</v>
      </c>
      <c r="C519" s="257">
        <v>9.2187824249267596</v>
      </c>
      <c r="D519" s="257">
        <v>9.9373922348022496</v>
      </c>
      <c r="E519" s="257">
        <v>10.0359506607056</v>
      </c>
      <c r="F519" s="257">
        <v>9.3121318817138707</v>
      </c>
      <c r="G519" s="257">
        <v>8.7750911712646502</v>
      </c>
      <c r="H519" s="257">
        <v>8.2899227142334002</v>
      </c>
      <c r="I519" s="257">
        <v>8.0357856750488299</v>
      </c>
      <c r="J519" s="257">
        <v>7.7935147285461399</v>
      </c>
      <c r="K519" s="257">
        <v>7.6957306861877397</v>
      </c>
      <c r="L519" s="257">
        <v>7.7737927436828604</v>
      </c>
      <c r="M519" s="257">
        <v>7.89709520339966</v>
      </c>
      <c r="N519" s="257">
        <v>8.0722961425781303</v>
      </c>
      <c r="O519" s="257">
        <v>8.21258449554443</v>
      </c>
      <c r="P519" s="257">
        <v>8.1957035064697301</v>
      </c>
      <c r="Q519" s="257">
        <v>8.2030982971191406</v>
      </c>
      <c r="R519" s="257">
        <v>8.3247480392456108</v>
      </c>
      <c r="S519" s="257">
        <v>8.5131444931030291</v>
      </c>
      <c r="T519" s="257">
        <v>8.6595201492309606</v>
      </c>
      <c r="U519" s="257">
        <v>8.7975921630859393</v>
      </c>
      <c r="V519" s="257">
        <v>8.8660669326782209</v>
      </c>
      <c r="W519" s="257">
        <v>8.8930187225341797</v>
      </c>
      <c r="X519" s="257">
        <v>8.9751634597778303</v>
      </c>
      <c r="Y519" s="257">
        <v>9.0651559829711896</v>
      </c>
    </row>
    <row r="520" spans="1:26" x14ac:dyDescent="0.25">
      <c r="A520" s="253" t="s">
        <v>479</v>
      </c>
      <c r="B520" s="257">
        <v>25.222642898559599</v>
      </c>
      <c r="C520" s="257">
        <v>25.415189743041999</v>
      </c>
      <c r="D520" s="257">
        <v>25.1893119812012</v>
      </c>
      <c r="E520" s="257">
        <v>25.147850036621101</v>
      </c>
      <c r="F520" s="257">
        <v>24.3894958496094</v>
      </c>
      <c r="G520" s="257">
        <v>23.460399627685501</v>
      </c>
      <c r="H520" s="257">
        <v>22.990982055664102</v>
      </c>
      <c r="I520" s="257">
        <v>23.018142700195298</v>
      </c>
      <c r="J520" s="257">
        <v>22.960025787353501</v>
      </c>
      <c r="K520" s="257">
        <v>22.974227905273398</v>
      </c>
      <c r="L520" s="257">
        <v>23.1215305328369</v>
      </c>
      <c r="M520" s="257">
        <v>23.312740325927699</v>
      </c>
      <c r="N520" s="257">
        <v>23.5714206695557</v>
      </c>
      <c r="O520" s="257">
        <v>23.632020950317401</v>
      </c>
      <c r="P520" s="257">
        <v>23.589054107666001</v>
      </c>
      <c r="Q520" s="257">
        <v>23.650138854980501</v>
      </c>
      <c r="R520" s="257">
        <v>23.8146667480469</v>
      </c>
      <c r="S520" s="257">
        <v>24.0346794128418</v>
      </c>
      <c r="T520" s="257">
        <v>24.122148513793899</v>
      </c>
      <c r="U520" s="257">
        <v>24.230636596679702</v>
      </c>
      <c r="V520" s="257">
        <v>24.181154251098601</v>
      </c>
      <c r="W520" s="257">
        <v>24.130558013916001</v>
      </c>
      <c r="X520" s="257">
        <v>24.148235321044901</v>
      </c>
      <c r="Y520" s="257">
        <v>24.238166809081999</v>
      </c>
    </row>
    <row r="521" spans="1:26" x14ac:dyDescent="0.25">
      <c r="A521" s="253" t="s">
        <v>440</v>
      </c>
      <c r="B521" s="257" t="s">
        <v>440</v>
      </c>
      <c r="C521" s="257" t="s">
        <v>440</v>
      </c>
      <c r="D521" s="257" t="s">
        <v>440</v>
      </c>
      <c r="E521" s="257" t="s">
        <v>440</v>
      </c>
      <c r="F521" s="257" t="s">
        <v>440</v>
      </c>
      <c r="G521" s="257" t="s">
        <v>440</v>
      </c>
      <c r="H521" s="257" t="s">
        <v>440</v>
      </c>
      <c r="I521" s="257" t="s">
        <v>440</v>
      </c>
      <c r="J521" s="257" t="s">
        <v>440</v>
      </c>
      <c r="K521" s="257" t="s">
        <v>440</v>
      </c>
      <c r="L521" s="257" t="s">
        <v>440</v>
      </c>
      <c r="M521" s="257" t="s">
        <v>440</v>
      </c>
      <c r="N521" s="257" t="s">
        <v>440</v>
      </c>
      <c r="O521" s="257" t="s">
        <v>440</v>
      </c>
      <c r="P521" s="257" t="s">
        <v>440</v>
      </c>
      <c r="Q521" s="257" t="s">
        <v>440</v>
      </c>
      <c r="R521" s="257" t="s">
        <v>440</v>
      </c>
      <c r="S521" s="257" t="s">
        <v>440</v>
      </c>
      <c r="T521" s="257" t="s">
        <v>440</v>
      </c>
      <c r="U521" s="257" t="s">
        <v>440</v>
      </c>
      <c r="V521" s="257" t="s">
        <v>440</v>
      </c>
      <c r="W521" s="257" t="s">
        <v>440</v>
      </c>
      <c r="X521" s="257" t="s">
        <v>440</v>
      </c>
      <c r="Y521" s="257" t="s">
        <v>440</v>
      </c>
    </row>
    <row r="522" spans="1:26" x14ac:dyDescent="0.25">
      <c r="A522" s="253" t="s">
        <v>480</v>
      </c>
      <c r="B522" s="257">
        <v>15.064169883728001</v>
      </c>
      <c r="C522" s="257">
        <v>15.629265785217299</v>
      </c>
      <c r="D522" s="257">
        <v>15.835299491882299</v>
      </c>
      <c r="E522" s="257">
        <v>15.918291091918899</v>
      </c>
      <c r="F522" s="257">
        <v>15.0829524993896</v>
      </c>
      <c r="G522" s="257">
        <v>14.3196773529053</v>
      </c>
      <c r="H522" s="257">
        <v>13.910519599914601</v>
      </c>
      <c r="I522" s="257">
        <v>13.8424997329712</v>
      </c>
      <c r="J522" s="257">
        <v>13.762632369995099</v>
      </c>
      <c r="K522" s="257">
        <v>13.8186712265015</v>
      </c>
      <c r="L522" s="257">
        <v>14.058515548706101</v>
      </c>
      <c r="M522" s="257">
        <v>14.316973686218301</v>
      </c>
      <c r="N522" s="257">
        <v>14.661353111267101</v>
      </c>
      <c r="O522" s="257">
        <v>14.869439125061</v>
      </c>
      <c r="P522" s="257">
        <v>14.9301090240479</v>
      </c>
      <c r="Q522" s="257">
        <v>15.044508934021</v>
      </c>
      <c r="R522" s="257">
        <v>15.2485342025757</v>
      </c>
      <c r="S522" s="257">
        <v>15.517853736877401</v>
      </c>
      <c r="T522" s="257">
        <v>15.7009220123291</v>
      </c>
      <c r="U522" s="257">
        <v>15.889198303222701</v>
      </c>
      <c r="V522" s="257">
        <v>15.933961868286101</v>
      </c>
      <c r="W522" s="257">
        <v>15.975202560424799</v>
      </c>
      <c r="X522" s="257">
        <v>16.0630493164063</v>
      </c>
      <c r="Y522" s="257">
        <v>16.195989608764599</v>
      </c>
    </row>
    <row r="523" spans="1:26" x14ac:dyDescent="0.25">
      <c r="A523" s="253" t="s">
        <v>474</v>
      </c>
      <c r="B523" s="257">
        <v>6.5697088241577104</v>
      </c>
      <c r="C523" s="257">
        <v>7.9157042503356898</v>
      </c>
      <c r="D523" s="257">
        <v>8.3734645843505895</v>
      </c>
      <c r="E523" s="257">
        <v>8.3683490753173793</v>
      </c>
      <c r="F523" s="257">
        <v>7.7444124221801802</v>
      </c>
      <c r="G523" s="257">
        <v>7.3380589485168501</v>
      </c>
      <c r="H523" s="257">
        <v>7.0368156433105504</v>
      </c>
      <c r="I523" s="257">
        <v>6.9020848274231001</v>
      </c>
      <c r="J523" s="257">
        <v>6.8100509643554696</v>
      </c>
      <c r="K523" s="257">
        <v>6.84179735183716</v>
      </c>
      <c r="L523" s="257">
        <v>6.8974781036376998</v>
      </c>
      <c r="M523" s="257">
        <v>6.9808845520019496</v>
      </c>
      <c r="N523" s="257">
        <v>7.1057710647582999</v>
      </c>
      <c r="O523" s="257">
        <v>7.20139837265015</v>
      </c>
      <c r="P523" s="257">
        <v>7.18692874908447</v>
      </c>
      <c r="Q523" s="257">
        <v>7.1932849884033203</v>
      </c>
      <c r="R523" s="257">
        <v>7.2944316864013699</v>
      </c>
      <c r="S523" s="257">
        <v>7.4377117156982404</v>
      </c>
      <c r="T523" s="257">
        <v>7.5399260520935103</v>
      </c>
      <c r="U523" s="257">
        <v>7.6392593383789098</v>
      </c>
      <c r="V523" s="257">
        <v>7.6873850822448704</v>
      </c>
      <c r="W523" s="257">
        <v>7.6958703994751003</v>
      </c>
      <c r="X523" s="257">
        <v>7.7559337615966797</v>
      </c>
      <c r="Y523" s="257">
        <v>7.8220491409301802</v>
      </c>
    </row>
    <row r="524" spans="1:26" x14ac:dyDescent="0.25">
      <c r="A524" s="253" t="s">
        <v>475</v>
      </c>
      <c r="B524" s="257">
        <v>6.9482707977294904</v>
      </c>
      <c r="C524" s="257">
        <v>8.0266513824462908</v>
      </c>
      <c r="D524" s="257">
        <v>8.9197750091552699</v>
      </c>
      <c r="E524" s="257">
        <v>8.6532449722290004</v>
      </c>
      <c r="F524" s="257">
        <v>7.9109911918640101</v>
      </c>
      <c r="G524" s="257">
        <v>7.48618364334106</v>
      </c>
      <c r="H524" s="257">
        <v>7.32971286773682</v>
      </c>
      <c r="I524" s="257">
        <v>7.1282916069030797</v>
      </c>
      <c r="J524" s="257">
        <v>7.1344366073608398</v>
      </c>
      <c r="K524" s="257">
        <v>7.2035880088806197</v>
      </c>
      <c r="L524" s="257">
        <v>7.21549415588379</v>
      </c>
      <c r="M524" s="257">
        <v>7.2433881759643599</v>
      </c>
      <c r="N524" s="257">
        <v>7.2548027038574201</v>
      </c>
      <c r="O524" s="257">
        <v>7.2826437950134304</v>
      </c>
      <c r="P524" s="257">
        <v>7.3254833221435502</v>
      </c>
      <c r="Q524" s="257">
        <v>7.3667011260986301</v>
      </c>
      <c r="R524" s="257">
        <v>7.4382300376892099</v>
      </c>
      <c r="S524" s="257">
        <v>7.5099358558654803</v>
      </c>
      <c r="T524" s="257">
        <v>7.5474686622619602</v>
      </c>
      <c r="U524" s="257">
        <v>7.6315479278564498</v>
      </c>
      <c r="V524" s="257">
        <v>7.69354152679443</v>
      </c>
      <c r="W524" s="257">
        <v>7.7161302566528303</v>
      </c>
      <c r="X524" s="257">
        <v>7.7569241523742702</v>
      </c>
      <c r="Y524" s="257">
        <v>7.8363184928893999</v>
      </c>
    </row>
    <row r="525" spans="1:26" x14ac:dyDescent="0.25">
      <c r="A525" s="253" t="s">
        <v>476</v>
      </c>
      <c r="B525" s="257">
        <v>6.1493649482727104</v>
      </c>
      <c r="C525" s="257">
        <v>7.03082323074341</v>
      </c>
      <c r="D525" s="257">
        <v>7.7272844314575204</v>
      </c>
      <c r="E525" s="257">
        <v>7.4210705757141104</v>
      </c>
      <c r="F525" s="257">
        <v>6.8826036453247097</v>
      </c>
      <c r="G525" s="257">
        <v>6.5409913063049299</v>
      </c>
      <c r="H525" s="257">
        <v>6.4167842864990199</v>
      </c>
      <c r="I525" s="257">
        <v>6.2535924911498997</v>
      </c>
      <c r="J525" s="257">
        <v>6.2965154647827104</v>
      </c>
      <c r="K525" s="257">
        <v>6.4007697105407697</v>
      </c>
      <c r="L525" s="257">
        <v>6.4218788146972701</v>
      </c>
      <c r="M525" s="257">
        <v>6.4483299255371103</v>
      </c>
      <c r="N525" s="257">
        <v>6.4679012298584002</v>
      </c>
      <c r="O525" s="257">
        <v>6.4912290573120099</v>
      </c>
      <c r="P525" s="257">
        <v>6.52826023101807</v>
      </c>
      <c r="Q525" s="257">
        <v>6.5738272666931197</v>
      </c>
      <c r="R525" s="257">
        <v>6.6604804992675799</v>
      </c>
      <c r="S525" s="257">
        <v>6.7330570220947301</v>
      </c>
      <c r="T525" s="257">
        <v>6.75683689117432</v>
      </c>
      <c r="U525" s="257">
        <v>6.8434348106384304</v>
      </c>
      <c r="V525" s="257">
        <v>6.9099073410034197</v>
      </c>
      <c r="W525" s="257">
        <v>6.9186587333679199</v>
      </c>
      <c r="X525" s="257">
        <v>6.9633812904357901</v>
      </c>
      <c r="Y525" s="257">
        <v>7.0585165023803702</v>
      </c>
    </row>
    <row r="526" spans="1:26" x14ac:dyDescent="0.25">
      <c r="A526" s="253" t="s">
        <v>481</v>
      </c>
      <c r="B526" s="257">
        <v>4.2683343887329102</v>
      </c>
      <c r="C526" s="257">
        <v>4.9646224975585902</v>
      </c>
      <c r="D526" s="257">
        <v>5.0606441497802699</v>
      </c>
      <c r="E526" s="257">
        <v>5.3499689102172896</v>
      </c>
      <c r="F526" s="257">
        <v>5.0606269836425799</v>
      </c>
      <c r="G526" s="257">
        <v>4.6454811096191397</v>
      </c>
      <c r="H526" s="257">
        <v>4.44089698791504</v>
      </c>
      <c r="I526" s="257">
        <v>4.3064308166503897</v>
      </c>
      <c r="J526" s="257">
        <v>4.2577414512634304</v>
      </c>
      <c r="K526" s="257">
        <v>4.3118896484375</v>
      </c>
      <c r="L526" s="257">
        <v>4.3638815879821804</v>
      </c>
      <c r="M526" s="257">
        <v>4.4166550636291504</v>
      </c>
      <c r="N526" s="257">
        <v>4.4711151123046902</v>
      </c>
      <c r="O526" s="257">
        <v>4.5238728523254403</v>
      </c>
      <c r="P526" s="257">
        <v>4.5756058692932102</v>
      </c>
      <c r="Q526" s="257">
        <v>4.6275658607482901</v>
      </c>
      <c r="R526" s="257">
        <v>4.6890521049499503</v>
      </c>
      <c r="S526" s="257">
        <v>4.7516570091247603</v>
      </c>
      <c r="T526" s="257">
        <v>4.8052668571472203</v>
      </c>
      <c r="U526" s="257">
        <v>4.8599562644958496</v>
      </c>
      <c r="V526" s="257">
        <v>4.9139251708984402</v>
      </c>
      <c r="W526" s="257">
        <v>4.9674754142761204</v>
      </c>
      <c r="X526" s="257">
        <v>5.0218071937561</v>
      </c>
      <c r="Y526" s="257">
        <v>5.0773591995239302</v>
      </c>
    </row>
    <row r="527" spans="1:26" x14ac:dyDescent="0.25">
      <c r="A527" s="278" t="s">
        <v>478</v>
      </c>
      <c r="B527" s="257">
        <v>6.6170339584350604</v>
      </c>
      <c r="C527" s="257">
        <v>8.0769119262695295</v>
      </c>
      <c r="D527" s="257">
        <v>8.4474086761474592</v>
      </c>
      <c r="E527" s="257">
        <v>8.5042705535888707</v>
      </c>
      <c r="F527" s="257">
        <v>7.8856530189514196</v>
      </c>
      <c r="G527" s="257">
        <v>7.4673976898193404</v>
      </c>
      <c r="H527" s="257">
        <v>7.1177520751953098</v>
      </c>
      <c r="I527" s="257">
        <v>6.9923906326293901</v>
      </c>
      <c r="J527" s="257">
        <v>6.8716683387756303</v>
      </c>
      <c r="K527" s="257">
        <v>6.8934268951415998</v>
      </c>
      <c r="L527" s="257">
        <v>6.9598770141601598</v>
      </c>
      <c r="M527" s="257">
        <v>7.0576272010803196</v>
      </c>
      <c r="N527" s="257">
        <v>7.21203565597534</v>
      </c>
      <c r="O527" s="257">
        <v>7.32529544830322</v>
      </c>
      <c r="P527" s="257">
        <v>7.2944836616516104</v>
      </c>
      <c r="Q527" s="257">
        <v>7.2903637886047399</v>
      </c>
      <c r="R527" s="257">
        <v>7.3995337486267099</v>
      </c>
      <c r="S527" s="257">
        <v>7.56237888336182</v>
      </c>
      <c r="T527" s="257">
        <v>7.6814393997192401</v>
      </c>
      <c r="U527" s="257">
        <v>7.78521823883057</v>
      </c>
      <c r="V527" s="257">
        <v>7.8287162780761701</v>
      </c>
      <c r="W527" s="257">
        <v>7.8313083648681596</v>
      </c>
      <c r="X527" s="257">
        <v>7.8953433036804199</v>
      </c>
      <c r="Y527" s="257">
        <v>7.9576945304870597</v>
      </c>
      <c r="Z527" s="287">
        <f>Y527+($AI$357-$Y$527)/10</f>
        <v>8.0099991534203383</v>
      </c>
    </row>
    <row r="528" spans="1:26" x14ac:dyDescent="0.25">
      <c r="A528" s="280" t="s">
        <v>479</v>
      </c>
      <c r="B528" s="257">
        <v>23.353584289550799</v>
      </c>
      <c r="C528" s="257">
        <v>23.2374382019043</v>
      </c>
      <c r="D528" s="257">
        <v>23.0415229797363</v>
      </c>
      <c r="E528" s="257">
        <v>22.938554763793899</v>
      </c>
      <c r="F528" s="257">
        <v>21.8424968719482</v>
      </c>
      <c r="G528" s="257">
        <v>20.6924953460693</v>
      </c>
      <c r="H528" s="257">
        <v>20.1292018890381</v>
      </c>
      <c r="I528" s="257">
        <v>20.063879013061499</v>
      </c>
      <c r="J528" s="257">
        <v>19.9343872070313</v>
      </c>
      <c r="K528" s="257">
        <v>19.938108444213899</v>
      </c>
      <c r="L528" s="257">
        <v>20.262083053588899</v>
      </c>
      <c r="M528" s="257">
        <v>20.589830398559599</v>
      </c>
      <c r="N528" s="257">
        <v>21.038742065429702</v>
      </c>
      <c r="O528" s="257">
        <v>21.2544975280762</v>
      </c>
      <c r="P528" s="257">
        <v>21.300868988037099</v>
      </c>
      <c r="Q528" s="257">
        <v>21.4323215484619</v>
      </c>
      <c r="R528" s="257">
        <v>21.647081375122099</v>
      </c>
      <c r="S528" s="257">
        <v>21.937980651855501</v>
      </c>
      <c r="T528" s="257">
        <v>22.104045867919901</v>
      </c>
      <c r="U528" s="257">
        <v>22.281753540039102</v>
      </c>
      <c r="V528" s="257">
        <v>22.24875831604</v>
      </c>
      <c r="W528" s="257">
        <v>22.2471523284912</v>
      </c>
      <c r="X528" s="257">
        <v>22.287950515747099</v>
      </c>
      <c r="Y528" s="257">
        <v>22.4030246734619</v>
      </c>
      <c r="Z528" s="289">
        <f>Y528+($AI$358-$Y$528)/10</f>
        <v>22.313820934181763</v>
      </c>
    </row>
    <row r="529" spans="1:71" x14ac:dyDescent="0.25">
      <c r="A529" s="253" t="s">
        <v>440</v>
      </c>
      <c r="B529" s="257" t="s">
        <v>440</v>
      </c>
      <c r="C529" s="257" t="s">
        <v>440</v>
      </c>
      <c r="D529" s="257" t="s">
        <v>440</v>
      </c>
      <c r="E529" s="257" t="s">
        <v>440</v>
      </c>
      <c r="F529" s="257" t="s">
        <v>440</v>
      </c>
      <c r="G529" s="257" t="s">
        <v>440</v>
      </c>
      <c r="H529" s="257" t="s">
        <v>440</v>
      </c>
      <c r="I529" s="257" t="s">
        <v>440</v>
      </c>
      <c r="J529" s="257" t="s">
        <v>440</v>
      </c>
      <c r="K529" s="257" t="s">
        <v>440</v>
      </c>
      <c r="L529" s="257" t="s">
        <v>440</v>
      </c>
      <c r="M529" s="257" t="s">
        <v>440</v>
      </c>
      <c r="N529" s="257" t="s">
        <v>440</v>
      </c>
      <c r="O529" s="257" t="s">
        <v>440</v>
      </c>
      <c r="P529" s="257" t="s">
        <v>440</v>
      </c>
      <c r="Q529" s="257" t="s">
        <v>440</v>
      </c>
      <c r="R529" s="257" t="s">
        <v>440</v>
      </c>
      <c r="S529" s="257" t="s">
        <v>440</v>
      </c>
      <c r="T529" s="257" t="s">
        <v>440</v>
      </c>
      <c r="U529" s="257" t="s">
        <v>440</v>
      </c>
      <c r="V529" s="257" t="s">
        <v>440</v>
      </c>
      <c r="W529" s="257" t="s">
        <v>440</v>
      </c>
      <c r="X529" s="257" t="s">
        <v>440</v>
      </c>
      <c r="Y529" s="257" t="s">
        <v>440</v>
      </c>
    </row>
    <row r="530" spans="1:71" ht="13" thickBot="1" x14ac:dyDescent="0.3">
      <c r="A530" s="253" t="s">
        <v>482</v>
      </c>
      <c r="B530" s="257">
        <v>6.3922061920165998</v>
      </c>
      <c r="C530" s="257">
        <v>7.7839651107788104</v>
      </c>
      <c r="D530" s="257">
        <v>8.7301359176635707</v>
      </c>
      <c r="E530" s="257">
        <v>8.5276689529418892</v>
      </c>
      <c r="F530" s="257">
        <v>7.7321057319641104</v>
      </c>
      <c r="G530" s="257">
        <v>7.2916359901428196</v>
      </c>
      <c r="H530" s="257">
        <v>7.0938224792480504</v>
      </c>
      <c r="I530" s="257">
        <v>6.9649901390075701</v>
      </c>
      <c r="J530" s="257">
        <v>6.8520793914794904</v>
      </c>
      <c r="K530" s="257">
        <v>6.8315567970275897</v>
      </c>
      <c r="L530" s="257">
        <v>6.8953166007995597</v>
      </c>
      <c r="M530" s="257">
        <v>6.99013376235962</v>
      </c>
      <c r="N530" s="257">
        <v>7.1103782653808603</v>
      </c>
      <c r="O530" s="257">
        <v>7.2379879951477104</v>
      </c>
      <c r="P530" s="257">
        <v>7.276611328125</v>
      </c>
      <c r="Q530" s="257">
        <v>7.3343372344970703</v>
      </c>
      <c r="R530" s="257">
        <v>7.4634890556335396</v>
      </c>
      <c r="S530" s="257">
        <v>7.6215224266052202</v>
      </c>
      <c r="T530" s="257">
        <v>7.7529444694518999</v>
      </c>
      <c r="U530" s="257">
        <v>7.8803434371948198</v>
      </c>
      <c r="V530" s="257">
        <v>7.9471721649169904</v>
      </c>
      <c r="W530" s="257">
        <v>7.99715328216553</v>
      </c>
      <c r="X530" s="257">
        <v>8.05676174163818</v>
      </c>
      <c r="Y530" s="257">
        <v>8.1260271072387695</v>
      </c>
    </row>
    <row r="531" spans="1:71" ht="13" thickBot="1" x14ac:dyDescent="0.3">
      <c r="A531" s="253" t="s">
        <v>483</v>
      </c>
      <c r="B531" s="257">
        <v>4.9298634529113796</v>
      </c>
      <c r="C531" s="257">
        <v>6.4939708709716797</v>
      </c>
      <c r="D531" s="257">
        <v>7.4592456817626998</v>
      </c>
      <c r="E531" s="257">
        <v>7.2321572303771999</v>
      </c>
      <c r="F531" s="257">
        <v>6.3973078727722203</v>
      </c>
      <c r="G531" s="257">
        <v>5.9808039665222203</v>
      </c>
      <c r="H531" s="257">
        <v>5.7940292358398402</v>
      </c>
      <c r="I531" s="257">
        <v>5.64864206314087</v>
      </c>
      <c r="J531" s="257">
        <v>5.54791307449341</v>
      </c>
      <c r="K531" s="257">
        <v>5.5448842048645002</v>
      </c>
      <c r="L531" s="257">
        <v>5.5862631797790501</v>
      </c>
      <c r="M531" s="257">
        <v>5.6484580039978001</v>
      </c>
      <c r="N531" s="257">
        <v>5.7157526016235396</v>
      </c>
      <c r="O531" s="257">
        <v>5.8273496627807599</v>
      </c>
      <c r="P531" s="257">
        <v>5.8644676208496103</v>
      </c>
      <c r="Q531" s="257">
        <v>5.9049983024597203</v>
      </c>
      <c r="R531" s="257">
        <v>6.0105843544006303</v>
      </c>
      <c r="S531" s="257">
        <v>6.1420850753784197</v>
      </c>
      <c r="T531" s="257">
        <v>6.2661328315734899</v>
      </c>
      <c r="U531" s="257">
        <v>6.3902029991149902</v>
      </c>
      <c r="V531" s="257">
        <v>6.4639844894409197</v>
      </c>
      <c r="W531" s="257">
        <v>6.5222811698913601</v>
      </c>
      <c r="X531" s="257">
        <v>6.5781168937683097</v>
      </c>
      <c r="Y531" s="257">
        <v>6.6401424407959002</v>
      </c>
      <c r="AA531" s="300">
        <f>Z701+($AI$531-$Y$701)/10</f>
        <v>1.6707610713595051</v>
      </c>
      <c r="AB531" s="300">
        <f t="shared" ref="AB531:AH531" si="75">AA531+($AI$531-$Y$701)/10</f>
        <v>1.7872284374395671</v>
      </c>
      <c r="AC531" s="300">
        <f t="shared" si="75"/>
        <v>1.903695803519629</v>
      </c>
      <c r="AD531" s="300">
        <f t="shared" si="75"/>
        <v>2.0201631695996909</v>
      </c>
      <c r="AE531" s="300">
        <f t="shared" si="75"/>
        <v>2.1366305356797528</v>
      </c>
      <c r="AF531" s="300">
        <f t="shared" si="75"/>
        <v>2.2530979017598147</v>
      </c>
      <c r="AG531" s="300">
        <f t="shared" si="75"/>
        <v>2.3695652678398766</v>
      </c>
      <c r="AH531" s="300">
        <f t="shared" si="75"/>
        <v>2.4860326339199386</v>
      </c>
      <c r="AI531" s="305">
        <v>2.6025</v>
      </c>
      <c r="AJ531" s="300">
        <f>AI531+($BM$531-$AI$531)/30</f>
        <v>2.6824166666666667</v>
      </c>
      <c r="AK531" s="300">
        <f t="shared" ref="AK531:BR531" si="76">AJ531+($BM$531-$AI$531)/30</f>
        <v>2.7623333333333333</v>
      </c>
      <c r="AL531" s="300">
        <f t="shared" si="76"/>
        <v>2.8422499999999999</v>
      </c>
      <c r="AM531" s="300">
        <f t="shared" si="76"/>
        <v>2.9221666666666666</v>
      </c>
      <c r="AN531" s="300">
        <f t="shared" si="76"/>
        <v>3.0020833333333332</v>
      </c>
      <c r="AO531" s="300">
        <f t="shared" si="76"/>
        <v>3.0819999999999999</v>
      </c>
      <c r="AP531" s="300">
        <f t="shared" si="76"/>
        <v>3.1619166666666665</v>
      </c>
      <c r="AQ531" s="300">
        <f t="shared" si="76"/>
        <v>3.2418333333333331</v>
      </c>
      <c r="AR531" s="300">
        <f t="shared" si="76"/>
        <v>3.3217499999999998</v>
      </c>
      <c r="AS531" s="300">
        <f t="shared" si="76"/>
        <v>3.4016666666666664</v>
      </c>
      <c r="AT531" s="300">
        <f t="shared" si="76"/>
        <v>3.481583333333333</v>
      </c>
      <c r="AU531" s="300">
        <f t="shared" si="76"/>
        <v>3.5614999999999997</v>
      </c>
      <c r="AV531" s="300">
        <f t="shared" si="76"/>
        <v>3.6414166666666663</v>
      </c>
      <c r="AW531" s="300">
        <f t="shared" si="76"/>
        <v>3.7213333333333329</v>
      </c>
      <c r="AX531" s="300">
        <f t="shared" si="76"/>
        <v>3.8012499999999996</v>
      </c>
      <c r="AY531" s="300">
        <f t="shared" si="76"/>
        <v>3.8811666666666662</v>
      </c>
      <c r="AZ531" s="300">
        <f t="shared" si="76"/>
        <v>3.9610833333333328</v>
      </c>
      <c r="BA531" s="300">
        <f t="shared" si="76"/>
        <v>4.0409999999999995</v>
      </c>
      <c r="BB531" s="300">
        <f t="shared" si="76"/>
        <v>4.1209166666666661</v>
      </c>
      <c r="BC531" s="300">
        <f t="shared" si="76"/>
        <v>4.2008333333333328</v>
      </c>
      <c r="BD531" s="300">
        <f t="shared" si="76"/>
        <v>4.2807499999999994</v>
      </c>
      <c r="BE531" s="300">
        <f t="shared" si="76"/>
        <v>4.360666666666666</v>
      </c>
      <c r="BF531" s="300">
        <f t="shared" si="76"/>
        <v>4.4405833333333327</v>
      </c>
      <c r="BG531" s="300">
        <f t="shared" si="76"/>
        <v>4.5204999999999993</v>
      </c>
      <c r="BH531" s="300">
        <f t="shared" si="76"/>
        <v>4.6004166666666659</v>
      </c>
      <c r="BI531" s="300">
        <f t="shared" si="76"/>
        <v>4.6803333333333326</v>
      </c>
      <c r="BJ531" s="300">
        <f t="shared" si="76"/>
        <v>4.7602499999999992</v>
      </c>
      <c r="BK531" s="300">
        <f t="shared" si="76"/>
        <v>4.8401666666666658</v>
      </c>
      <c r="BL531" s="300">
        <f t="shared" si="76"/>
        <v>4.9200833333333325</v>
      </c>
      <c r="BM531" s="303">
        <v>5</v>
      </c>
      <c r="BN531" s="300">
        <f t="shared" si="76"/>
        <v>5.0799166666666666</v>
      </c>
      <c r="BO531" s="300">
        <f t="shared" si="76"/>
        <v>5.1598333333333333</v>
      </c>
      <c r="BP531" s="300">
        <f t="shared" si="76"/>
        <v>5.2397499999999999</v>
      </c>
      <c r="BQ531" s="300">
        <f t="shared" si="76"/>
        <v>5.3196666666666665</v>
      </c>
      <c r="BR531" s="300">
        <f t="shared" si="76"/>
        <v>5.3995833333333332</v>
      </c>
    </row>
    <row r="532" spans="1:71" x14ac:dyDescent="0.25">
      <c r="A532" s="253" t="s">
        <v>475</v>
      </c>
      <c r="B532" s="257">
        <v>6.5291514396667498</v>
      </c>
      <c r="C532" s="257">
        <v>8.2850980758666992</v>
      </c>
      <c r="D532" s="257">
        <v>9.8001232147216797</v>
      </c>
      <c r="E532" s="257">
        <v>9.3072748184204102</v>
      </c>
      <c r="F532" s="257">
        <v>8.1255960464477504</v>
      </c>
      <c r="G532" s="257">
        <v>7.6394152641296396</v>
      </c>
      <c r="H532" s="257">
        <v>7.5353851318359402</v>
      </c>
      <c r="I532" s="257">
        <v>7.29905128479004</v>
      </c>
      <c r="J532" s="257">
        <v>7.2437157630920401</v>
      </c>
      <c r="K532" s="257">
        <v>7.2615475654602104</v>
      </c>
      <c r="L532" s="257">
        <v>7.28952884674072</v>
      </c>
      <c r="M532" s="257">
        <v>7.3323044776916504</v>
      </c>
      <c r="N532" s="257">
        <v>7.3129158020019496</v>
      </c>
      <c r="O532" s="257">
        <v>7.4180650711059597</v>
      </c>
      <c r="P532" s="257">
        <v>7.5101509094238299</v>
      </c>
      <c r="Q532" s="257">
        <v>7.5518846511840803</v>
      </c>
      <c r="R532" s="257">
        <v>7.6326026916503897</v>
      </c>
      <c r="S532" s="257">
        <v>7.7444272041320801</v>
      </c>
      <c r="T532" s="257">
        <v>7.8752341270446804</v>
      </c>
      <c r="U532" s="257">
        <v>8.0334920883178693</v>
      </c>
      <c r="V532" s="257">
        <v>8.1469945907592791</v>
      </c>
      <c r="W532" s="257">
        <v>8.2539978027343803</v>
      </c>
      <c r="X532" s="257">
        <v>8.3047761917114293</v>
      </c>
      <c r="Y532" s="257">
        <v>8.3638219833374006</v>
      </c>
      <c r="AA532" s="303">
        <v>8.7353999999999985</v>
      </c>
      <c r="AB532" s="303">
        <v>8.7353999999999985</v>
      </c>
      <c r="AC532" s="303">
        <v>8.7353999999999985</v>
      </c>
      <c r="AD532" s="303">
        <v>8.7353999999999985</v>
      </c>
      <c r="AE532" s="303">
        <v>8.7353999999999985</v>
      </c>
      <c r="AF532" s="303">
        <v>8.7353999999999985</v>
      </c>
      <c r="AG532" s="303">
        <v>8.7353999999999985</v>
      </c>
      <c r="AH532" s="303">
        <v>8.2799999999999994</v>
      </c>
      <c r="AI532" s="303">
        <v>8.2799999999999994</v>
      </c>
      <c r="AJ532" s="293">
        <f>AI532+($AX$532-$AI$532)/15</f>
        <v>8.2855063337213686</v>
      </c>
      <c r="AK532" s="293">
        <f t="shared" ref="AK532:AW532" si="77">AJ532+($AX$532-$AI$532)/15</f>
        <v>8.2910126674427378</v>
      </c>
      <c r="AL532" s="293">
        <f t="shared" si="77"/>
        <v>8.296519001164107</v>
      </c>
      <c r="AM532" s="293">
        <f t="shared" si="77"/>
        <v>8.3020253348854762</v>
      </c>
      <c r="AN532" s="293">
        <f t="shared" si="77"/>
        <v>8.3075316686068454</v>
      </c>
      <c r="AO532" s="293">
        <f t="shared" si="77"/>
        <v>8.3130380023282147</v>
      </c>
      <c r="AP532" s="293">
        <f t="shared" si="77"/>
        <v>8.3185443360495839</v>
      </c>
      <c r="AQ532" s="293">
        <f t="shared" si="77"/>
        <v>8.3240506697709531</v>
      </c>
      <c r="AR532" s="293">
        <f t="shared" si="77"/>
        <v>8.3295570034923223</v>
      </c>
      <c r="AS532" s="293">
        <f t="shared" si="77"/>
        <v>8.3350633372136915</v>
      </c>
      <c r="AT532" s="293">
        <f t="shared" si="77"/>
        <v>8.3405696709350607</v>
      </c>
      <c r="AU532" s="293">
        <f t="shared" si="77"/>
        <v>8.34607600465643</v>
      </c>
      <c r="AV532" s="293">
        <f t="shared" si="77"/>
        <v>8.3515823383777992</v>
      </c>
      <c r="AW532" s="293">
        <f t="shared" si="77"/>
        <v>8.3570886720991684</v>
      </c>
      <c r="AX532" s="298">
        <f>AI532*$B$747</f>
        <v>8.3625950058205305</v>
      </c>
      <c r="AY532" s="293">
        <f>AX532+($BM$532-$AX$532)/15</f>
        <v>8.3654368677345836</v>
      </c>
      <c r="AZ532" s="293">
        <f t="shared" ref="AZ532:BL532" si="78">AY532+($BM$532-$AX$532)/15</f>
        <v>8.3682787296486367</v>
      </c>
      <c r="BA532" s="293">
        <f t="shared" si="78"/>
        <v>8.3711205915626898</v>
      </c>
      <c r="BB532" s="293">
        <f t="shared" si="78"/>
        <v>8.373962453476743</v>
      </c>
      <c r="BC532" s="293">
        <f t="shared" si="78"/>
        <v>8.3768043153907961</v>
      </c>
      <c r="BD532" s="293">
        <f t="shared" si="78"/>
        <v>8.3796461773048492</v>
      </c>
      <c r="BE532" s="293">
        <f t="shared" si="78"/>
        <v>8.3824880392189023</v>
      </c>
      <c r="BF532" s="293">
        <f t="shared" si="78"/>
        <v>8.3853299011329554</v>
      </c>
      <c r="BG532" s="293">
        <f t="shared" si="78"/>
        <v>8.3881717630470085</v>
      </c>
      <c r="BH532" s="293">
        <f t="shared" si="78"/>
        <v>8.3910136249610616</v>
      </c>
      <c r="BI532" s="293">
        <f t="shared" si="78"/>
        <v>8.3938554868751147</v>
      </c>
      <c r="BJ532" s="293">
        <f t="shared" si="78"/>
        <v>8.3966973487891678</v>
      </c>
      <c r="BK532" s="293">
        <f t="shared" si="78"/>
        <v>8.399539210703221</v>
      </c>
      <c r="BL532" s="293">
        <f t="shared" si="78"/>
        <v>8.4023810726172741</v>
      </c>
      <c r="BM532" s="298">
        <f>AX532*$C$747</f>
        <v>8.4052229345313236</v>
      </c>
      <c r="BN532" s="293">
        <f>BM532+($BR$532-$BM$532)/5</f>
        <v>8.4080792827007791</v>
      </c>
      <c r="BO532" s="293">
        <f>BN532+($BR$532-$BM$532)/5</f>
        <v>8.4109356308702345</v>
      </c>
      <c r="BP532" s="293">
        <f>BO532+($BR$532-$BM$532)/5</f>
        <v>8.41379197903969</v>
      </c>
      <c r="BQ532" s="293">
        <f>BP532+($BR$532-$BM$532)/5</f>
        <v>8.4166483272091455</v>
      </c>
      <c r="BR532" s="298">
        <f>BM532*$D$747</f>
        <v>8.4195046753785974</v>
      </c>
    </row>
    <row r="533" spans="1:71" x14ac:dyDescent="0.25">
      <c r="A533" s="253" t="s">
        <v>476</v>
      </c>
      <c r="B533" s="257">
        <v>6.3323707580566397</v>
      </c>
      <c r="C533" s="257">
        <v>7.2384452819824201</v>
      </c>
      <c r="D533" s="257">
        <v>7.96527099609375</v>
      </c>
      <c r="E533" s="257">
        <v>7.6527137756347701</v>
      </c>
      <c r="F533" s="257">
        <v>7.15256595611572</v>
      </c>
      <c r="G533" s="257">
        <v>6.8207654953002903</v>
      </c>
      <c r="H533" s="257">
        <v>6.8779778480529803</v>
      </c>
      <c r="I533" s="257">
        <v>6.7174663543701199</v>
      </c>
      <c r="J533" s="257">
        <v>6.78255271911621</v>
      </c>
      <c r="K533" s="257">
        <v>7.1339807510376003</v>
      </c>
      <c r="L533" s="257">
        <v>7.1601362228393599</v>
      </c>
      <c r="M533" s="257">
        <v>7.1876134872436497</v>
      </c>
      <c r="N533" s="257">
        <v>7.1760501861572301</v>
      </c>
      <c r="O533" s="257">
        <v>7.19400835037231</v>
      </c>
      <c r="P533" s="257">
        <v>7.2192950248718297</v>
      </c>
      <c r="Q533" s="257">
        <v>7.2771706581115696</v>
      </c>
      <c r="R533" s="257">
        <v>7.32332468032837</v>
      </c>
      <c r="S533" s="257">
        <v>7.37906789779663</v>
      </c>
      <c r="T533" s="257">
        <v>7.3721222877502397</v>
      </c>
      <c r="U533" s="257">
        <v>7.4461221694946298</v>
      </c>
      <c r="V533" s="257">
        <v>7.5145907402038601</v>
      </c>
      <c r="W533" s="257">
        <v>7.4954967498779297</v>
      </c>
      <c r="X533" s="257">
        <v>7.5633401870727504</v>
      </c>
      <c r="Y533" s="257">
        <v>7.7325506210327104</v>
      </c>
      <c r="AA533" s="304">
        <v>4.78</v>
      </c>
      <c r="AB533" s="304">
        <v>4.78</v>
      </c>
      <c r="AC533" s="304">
        <v>4.78</v>
      </c>
      <c r="AD533" s="304">
        <v>4.78</v>
      </c>
      <c r="AE533" s="304">
        <v>4.78</v>
      </c>
      <c r="AF533" s="304">
        <v>4.78</v>
      </c>
      <c r="AG533" s="304">
        <v>4.78</v>
      </c>
      <c r="AH533" s="304">
        <v>4.78</v>
      </c>
      <c r="AI533" s="304">
        <v>4.78</v>
      </c>
      <c r="AJ533" s="304">
        <v>4.78</v>
      </c>
      <c r="AK533" s="304">
        <v>4.78</v>
      </c>
      <c r="AL533" s="304">
        <v>4.78</v>
      </c>
      <c r="AM533" s="304">
        <v>4.78</v>
      </c>
      <c r="AN533" s="304">
        <v>4.78</v>
      </c>
      <c r="AO533" s="304">
        <v>4.78</v>
      </c>
      <c r="AP533" s="304">
        <v>4.78</v>
      </c>
      <c r="AQ533" s="304">
        <v>4.78</v>
      </c>
      <c r="AR533" s="304">
        <v>4.78</v>
      </c>
      <c r="AS533" s="304">
        <v>4.78</v>
      </c>
      <c r="AT533" s="304">
        <v>4.78</v>
      </c>
      <c r="AU533" s="304">
        <v>4.78</v>
      </c>
      <c r="AV533" s="304">
        <v>4.78</v>
      </c>
      <c r="AW533" s="304">
        <v>4.78</v>
      </c>
      <c r="AX533" s="304">
        <v>4.78</v>
      </c>
      <c r="AY533" s="304">
        <v>4.78</v>
      </c>
      <c r="AZ533" s="304">
        <v>4.78</v>
      </c>
      <c r="BA533" s="304">
        <v>4.78</v>
      </c>
      <c r="BB533" s="304">
        <v>4.78</v>
      </c>
      <c r="BC533" s="304">
        <v>4.78</v>
      </c>
      <c r="BD533" s="304">
        <v>4.78</v>
      </c>
      <c r="BE533" s="304">
        <v>4.78</v>
      </c>
      <c r="BF533" s="304">
        <v>4.78</v>
      </c>
      <c r="BG533" s="304">
        <v>4.78</v>
      </c>
      <c r="BH533" s="304">
        <v>4.78</v>
      </c>
      <c r="BI533" s="304">
        <v>4.78</v>
      </c>
      <c r="BJ533" s="304">
        <v>4.78</v>
      </c>
      <c r="BK533" s="304">
        <v>4.78</v>
      </c>
      <c r="BL533" s="304">
        <v>4.78</v>
      </c>
      <c r="BM533" s="304">
        <v>4.78</v>
      </c>
      <c r="BN533" s="304">
        <v>4.78</v>
      </c>
      <c r="BO533" s="304">
        <v>4.78</v>
      </c>
      <c r="BP533" s="304">
        <v>4.78</v>
      </c>
      <c r="BQ533" s="304">
        <v>4.78</v>
      </c>
      <c r="BR533" s="304">
        <v>4.78</v>
      </c>
      <c r="BS533" s="226"/>
    </row>
    <row r="534" spans="1:71" x14ac:dyDescent="0.25">
      <c r="A534" s="253" t="s">
        <v>477</v>
      </c>
      <c r="B534" s="257">
        <v>8.4833917617797905</v>
      </c>
      <c r="C534" s="257">
        <v>12.566796302795399</v>
      </c>
      <c r="D534" s="257">
        <v>15.1470994949341</v>
      </c>
      <c r="E534" s="257">
        <v>13.2375335693359</v>
      </c>
      <c r="F534" s="257">
        <v>11.1595468521118</v>
      </c>
      <c r="G534" s="257">
        <v>10.509430885314901</v>
      </c>
      <c r="H534" s="257">
        <v>10.3245944976807</v>
      </c>
      <c r="I534" s="257">
        <v>10.044970512390099</v>
      </c>
      <c r="J534" s="257">
        <v>10.0157480239868</v>
      </c>
      <c r="K534" s="257">
        <v>9.9449577331543004</v>
      </c>
      <c r="L534" s="257">
        <v>10.002993583679199</v>
      </c>
      <c r="M534" s="257">
        <v>10.097089767456101</v>
      </c>
      <c r="N534" s="257">
        <v>10.020875930786101</v>
      </c>
      <c r="O534" s="257">
        <v>10.2241611480713</v>
      </c>
      <c r="P534" s="257">
        <v>10.3367824554443</v>
      </c>
      <c r="Q534" s="257">
        <v>10.319104194641101</v>
      </c>
      <c r="R534" s="257">
        <v>10.409514427185099</v>
      </c>
      <c r="S534" s="257">
        <v>10.552604675293001</v>
      </c>
      <c r="T534" s="257">
        <v>10.737306594848601</v>
      </c>
      <c r="U534" s="257">
        <v>10.9299325942993</v>
      </c>
      <c r="V534" s="257">
        <v>11.0452260971069</v>
      </c>
      <c r="W534" s="257">
        <v>11.198148727416999</v>
      </c>
      <c r="X534" s="257">
        <v>11.303442955017101</v>
      </c>
      <c r="Y534" s="257">
        <v>11.352322578430201</v>
      </c>
      <c r="AA534" s="303" t="e">
        <f t="shared" ref="AA534:AG534" si="79">AA533*GJ_p_MMBtu</f>
        <v>#NAME?</v>
      </c>
      <c r="AB534" s="303" t="e">
        <f t="shared" si="79"/>
        <v>#NAME?</v>
      </c>
      <c r="AC534" s="303" t="e">
        <f t="shared" si="79"/>
        <v>#NAME?</v>
      </c>
      <c r="AD534" s="303" t="e">
        <f t="shared" si="79"/>
        <v>#NAME?</v>
      </c>
      <c r="AE534" s="303" t="e">
        <f t="shared" si="79"/>
        <v>#NAME?</v>
      </c>
      <c r="AF534" s="303" t="e">
        <f t="shared" si="79"/>
        <v>#NAME?</v>
      </c>
      <c r="AG534" s="303" t="e">
        <f t="shared" si="79"/>
        <v>#NAME?</v>
      </c>
      <c r="AH534" s="303" t="e">
        <f t="shared" ref="AH534:BM534" si="80">AH533*GJ_p_MMBtu</f>
        <v>#NAME?</v>
      </c>
      <c r="AI534" s="303" t="e">
        <f t="shared" si="80"/>
        <v>#NAME?</v>
      </c>
      <c r="AJ534" s="303" t="e">
        <f t="shared" si="80"/>
        <v>#NAME?</v>
      </c>
      <c r="AK534" s="303" t="e">
        <f t="shared" si="80"/>
        <v>#NAME?</v>
      </c>
      <c r="AL534" s="303" t="e">
        <f t="shared" si="80"/>
        <v>#NAME?</v>
      </c>
      <c r="AM534" s="303" t="e">
        <f t="shared" si="80"/>
        <v>#NAME?</v>
      </c>
      <c r="AN534" s="303" t="e">
        <f t="shared" si="80"/>
        <v>#NAME?</v>
      </c>
      <c r="AO534" s="303" t="e">
        <f t="shared" si="80"/>
        <v>#NAME?</v>
      </c>
      <c r="AP534" s="303" t="e">
        <f t="shared" si="80"/>
        <v>#NAME?</v>
      </c>
      <c r="AQ534" s="303" t="e">
        <f t="shared" si="80"/>
        <v>#NAME?</v>
      </c>
      <c r="AR534" s="303" t="e">
        <f t="shared" si="80"/>
        <v>#NAME?</v>
      </c>
      <c r="AS534" s="303" t="e">
        <f t="shared" si="80"/>
        <v>#NAME?</v>
      </c>
      <c r="AT534" s="303" t="e">
        <f t="shared" si="80"/>
        <v>#NAME?</v>
      </c>
      <c r="AU534" s="303" t="e">
        <f t="shared" si="80"/>
        <v>#NAME?</v>
      </c>
      <c r="AV534" s="303" t="e">
        <f t="shared" si="80"/>
        <v>#NAME?</v>
      </c>
      <c r="AW534" s="303" t="e">
        <f t="shared" si="80"/>
        <v>#NAME?</v>
      </c>
      <c r="AX534" s="303" t="e">
        <f t="shared" si="80"/>
        <v>#NAME?</v>
      </c>
      <c r="AY534" s="303" t="e">
        <f t="shared" si="80"/>
        <v>#NAME?</v>
      </c>
      <c r="AZ534" s="303" t="e">
        <f t="shared" si="80"/>
        <v>#NAME?</v>
      </c>
      <c r="BA534" s="303" t="e">
        <f t="shared" si="80"/>
        <v>#NAME?</v>
      </c>
      <c r="BB534" s="303" t="e">
        <f t="shared" si="80"/>
        <v>#NAME?</v>
      </c>
      <c r="BC534" s="303" t="e">
        <f t="shared" si="80"/>
        <v>#NAME?</v>
      </c>
      <c r="BD534" s="303" t="e">
        <f t="shared" si="80"/>
        <v>#NAME?</v>
      </c>
      <c r="BE534" s="303" t="e">
        <f t="shared" si="80"/>
        <v>#NAME?</v>
      </c>
      <c r="BF534" s="303" t="e">
        <f t="shared" si="80"/>
        <v>#NAME?</v>
      </c>
      <c r="BG534" s="303" t="e">
        <f t="shared" si="80"/>
        <v>#NAME?</v>
      </c>
      <c r="BH534" s="303" t="e">
        <f t="shared" si="80"/>
        <v>#NAME?</v>
      </c>
      <c r="BI534" s="303" t="e">
        <f t="shared" si="80"/>
        <v>#NAME?</v>
      </c>
      <c r="BJ534" s="303" t="e">
        <f t="shared" si="80"/>
        <v>#NAME?</v>
      </c>
      <c r="BK534" s="303" t="e">
        <f t="shared" si="80"/>
        <v>#NAME?</v>
      </c>
      <c r="BL534" s="303" t="e">
        <f t="shared" si="80"/>
        <v>#NAME?</v>
      </c>
      <c r="BM534" s="303" t="e">
        <f t="shared" si="80"/>
        <v>#NAME?</v>
      </c>
      <c r="BN534" s="303" t="e">
        <f>BN533*GJ_p_MMBtu</f>
        <v>#NAME?</v>
      </c>
      <c r="BO534" s="303" t="e">
        <f>BO533*GJ_p_MMBtu</f>
        <v>#NAME?</v>
      </c>
      <c r="BP534" s="303" t="e">
        <f>BP533*GJ_p_MMBtu</f>
        <v>#NAME?</v>
      </c>
      <c r="BQ534" s="303" t="e">
        <f>BQ533*GJ_p_MMBtu</f>
        <v>#NAME?</v>
      </c>
      <c r="BR534" s="303" t="e">
        <f>BR533*GJ_p_MMBtu</f>
        <v>#NAME?</v>
      </c>
    </row>
    <row r="535" spans="1:71" ht="51" customHeight="1" x14ac:dyDescent="0.25">
      <c r="A535" s="253" t="s">
        <v>481</v>
      </c>
      <c r="B535" s="257">
        <v>3.9384419918060298</v>
      </c>
      <c r="C535" s="257">
        <v>4.5867881774902299</v>
      </c>
      <c r="D535" s="257">
        <v>4.6800308227539098</v>
      </c>
      <c r="E535" s="257">
        <v>4.9388971328735396</v>
      </c>
      <c r="F535" s="257">
        <v>4.6724338531494096</v>
      </c>
      <c r="G535" s="257">
        <v>4.2573971748352104</v>
      </c>
      <c r="H535" s="257">
        <v>4.0660681724548304</v>
      </c>
      <c r="I535" s="257">
        <v>3.9201312065124498</v>
      </c>
      <c r="J535" s="257">
        <v>3.8699574470520002</v>
      </c>
      <c r="K535" s="257">
        <v>3.9242179393768302</v>
      </c>
      <c r="L535" s="257">
        <v>3.9701111316680899</v>
      </c>
      <c r="M535" s="257">
        <v>4.0123748779296902</v>
      </c>
      <c r="N535" s="257">
        <v>4.03127193450928</v>
      </c>
      <c r="O535" s="257">
        <v>4.0987625122070304</v>
      </c>
      <c r="P535" s="257">
        <v>4.1393604278564498</v>
      </c>
      <c r="Q535" s="257">
        <v>4.1877317428588903</v>
      </c>
      <c r="R535" s="257">
        <v>4.2278647422790501</v>
      </c>
      <c r="S535" s="257">
        <v>4.2813539505004901</v>
      </c>
      <c r="T535" s="257">
        <v>4.3376803398132298</v>
      </c>
      <c r="U535" s="257">
        <v>4.4096555709838903</v>
      </c>
      <c r="V535" s="257">
        <v>4.4638853073120099</v>
      </c>
      <c r="W535" s="257">
        <v>4.5156707763671902</v>
      </c>
      <c r="X535" s="257">
        <v>4.5648870468139604</v>
      </c>
      <c r="Y535" s="257">
        <v>4.6165790557861301</v>
      </c>
      <c r="AA535" s="257"/>
      <c r="AB535" s="257"/>
      <c r="AC535" s="257"/>
      <c r="AD535" s="257"/>
      <c r="AE535" s="257"/>
      <c r="AF535" s="257"/>
      <c r="AG535" s="257"/>
      <c r="AH535" s="257"/>
    </row>
    <row r="536" spans="1:71" x14ac:dyDescent="0.25">
      <c r="A536" s="278" t="s">
        <v>484</v>
      </c>
      <c r="B536" s="257">
        <v>3.88655662536621</v>
      </c>
      <c r="C536" s="257">
        <v>5.55936574935913</v>
      </c>
      <c r="D536" s="257">
        <v>6.0491561889648402</v>
      </c>
      <c r="E536" s="257">
        <v>6.0767245292663601</v>
      </c>
      <c r="F536" s="257">
        <v>5.4288315773010298</v>
      </c>
      <c r="G536" s="257">
        <v>4.9784579277038601</v>
      </c>
      <c r="H536" s="257">
        <v>4.6095819473266602</v>
      </c>
      <c r="I536" s="257">
        <v>4.5152282714843803</v>
      </c>
      <c r="J536" s="257">
        <v>4.3734540939331099</v>
      </c>
      <c r="K536" s="257">
        <v>4.3719940185546902</v>
      </c>
      <c r="L536" s="257">
        <v>4.4435229301452601</v>
      </c>
      <c r="M536" s="257">
        <v>4.5411396026611301</v>
      </c>
      <c r="N536" s="257">
        <v>4.7005810737609899</v>
      </c>
      <c r="O536" s="257">
        <v>4.81768798828125</v>
      </c>
      <c r="P536" s="257">
        <v>4.7900476455688503</v>
      </c>
      <c r="Q536" s="257">
        <v>4.8231658935546902</v>
      </c>
      <c r="R536" s="257">
        <v>4.9558763504028303</v>
      </c>
      <c r="S536" s="257">
        <v>5.1147346496581996</v>
      </c>
      <c r="T536" s="257">
        <v>5.2329874038696298</v>
      </c>
      <c r="U536" s="257">
        <v>5.3250308036804199</v>
      </c>
      <c r="V536" s="257">
        <v>5.3559622764587402</v>
      </c>
      <c r="W536" s="257">
        <v>5.3499736785888699</v>
      </c>
      <c r="X536" s="257">
        <v>5.4079699516296396</v>
      </c>
      <c r="Y536" s="257">
        <v>5.4724006652831996</v>
      </c>
      <c r="Z536" s="287">
        <f>Y536+($AI$366-$Y$536)/10</f>
        <v>5.502911815190215</v>
      </c>
    </row>
    <row r="537" spans="1:71" x14ac:dyDescent="0.25">
      <c r="A537" s="253" t="s">
        <v>485</v>
      </c>
      <c r="B537" s="257">
        <v>1.88388228416443</v>
      </c>
      <c r="C537" s="257">
        <v>1.8499996662139899</v>
      </c>
      <c r="D537" s="257">
        <v>1.9631321430206301</v>
      </c>
      <c r="E537" s="257">
        <v>1.9065624475479099</v>
      </c>
      <c r="F537" s="257">
        <v>1.8876701593398999</v>
      </c>
      <c r="G537" s="257">
        <v>1.8568421602249101</v>
      </c>
      <c r="H537" s="257">
        <v>1.8503668308258101</v>
      </c>
      <c r="I537" s="257">
        <v>1.8461718559265099</v>
      </c>
      <c r="J537" s="257">
        <v>1.81827020645142</v>
      </c>
      <c r="K537" s="257">
        <v>1.79229772090912</v>
      </c>
      <c r="L537" s="257">
        <v>1.7775920629501301</v>
      </c>
      <c r="M537" s="257">
        <v>1.7720992565155</v>
      </c>
      <c r="N537" s="257">
        <v>1.7673192024230999</v>
      </c>
      <c r="O537" s="257">
        <v>1.76388168334961</v>
      </c>
      <c r="P537" s="257">
        <v>1.7582092285156301</v>
      </c>
      <c r="Q537" s="257">
        <v>1.7531107664108301</v>
      </c>
      <c r="R537" s="257">
        <v>1.7537478208541899</v>
      </c>
      <c r="S537" s="257">
        <v>1.7550060749053999</v>
      </c>
      <c r="T537" s="257">
        <v>1.75110328197479</v>
      </c>
      <c r="U537" s="257">
        <v>1.741095662117</v>
      </c>
      <c r="V537" s="257">
        <v>1.72283828258514</v>
      </c>
      <c r="W537" s="257">
        <v>1.7066173553466799</v>
      </c>
      <c r="X537" s="257">
        <v>1.6973831653595</v>
      </c>
      <c r="Y537" s="257">
        <v>1.68216860294342</v>
      </c>
    </row>
    <row r="538" spans="1:71" x14ac:dyDescent="0.25">
      <c r="A538" s="253" t="s">
        <v>486</v>
      </c>
      <c r="B538" s="257">
        <v>1.5976041555404701</v>
      </c>
      <c r="C538" s="257">
        <v>1.5543407201767001</v>
      </c>
      <c r="D538" s="257">
        <v>1.5665656328201301</v>
      </c>
      <c r="E538" s="257">
        <v>1.6037170886993399</v>
      </c>
      <c r="F538" s="257">
        <v>1.59409379959106</v>
      </c>
      <c r="G538" s="257">
        <v>1.5766631364822401</v>
      </c>
      <c r="H538" s="257">
        <v>1.5775339603424099</v>
      </c>
      <c r="I538" s="257">
        <v>1.5708864927291899</v>
      </c>
      <c r="J538" s="257">
        <v>1.5649564266204801</v>
      </c>
      <c r="K538" s="257">
        <v>1.56413578987122</v>
      </c>
      <c r="L538" s="257">
        <v>1.5547889471054099</v>
      </c>
      <c r="M538" s="257">
        <v>1.54732978343964</v>
      </c>
      <c r="N538" s="257">
        <v>1.54787278175354</v>
      </c>
      <c r="O538" s="257">
        <v>1.5495419502258301</v>
      </c>
      <c r="P538" s="257">
        <v>1.5494637489318801</v>
      </c>
      <c r="Q538" s="257">
        <v>1.5568271875381501</v>
      </c>
      <c r="R538" s="257">
        <v>1.55967605113983</v>
      </c>
      <c r="S538" s="257">
        <v>1.5613601207733201</v>
      </c>
      <c r="T538" s="257">
        <v>1.5625598430633501</v>
      </c>
      <c r="U538" s="257">
        <v>1.5681461095809901</v>
      </c>
      <c r="V538" s="257">
        <v>1.5708984136581401</v>
      </c>
      <c r="W538" s="257">
        <v>1.6035954952239999</v>
      </c>
      <c r="X538" s="257">
        <v>1.60524129867554</v>
      </c>
      <c r="Y538" s="257">
        <v>1.6024739742279099</v>
      </c>
    </row>
    <row r="539" spans="1:71" x14ac:dyDescent="0.25">
      <c r="A539" s="280" t="s">
        <v>479</v>
      </c>
      <c r="B539" s="257">
        <v>14.734835624694799</v>
      </c>
      <c r="C539" s="257">
        <v>15.0261535644531</v>
      </c>
      <c r="D539" s="257">
        <v>15.7151737213135</v>
      </c>
      <c r="E539" s="257">
        <v>15.5977983474731</v>
      </c>
      <c r="F539" s="257">
        <v>15.0554456710815</v>
      </c>
      <c r="G539" s="257">
        <v>14.415571212768601</v>
      </c>
      <c r="H539" s="257">
        <v>14.123340606689499</v>
      </c>
      <c r="I539" s="257">
        <v>14.033378601074199</v>
      </c>
      <c r="J539" s="257">
        <v>13.8423414230347</v>
      </c>
      <c r="K539" s="257">
        <v>13.6992740631104</v>
      </c>
      <c r="L539" s="257">
        <v>13.8484916687012</v>
      </c>
      <c r="M539" s="257">
        <v>14.089280128479</v>
      </c>
      <c r="N539" s="257">
        <v>14.438159942626999</v>
      </c>
      <c r="O539" s="257">
        <v>14.622407913208001</v>
      </c>
      <c r="P539" s="257">
        <v>14.680962562561</v>
      </c>
      <c r="Q539" s="257">
        <v>14.817166328430201</v>
      </c>
      <c r="R539" s="257">
        <v>15.035754203796399</v>
      </c>
      <c r="S539" s="257">
        <v>15.3131446838379</v>
      </c>
      <c r="T539" s="257">
        <v>15.467190742492701</v>
      </c>
      <c r="U539" s="257">
        <v>15.608844757080099</v>
      </c>
      <c r="V539" s="257">
        <v>15.623446464538601</v>
      </c>
      <c r="W539" s="257">
        <v>15.6070909500122</v>
      </c>
      <c r="X539" s="257">
        <v>15.6627254486084</v>
      </c>
      <c r="Y539" s="257">
        <v>15.7515544891357</v>
      </c>
      <c r="Z539" s="289">
        <f>Y539+($AI$369-$Y$539)/10</f>
        <v>15.681619149325263</v>
      </c>
    </row>
    <row r="540" spans="1:71" x14ac:dyDescent="0.25">
      <c r="A540" s="253" t="s">
        <v>440</v>
      </c>
      <c r="B540" s="257" t="s">
        <v>440</v>
      </c>
      <c r="C540" s="257" t="s">
        <v>440</v>
      </c>
      <c r="D540" s="257" t="s">
        <v>440</v>
      </c>
      <c r="E540" s="257" t="s">
        <v>440</v>
      </c>
      <c r="F540" s="257" t="s">
        <v>440</v>
      </c>
      <c r="G540" s="257" t="s">
        <v>440</v>
      </c>
      <c r="H540" s="257" t="s">
        <v>440</v>
      </c>
      <c r="I540" s="257" t="s">
        <v>440</v>
      </c>
      <c r="J540" s="257" t="s">
        <v>440</v>
      </c>
      <c r="K540" s="257" t="s">
        <v>440</v>
      </c>
      <c r="L540" s="257" t="s">
        <v>440</v>
      </c>
      <c r="M540" s="257" t="s">
        <v>440</v>
      </c>
      <c r="N540" s="257" t="s">
        <v>440</v>
      </c>
      <c r="O540" s="257" t="s">
        <v>440</v>
      </c>
      <c r="P540" s="257" t="s">
        <v>440</v>
      </c>
      <c r="Q540" s="257" t="s">
        <v>440</v>
      </c>
      <c r="R540" s="257" t="s">
        <v>440</v>
      </c>
      <c r="S540" s="257" t="s">
        <v>440</v>
      </c>
      <c r="T540" s="257" t="s">
        <v>440</v>
      </c>
      <c r="U540" s="257" t="s">
        <v>440</v>
      </c>
      <c r="V540" s="257" t="s">
        <v>440</v>
      </c>
      <c r="W540" s="257" t="s">
        <v>440</v>
      </c>
      <c r="X540" s="257" t="s">
        <v>440</v>
      </c>
      <c r="Y540" s="257" t="s">
        <v>440</v>
      </c>
    </row>
    <row r="541" spans="1:71" x14ac:dyDescent="0.25">
      <c r="A541" s="253" t="s">
        <v>487</v>
      </c>
      <c r="B541" s="257">
        <v>10.068477630615201</v>
      </c>
      <c r="C541" s="257">
        <v>11.4567165374756</v>
      </c>
      <c r="D541" s="257">
        <v>12.984972000122101</v>
      </c>
      <c r="E541" s="257">
        <v>12.646059036254901</v>
      </c>
      <c r="F541" s="257">
        <v>12.0215864181519</v>
      </c>
      <c r="G541" s="257">
        <v>11.451254844665501</v>
      </c>
      <c r="H541" s="257">
        <v>11.2903280258179</v>
      </c>
      <c r="I541" s="257">
        <v>11.054517745971699</v>
      </c>
      <c r="J541" s="257">
        <v>10.953487396240201</v>
      </c>
      <c r="K541" s="257">
        <v>10.9616088867188</v>
      </c>
      <c r="L541" s="257">
        <v>10.9120273590088</v>
      </c>
      <c r="M541" s="257">
        <v>10.9370317459106</v>
      </c>
      <c r="N541" s="257">
        <v>10.932166099548301</v>
      </c>
      <c r="O541" s="257">
        <v>10.949841499328601</v>
      </c>
      <c r="P541" s="257">
        <v>10.9948740005493</v>
      </c>
      <c r="Q541" s="257">
        <v>11.046938896179199</v>
      </c>
      <c r="R541" s="257">
        <v>11.074780464172401</v>
      </c>
      <c r="S541" s="257">
        <v>11.117128372192401</v>
      </c>
      <c r="T541" s="257">
        <v>11.155697822570801</v>
      </c>
      <c r="U541" s="257">
        <v>11.209436416626</v>
      </c>
      <c r="V541" s="257">
        <v>11.2737817764282</v>
      </c>
      <c r="W541" s="257">
        <v>11.3331050872803</v>
      </c>
      <c r="X541" s="257">
        <v>11.350456237793001</v>
      </c>
      <c r="Y541" s="257">
        <v>11.462995529174799</v>
      </c>
    </row>
    <row r="542" spans="1:71" x14ac:dyDescent="0.25">
      <c r="A542" s="253" t="s">
        <v>483</v>
      </c>
      <c r="B542" s="257">
        <v>10.0396184921265</v>
      </c>
      <c r="C542" s="257">
        <v>11.4297380447388</v>
      </c>
      <c r="D542" s="257">
        <v>12.961000442504901</v>
      </c>
      <c r="E542" s="257">
        <v>12.6219329833984</v>
      </c>
      <c r="F542" s="257">
        <v>11.9984340667725</v>
      </c>
      <c r="G542" s="257">
        <v>11.4290685653687</v>
      </c>
      <c r="H542" s="257">
        <v>11.2685947418213</v>
      </c>
      <c r="I542" s="257">
        <v>11.0320892333984</v>
      </c>
      <c r="J542" s="257">
        <v>10.930870056152299</v>
      </c>
      <c r="K542" s="257">
        <v>10.938961982727101</v>
      </c>
      <c r="L542" s="257">
        <v>10.8886499404907</v>
      </c>
      <c r="M542" s="257">
        <v>10.913072586059601</v>
      </c>
      <c r="N542" s="257">
        <v>10.9073333740234</v>
      </c>
      <c r="O542" s="257">
        <v>10.9247722625732</v>
      </c>
      <c r="P542" s="257">
        <v>10.969937324523899</v>
      </c>
      <c r="Q542" s="257">
        <v>11.021965980529799</v>
      </c>
      <c r="R542" s="257">
        <v>11.049379348754901</v>
      </c>
      <c r="S542" s="257">
        <v>11.0911350250244</v>
      </c>
      <c r="T542" s="257">
        <v>11.129392623901399</v>
      </c>
      <c r="U542" s="257">
        <v>11.182910919189499</v>
      </c>
      <c r="V542" s="257">
        <v>11.247509956359901</v>
      </c>
      <c r="W542" s="257">
        <v>11.307147026061999</v>
      </c>
      <c r="X542" s="257">
        <v>11.324338912963899</v>
      </c>
      <c r="Y542" s="257">
        <v>11.436959266662599</v>
      </c>
    </row>
    <row r="543" spans="1:71" x14ac:dyDescent="0.25">
      <c r="A543" s="253" t="s">
        <v>475</v>
      </c>
      <c r="B543" s="257">
        <v>10.0409812927246</v>
      </c>
      <c r="C543" s="257">
        <v>11.431476593017599</v>
      </c>
      <c r="D543" s="257">
        <v>12.9638833999634</v>
      </c>
      <c r="E543" s="257">
        <v>12.6248769760132</v>
      </c>
      <c r="F543" s="257">
        <v>12.0015964508057</v>
      </c>
      <c r="G543" s="257">
        <v>11.432228088378899</v>
      </c>
      <c r="H543" s="257">
        <v>11.2722625732422</v>
      </c>
      <c r="I543" s="257">
        <v>11.0358724594116</v>
      </c>
      <c r="J543" s="257">
        <v>10.934929847717299</v>
      </c>
      <c r="K543" s="257">
        <v>10.9432172775269</v>
      </c>
      <c r="L543" s="257">
        <v>10.892875671386699</v>
      </c>
      <c r="M543" s="257">
        <v>10.9173030853271</v>
      </c>
      <c r="N543" s="257">
        <v>10.911340713501</v>
      </c>
      <c r="O543" s="257">
        <v>10.928663253784199</v>
      </c>
      <c r="P543" s="257">
        <v>10.9740562438965</v>
      </c>
      <c r="Q543" s="257">
        <v>11.026309967041</v>
      </c>
      <c r="R543" s="257">
        <v>11.0536193847656</v>
      </c>
      <c r="S543" s="257">
        <v>11.0952548980713</v>
      </c>
      <c r="T543" s="257">
        <v>11.1333513259888</v>
      </c>
      <c r="U543" s="257">
        <v>11.1867895126343</v>
      </c>
      <c r="V543" s="257">
        <v>11.251508712768601</v>
      </c>
      <c r="W543" s="257">
        <v>11.3113117218018</v>
      </c>
      <c r="X543" s="257">
        <v>11.328408241271999</v>
      </c>
      <c r="Y543" s="257">
        <v>11.4412240982056</v>
      </c>
    </row>
    <row r="544" spans="1:71" x14ac:dyDescent="0.25">
      <c r="A544" s="284" t="s">
        <v>488</v>
      </c>
      <c r="B544" s="257">
        <v>9.5535230636596697</v>
      </c>
      <c r="C544" s="257">
        <v>10.9202365875244</v>
      </c>
      <c r="D544" s="257">
        <v>12.0208587646484</v>
      </c>
      <c r="E544" s="257">
        <v>11.5461339950562</v>
      </c>
      <c r="F544" s="257">
        <v>11.286841392517101</v>
      </c>
      <c r="G544" s="257">
        <v>11.003821372985801</v>
      </c>
      <c r="H544" s="257">
        <v>10.8476676940918</v>
      </c>
      <c r="I544" s="257">
        <v>10.675346374511699</v>
      </c>
      <c r="J544" s="257">
        <v>10.7599039077759</v>
      </c>
      <c r="K544" s="257">
        <v>10.8244476318359</v>
      </c>
      <c r="L544" s="257">
        <v>10.807107925415</v>
      </c>
      <c r="M544" s="257">
        <v>10.788902282714799</v>
      </c>
      <c r="N544" s="257">
        <v>10.7359352111816</v>
      </c>
      <c r="O544" s="257">
        <v>10.7108716964722</v>
      </c>
      <c r="P544" s="257">
        <v>10.6978845596313</v>
      </c>
      <c r="Q544" s="257">
        <v>10.720422744751</v>
      </c>
      <c r="R544" s="257">
        <v>10.715018272399901</v>
      </c>
      <c r="S544" s="257">
        <v>10.7237329483032</v>
      </c>
      <c r="T544" s="257">
        <v>10.658562660217299</v>
      </c>
      <c r="U544" s="257">
        <v>10.6896152496338</v>
      </c>
      <c r="V544" s="257">
        <v>10.7133436203003</v>
      </c>
      <c r="W544" s="257">
        <v>10.6396188735962</v>
      </c>
      <c r="X544" s="257">
        <v>10.6814889907837</v>
      </c>
      <c r="Y544" s="257">
        <v>10.8466644287109</v>
      </c>
      <c r="Z544" s="291">
        <f>Y544+($AI$374-$Y$544)/10</f>
        <v>11.215393895691953</v>
      </c>
    </row>
    <row r="545" spans="1:26" x14ac:dyDescent="0.25">
      <c r="A545" s="253" t="s">
        <v>489</v>
      </c>
      <c r="B545" s="257">
        <v>6.0538434982299796</v>
      </c>
      <c r="C545" s="257">
        <v>6.4578518867492702</v>
      </c>
      <c r="D545" s="257">
        <v>8.1168746948242205</v>
      </c>
      <c r="E545" s="257">
        <v>7.6875572204589799</v>
      </c>
      <c r="F545" s="257">
        <v>7.0150871276855504</v>
      </c>
      <c r="G545" s="257">
        <v>6.5790328979492196</v>
      </c>
      <c r="H545" s="257">
        <v>6.5712537765502903</v>
      </c>
      <c r="I545" s="257">
        <v>6.42602443695068</v>
      </c>
      <c r="J545" s="257">
        <v>6.2476048469543501</v>
      </c>
      <c r="K545" s="257">
        <v>6.2184038162231401</v>
      </c>
      <c r="L545" s="257">
        <v>6.2436552047729501</v>
      </c>
      <c r="M545" s="257">
        <v>6.2858424186706499</v>
      </c>
      <c r="N545" s="257">
        <v>6.2737250328064</v>
      </c>
      <c r="O545" s="257">
        <v>6.2926135063171396</v>
      </c>
      <c r="P545" s="257">
        <v>6.3336305618286097</v>
      </c>
      <c r="Q545" s="257">
        <v>6.3623290061950701</v>
      </c>
      <c r="R545" s="257">
        <v>6.4419050216674796</v>
      </c>
      <c r="S545" s="257">
        <v>6.5377755165100098</v>
      </c>
      <c r="T545" s="257">
        <v>6.5789065361022896</v>
      </c>
      <c r="U545" s="257">
        <v>6.7034192085266104</v>
      </c>
      <c r="V545" s="257">
        <v>6.8036813735961896</v>
      </c>
      <c r="W545" s="257">
        <v>6.8691210746765101</v>
      </c>
      <c r="X545" s="257">
        <v>6.8930430412292498</v>
      </c>
      <c r="Y545" s="257">
        <v>6.9258189201354998</v>
      </c>
    </row>
    <row r="546" spans="1:26" x14ac:dyDescent="0.25">
      <c r="A546" s="284" t="s">
        <v>490</v>
      </c>
      <c r="B546" s="257">
        <v>11.3207235336304</v>
      </c>
      <c r="C546" s="257">
        <v>12.9284992218018</v>
      </c>
      <c r="D546" s="257">
        <v>14.6530704498291</v>
      </c>
      <c r="E546" s="257">
        <v>14.346965789794901</v>
      </c>
      <c r="F546" s="257">
        <v>13.634911537170399</v>
      </c>
      <c r="G546" s="257">
        <v>12.9354457855225</v>
      </c>
      <c r="H546" s="257">
        <v>12.7248182296753</v>
      </c>
      <c r="I546" s="257">
        <v>12.444727897644</v>
      </c>
      <c r="J546" s="257">
        <v>12.3216390609741</v>
      </c>
      <c r="K546" s="257">
        <v>12.333900451660201</v>
      </c>
      <c r="L546" s="257">
        <v>12.228641510009799</v>
      </c>
      <c r="M546" s="257">
        <v>12.2244319915771</v>
      </c>
      <c r="N546" s="257">
        <v>12.232741355896</v>
      </c>
      <c r="O546" s="257">
        <v>12.2594261169434</v>
      </c>
      <c r="P546" s="257">
        <v>12.3207359313965</v>
      </c>
      <c r="Q546" s="257">
        <v>12.3872022628784</v>
      </c>
      <c r="R546" s="257">
        <v>12.4125566482544</v>
      </c>
      <c r="S546" s="257">
        <v>12.451280593872101</v>
      </c>
      <c r="T546" s="257">
        <v>12.520702362060501</v>
      </c>
      <c r="U546" s="257">
        <v>12.5581102371216</v>
      </c>
      <c r="V546" s="257">
        <v>12.622034072876</v>
      </c>
      <c r="W546" s="257">
        <v>12.7203483581543</v>
      </c>
      <c r="X546" s="257">
        <v>12.7153625488281</v>
      </c>
      <c r="Y546" s="257">
        <v>12.8139133453369</v>
      </c>
      <c r="Z546" s="291">
        <f>Y546+($AI$376-$Y$546)/10</f>
        <v>13.239838295522954</v>
      </c>
    </row>
    <row r="547" spans="1:26" x14ac:dyDescent="0.25">
      <c r="A547" s="253" t="s">
        <v>481</v>
      </c>
      <c r="B547" s="257">
        <v>3.83150410652161</v>
      </c>
      <c r="C547" s="257">
        <v>4.4939312934875497</v>
      </c>
      <c r="D547" s="257">
        <v>4.5839381217956499</v>
      </c>
      <c r="E547" s="257">
        <v>4.8374905586242702</v>
      </c>
      <c r="F547" s="257">
        <v>4.5451078414917001</v>
      </c>
      <c r="G547" s="257">
        <v>4.1204147338867196</v>
      </c>
      <c r="H547" s="257">
        <v>3.9213058948516801</v>
      </c>
      <c r="I547" s="257">
        <v>3.7859048843383798</v>
      </c>
      <c r="J547" s="257">
        <v>3.7380118370056201</v>
      </c>
      <c r="K547" s="257">
        <v>3.79148626327515</v>
      </c>
      <c r="L547" s="257">
        <v>3.8454215526580802</v>
      </c>
      <c r="M547" s="257">
        <v>3.8996179103851301</v>
      </c>
      <c r="N547" s="257">
        <v>3.9557838439941402</v>
      </c>
      <c r="O547" s="257">
        <v>4.0096635818481401</v>
      </c>
      <c r="P547" s="257">
        <v>4.0587000846862802</v>
      </c>
      <c r="Q547" s="257">
        <v>4.1115031242370597</v>
      </c>
      <c r="R547" s="257">
        <v>4.1679596900939897</v>
      </c>
      <c r="S547" s="257">
        <v>4.2270021438598597</v>
      </c>
      <c r="T547" s="257">
        <v>4.2823433876037598</v>
      </c>
      <c r="U547" s="257">
        <v>4.3368558883667001</v>
      </c>
      <c r="V547" s="257">
        <v>4.3924484252929696</v>
      </c>
      <c r="W547" s="257">
        <v>4.4465680122375497</v>
      </c>
      <c r="X547" s="257">
        <v>4.5027370452880904</v>
      </c>
      <c r="Y547" s="257">
        <v>4.5619544982910201</v>
      </c>
    </row>
    <row r="548" spans="1:26" x14ac:dyDescent="0.25">
      <c r="A548" s="253" t="s">
        <v>491</v>
      </c>
      <c r="B548" s="257">
        <v>15.146578788757299</v>
      </c>
      <c r="C548" s="257">
        <v>16.654964447021499</v>
      </c>
      <c r="D548" s="257">
        <v>20.603065490722699</v>
      </c>
      <c r="E548" s="257">
        <v>20.419296264648398</v>
      </c>
      <c r="F548" s="257">
        <v>16.382719039916999</v>
      </c>
      <c r="G548" s="257">
        <v>15.8189392089844</v>
      </c>
      <c r="H548" s="257">
        <v>15.6014108657837</v>
      </c>
      <c r="I548" s="257">
        <v>15.311073303222701</v>
      </c>
      <c r="J548" s="257">
        <v>15.2448682785034</v>
      </c>
      <c r="K548" s="257">
        <v>15.179443359375</v>
      </c>
      <c r="L548" s="257">
        <v>15.2014074325562</v>
      </c>
      <c r="M548" s="257">
        <v>15.2481698989868</v>
      </c>
      <c r="N548" s="257">
        <v>15.181710243225099</v>
      </c>
      <c r="O548" s="257">
        <v>15.278540611267101</v>
      </c>
      <c r="P548" s="257">
        <v>15.3825387954712</v>
      </c>
      <c r="Q548" s="257">
        <v>15.370577812194799</v>
      </c>
      <c r="R548" s="257">
        <v>15.3893880844116</v>
      </c>
      <c r="S548" s="257">
        <v>15.510032653808601</v>
      </c>
      <c r="T548" s="257">
        <v>15.6597127914429</v>
      </c>
      <c r="U548" s="257">
        <v>15.774450302124</v>
      </c>
      <c r="V548" s="257">
        <v>15.847083091735801</v>
      </c>
      <c r="W548" s="257">
        <v>16.037206649780298</v>
      </c>
      <c r="X548" s="257">
        <v>16.107362747192401</v>
      </c>
      <c r="Y548" s="257">
        <v>16.244932174682599</v>
      </c>
    </row>
    <row r="549" spans="1:26" x14ac:dyDescent="0.25">
      <c r="A549" s="253" t="s">
        <v>492</v>
      </c>
      <c r="B549" s="257">
        <v>7.2317700386047399</v>
      </c>
      <c r="C549" s="257">
        <v>9.0444478988647496</v>
      </c>
      <c r="D549" s="257">
        <v>9.7142534255981392</v>
      </c>
      <c r="E549" s="257">
        <v>9.7951860427856392</v>
      </c>
      <c r="F549" s="257">
        <v>9.2951183319091797</v>
      </c>
      <c r="G549" s="257">
        <v>8.9833269119262695</v>
      </c>
      <c r="H549" s="257">
        <v>8.7195968627929705</v>
      </c>
      <c r="I549" s="257">
        <v>8.6326360702514595</v>
      </c>
      <c r="J549" s="257">
        <v>8.5613536834716797</v>
      </c>
      <c r="K549" s="257">
        <v>8.6190090179443395</v>
      </c>
      <c r="L549" s="257">
        <v>8.7080965042114293</v>
      </c>
      <c r="M549" s="257">
        <v>8.8271207809448207</v>
      </c>
      <c r="N549" s="257">
        <v>8.9910020828247106</v>
      </c>
      <c r="O549" s="257">
        <v>9.1132879257202095</v>
      </c>
      <c r="P549" s="257">
        <v>9.1042909622192401</v>
      </c>
      <c r="Q549" s="257">
        <v>9.1039905548095703</v>
      </c>
      <c r="R549" s="257">
        <v>9.2009325027465803</v>
      </c>
      <c r="S549" s="257">
        <v>9.3432521820068395</v>
      </c>
      <c r="T549" s="257">
        <v>9.4465293884277308</v>
      </c>
      <c r="U549" s="257">
        <v>9.5402717590331996</v>
      </c>
      <c r="V549" s="257">
        <v>9.5791873931884801</v>
      </c>
      <c r="W549" s="257">
        <v>9.5845136642456108</v>
      </c>
      <c r="X549" s="257">
        <v>9.6436891555786097</v>
      </c>
      <c r="Y549" s="257">
        <v>9.694091796875</v>
      </c>
    </row>
    <row r="550" spans="1:26" x14ac:dyDescent="0.25">
      <c r="A550" s="286" t="s">
        <v>497</v>
      </c>
      <c r="B550" s="257">
        <v>14.6543264389038</v>
      </c>
      <c r="C550" s="257">
        <v>16.232709884643601</v>
      </c>
      <c r="D550" s="257">
        <v>19.6646022796631</v>
      </c>
      <c r="E550" s="257">
        <v>19.5902194976807</v>
      </c>
      <c r="F550" s="257">
        <v>19.473403930664102</v>
      </c>
      <c r="G550" s="257">
        <v>18.312351226806602</v>
      </c>
      <c r="H550" s="257">
        <v>18.154972076416001</v>
      </c>
      <c r="I550" s="257">
        <v>17.744245529174801</v>
      </c>
      <c r="J550" s="257">
        <v>17.108533859252901</v>
      </c>
      <c r="K550" s="257">
        <v>16.985416412353501</v>
      </c>
      <c r="L550" s="257">
        <v>16.891477584838899</v>
      </c>
      <c r="M550" s="257">
        <v>17.106473922729499</v>
      </c>
      <c r="N550" s="257">
        <v>17.298709869384801</v>
      </c>
      <c r="O550" s="257">
        <v>17.370653152465799</v>
      </c>
      <c r="P550" s="257">
        <v>17.404756546020501</v>
      </c>
      <c r="Q550" s="257">
        <v>17.4316711425781</v>
      </c>
      <c r="R550" s="257">
        <v>17.495216369628899</v>
      </c>
      <c r="S550" s="257">
        <v>17.111986160278299</v>
      </c>
      <c r="T550" s="257">
        <v>17.221326828002901</v>
      </c>
      <c r="U550" s="257">
        <v>17.6731853485107</v>
      </c>
      <c r="V550" s="257">
        <v>17.676996231079102</v>
      </c>
      <c r="W550" s="257">
        <v>17.866504669189499</v>
      </c>
      <c r="X550" s="257">
        <v>17.993064880371101</v>
      </c>
      <c r="Y550" s="257">
        <v>18.128524780273398</v>
      </c>
      <c r="Z550" s="293">
        <f>Y550+($AI$380-$Y$550)/10</f>
        <v>18.036478922002154</v>
      </c>
    </row>
    <row r="551" spans="1:26" x14ac:dyDescent="0.25">
      <c r="A551" s="253" t="s">
        <v>479</v>
      </c>
      <c r="B551" s="257">
        <v>20.034517288208001</v>
      </c>
      <c r="C551" s="257">
        <v>20.636144638061499</v>
      </c>
      <c r="D551" s="257">
        <v>21.1998176574707</v>
      </c>
      <c r="E551" s="257">
        <v>20.923387527465799</v>
      </c>
      <c r="F551" s="257">
        <v>19.967187881469702</v>
      </c>
      <c r="G551" s="257">
        <v>19.089002609252901</v>
      </c>
      <c r="H551" s="257">
        <v>18.799640655517599</v>
      </c>
      <c r="I551" s="257">
        <v>18.828804016113299</v>
      </c>
      <c r="J551" s="257">
        <v>18.807792663574201</v>
      </c>
      <c r="K551" s="257">
        <v>18.831340789794901</v>
      </c>
      <c r="L551" s="257">
        <v>19.0241508483887</v>
      </c>
      <c r="M551" s="257">
        <v>19.232509613037099</v>
      </c>
      <c r="N551" s="257">
        <v>19.521226882934599</v>
      </c>
      <c r="O551" s="257">
        <v>19.590469360351602</v>
      </c>
      <c r="P551" s="257">
        <v>19.544775009155298</v>
      </c>
      <c r="Q551" s="257">
        <v>19.5792236328125</v>
      </c>
      <c r="R551" s="257">
        <v>19.706111907958999</v>
      </c>
      <c r="S551" s="257">
        <v>19.899772644043001</v>
      </c>
      <c r="T551" s="257">
        <v>19.988050460815401</v>
      </c>
      <c r="U551" s="257">
        <v>20.054973602294901</v>
      </c>
      <c r="V551" s="257">
        <v>19.979206085205099</v>
      </c>
      <c r="W551" s="257">
        <v>19.890190124511701</v>
      </c>
      <c r="X551" s="257">
        <v>19.9172687530518</v>
      </c>
      <c r="Y551" s="257">
        <v>19.9590148925781</v>
      </c>
    </row>
    <row r="552" spans="1:26" x14ac:dyDescent="0.25">
      <c r="A552" s="253" t="s">
        <v>440</v>
      </c>
      <c r="B552" s="257" t="s">
        <v>440</v>
      </c>
      <c r="C552" s="257" t="s">
        <v>440</v>
      </c>
      <c r="D552" s="257" t="s">
        <v>440</v>
      </c>
      <c r="E552" s="257" t="s">
        <v>440</v>
      </c>
      <c r="F552" s="257" t="s">
        <v>440</v>
      </c>
      <c r="G552" s="257" t="s">
        <v>440</v>
      </c>
      <c r="H552" s="257" t="s">
        <v>440</v>
      </c>
      <c r="I552" s="257" t="s">
        <v>440</v>
      </c>
      <c r="J552" s="257" t="s">
        <v>440</v>
      </c>
      <c r="K552" s="257" t="s">
        <v>440</v>
      </c>
      <c r="L552" s="257" t="s">
        <v>440</v>
      </c>
      <c r="M552" s="257" t="s">
        <v>440</v>
      </c>
      <c r="N552" s="257" t="s">
        <v>440</v>
      </c>
      <c r="O552" s="257" t="s">
        <v>440</v>
      </c>
      <c r="P552" s="257" t="s">
        <v>440</v>
      </c>
      <c r="Q552" s="257" t="s">
        <v>440</v>
      </c>
      <c r="R552" s="257" t="s">
        <v>440</v>
      </c>
      <c r="S552" s="257" t="s">
        <v>440</v>
      </c>
      <c r="T552" s="257" t="s">
        <v>440</v>
      </c>
      <c r="U552" s="257" t="s">
        <v>440</v>
      </c>
      <c r="V552" s="257" t="s">
        <v>440</v>
      </c>
      <c r="W552" s="257" t="s">
        <v>440</v>
      </c>
      <c r="X552" s="257" t="s">
        <v>440</v>
      </c>
      <c r="Y552" s="257" t="s">
        <v>440</v>
      </c>
    </row>
    <row r="553" spans="1:26" x14ac:dyDescent="0.25">
      <c r="A553" s="253" t="s">
        <v>498</v>
      </c>
      <c r="B553" s="257">
        <v>10.2607097625732</v>
      </c>
      <c r="C553" s="257">
        <v>11.4965677261353</v>
      </c>
      <c r="D553" s="257">
        <v>12.498481750488301</v>
      </c>
      <c r="E553" s="257">
        <v>12.3126974105835</v>
      </c>
      <c r="F553" s="257">
        <v>11.5857706069946</v>
      </c>
      <c r="G553" s="257">
        <v>11.0374755859375</v>
      </c>
      <c r="H553" s="257">
        <v>10.8027191162109</v>
      </c>
      <c r="I553" s="257">
        <v>10.6485815048218</v>
      </c>
      <c r="J553" s="257">
        <v>10.5555610656738</v>
      </c>
      <c r="K553" s="257">
        <v>10.564617156982401</v>
      </c>
      <c r="L553" s="257">
        <v>10.6249675750732</v>
      </c>
      <c r="M553" s="257">
        <v>10.7333173751831</v>
      </c>
      <c r="N553" s="257">
        <v>10.851320266723601</v>
      </c>
      <c r="O553" s="257">
        <v>10.9544372558594</v>
      </c>
      <c r="P553" s="257">
        <v>11.0046529769897</v>
      </c>
      <c r="Q553" s="257">
        <v>11.070010185241699</v>
      </c>
      <c r="R553" s="257">
        <v>11.175311088561999</v>
      </c>
      <c r="S553" s="257">
        <v>11.313448905944799</v>
      </c>
      <c r="T553" s="257">
        <v>11.4217777252197</v>
      </c>
      <c r="U553" s="257">
        <v>11.534593582153301</v>
      </c>
      <c r="V553" s="257">
        <v>11.6029949188232</v>
      </c>
      <c r="W553" s="257">
        <v>11.660957336425801</v>
      </c>
      <c r="X553" s="257">
        <v>11.7183265686035</v>
      </c>
      <c r="Y553" s="257">
        <v>11.827390670776399</v>
      </c>
    </row>
    <row r="554" spans="1:26" x14ac:dyDescent="0.25">
      <c r="A554" s="253" t="s">
        <v>483</v>
      </c>
      <c r="B554" s="257">
        <v>7.8488264083862296</v>
      </c>
      <c r="C554" s="257">
        <v>9.3171482086181605</v>
      </c>
      <c r="D554" s="257">
        <v>10.5270042419434</v>
      </c>
      <c r="E554" s="257">
        <v>10.2914838790894</v>
      </c>
      <c r="F554" s="257">
        <v>9.5772314071655291</v>
      </c>
      <c r="G554" s="257">
        <v>9.0944671630859393</v>
      </c>
      <c r="H554" s="257">
        <v>8.8957033157348597</v>
      </c>
      <c r="I554" s="257">
        <v>8.7092790603637695</v>
      </c>
      <c r="J554" s="257">
        <v>8.6138839721679705</v>
      </c>
      <c r="K554" s="257">
        <v>8.6225843429565394</v>
      </c>
      <c r="L554" s="257">
        <v>8.6363019943237305</v>
      </c>
      <c r="M554" s="257">
        <v>8.7009534835815394</v>
      </c>
      <c r="N554" s="257">
        <v>8.7555856704711896</v>
      </c>
      <c r="O554" s="257">
        <v>8.8331260681152308</v>
      </c>
      <c r="P554" s="257">
        <v>8.8750228881835902</v>
      </c>
      <c r="Q554" s="257">
        <v>8.9212465286254901</v>
      </c>
      <c r="R554" s="257">
        <v>8.9933633804321307</v>
      </c>
      <c r="S554" s="257">
        <v>9.0904560089111293</v>
      </c>
      <c r="T554" s="257">
        <v>9.1763067245483398</v>
      </c>
      <c r="U554" s="257">
        <v>9.2688179016113299</v>
      </c>
      <c r="V554" s="257">
        <v>9.3425512313842791</v>
      </c>
      <c r="W554" s="257">
        <v>9.4030828475952095</v>
      </c>
      <c r="X554" s="257">
        <v>9.4481410980224592</v>
      </c>
      <c r="Y554" s="257">
        <v>9.5455484390258807</v>
      </c>
    </row>
    <row r="555" spans="1:26" x14ac:dyDescent="0.25">
      <c r="A555" s="253" t="s">
        <v>479</v>
      </c>
      <c r="B555" s="257">
        <v>21.599882125854499</v>
      </c>
      <c r="C555" s="257">
        <v>21.735733032226602</v>
      </c>
      <c r="D555" s="257">
        <v>21.728578567504901</v>
      </c>
      <c r="E555" s="257">
        <v>21.659519195556602</v>
      </c>
      <c r="F555" s="257">
        <v>20.859115600585898</v>
      </c>
      <c r="G555" s="257">
        <v>19.947565078735401</v>
      </c>
      <c r="H555" s="257">
        <v>19.5044040679932</v>
      </c>
      <c r="I555" s="257">
        <v>19.468164443969702</v>
      </c>
      <c r="J555" s="257">
        <v>19.363897323608398</v>
      </c>
      <c r="K555" s="257">
        <v>19.340778350830099</v>
      </c>
      <c r="L555" s="257">
        <v>19.565423965454102</v>
      </c>
      <c r="M555" s="257">
        <v>19.829431533813501</v>
      </c>
      <c r="N555" s="257">
        <v>20.184032440185501</v>
      </c>
      <c r="O555" s="257">
        <v>20.348131179809599</v>
      </c>
      <c r="P555" s="257">
        <v>20.384618759155298</v>
      </c>
      <c r="Q555" s="257">
        <v>20.4941310882568</v>
      </c>
      <c r="R555" s="257">
        <v>20.6934413909912</v>
      </c>
      <c r="S555" s="257">
        <v>20.961088180541999</v>
      </c>
      <c r="T555" s="257">
        <v>21.1064147949219</v>
      </c>
      <c r="U555" s="257">
        <v>21.2582683563232</v>
      </c>
      <c r="V555" s="257">
        <v>21.2429523468018</v>
      </c>
      <c r="W555" s="257">
        <v>21.2300205230713</v>
      </c>
      <c r="X555" s="257">
        <v>21.277418136596701</v>
      </c>
      <c r="Y555" s="257">
        <v>21.3841457366943</v>
      </c>
    </row>
    <row r="556" spans="1:26" x14ac:dyDescent="0.25">
      <c r="A556" s="253" t="s">
        <v>440</v>
      </c>
      <c r="B556" s="257" t="s">
        <v>440</v>
      </c>
      <c r="C556" s="257" t="s">
        <v>440</v>
      </c>
      <c r="D556" s="257" t="s">
        <v>440</v>
      </c>
      <c r="E556" s="257" t="s">
        <v>440</v>
      </c>
      <c r="F556" s="257" t="s">
        <v>440</v>
      </c>
      <c r="G556" s="257" t="s">
        <v>440</v>
      </c>
      <c r="H556" s="257" t="s">
        <v>440</v>
      </c>
      <c r="I556" s="257" t="s">
        <v>440</v>
      </c>
      <c r="J556" s="257" t="s">
        <v>440</v>
      </c>
      <c r="K556" s="257" t="s">
        <v>440</v>
      </c>
      <c r="L556" s="257" t="s">
        <v>440</v>
      </c>
      <c r="M556" s="257" t="s">
        <v>440</v>
      </c>
      <c r="N556" s="257" t="s">
        <v>440</v>
      </c>
      <c r="O556" s="257" t="s">
        <v>440</v>
      </c>
      <c r="P556" s="257" t="s">
        <v>440</v>
      </c>
      <c r="Q556" s="257" t="s">
        <v>440</v>
      </c>
      <c r="R556" s="257" t="s">
        <v>440</v>
      </c>
      <c r="S556" s="257" t="s">
        <v>440</v>
      </c>
      <c r="T556" s="257" t="s">
        <v>440</v>
      </c>
      <c r="U556" s="257" t="s">
        <v>440</v>
      </c>
      <c r="V556" s="257" t="s">
        <v>440</v>
      </c>
      <c r="W556" s="257" t="s">
        <v>440</v>
      </c>
      <c r="X556" s="257" t="s">
        <v>440</v>
      </c>
      <c r="Y556" s="257" t="s">
        <v>440</v>
      </c>
    </row>
    <row r="557" spans="1:26" x14ac:dyDescent="0.25">
      <c r="A557" s="253" t="s">
        <v>499</v>
      </c>
      <c r="B557" s="257" t="s">
        <v>440</v>
      </c>
      <c r="C557" s="257" t="s">
        <v>440</v>
      </c>
      <c r="D557" s="257" t="s">
        <v>440</v>
      </c>
      <c r="E557" s="257" t="s">
        <v>440</v>
      </c>
      <c r="F557" s="257" t="s">
        <v>440</v>
      </c>
      <c r="G557" s="257" t="s">
        <v>440</v>
      </c>
      <c r="H557" s="257" t="s">
        <v>440</v>
      </c>
      <c r="I557" s="257" t="s">
        <v>440</v>
      </c>
      <c r="J557" s="257" t="s">
        <v>440</v>
      </c>
      <c r="K557" s="257" t="s">
        <v>440</v>
      </c>
      <c r="L557" s="257" t="s">
        <v>440</v>
      </c>
      <c r="M557" s="257" t="s">
        <v>440</v>
      </c>
      <c r="N557" s="257" t="s">
        <v>440</v>
      </c>
      <c r="O557" s="257" t="s">
        <v>440</v>
      </c>
      <c r="P557" s="257" t="s">
        <v>440</v>
      </c>
      <c r="Q557" s="257" t="s">
        <v>440</v>
      </c>
      <c r="R557" s="257" t="s">
        <v>440</v>
      </c>
      <c r="S557" s="257" t="s">
        <v>440</v>
      </c>
      <c r="T557" s="257" t="s">
        <v>440</v>
      </c>
      <c r="U557" s="257" t="s">
        <v>440</v>
      </c>
      <c r="V557" s="257" t="s">
        <v>440</v>
      </c>
      <c r="W557" s="257" t="s">
        <v>440</v>
      </c>
      <c r="X557" s="257" t="s">
        <v>440</v>
      </c>
      <c r="Y557" s="257" t="s">
        <v>440</v>
      </c>
    </row>
    <row r="558" spans="1:26" x14ac:dyDescent="0.25">
      <c r="A558" s="253" t="s">
        <v>500</v>
      </c>
      <c r="B558" s="257">
        <v>1.8996955156326301</v>
      </c>
      <c r="C558" s="257">
        <v>2.2409727573394802</v>
      </c>
      <c r="D558" s="257">
        <v>2.4238619804382302</v>
      </c>
      <c r="E558" s="257">
        <v>2.3792355060577401</v>
      </c>
      <c r="F558" s="257">
        <v>2.2243471145629901</v>
      </c>
      <c r="G558" s="257">
        <v>2.11745405197144</v>
      </c>
      <c r="H558" s="257">
        <v>2.0720956325531001</v>
      </c>
      <c r="I558" s="257">
        <v>2.06648945808411</v>
      </c>
      <c r="J558" s="257">
        <v>2.0576293468475302</v>
      </c>
      <c r="K558" s="257">
        <v>2.0898380279540998</v>
      </c>
      <c r="L558" s="257">
        <v>2.13185787200928</v>
      </c>
      <c r="M558" s="257">
        <v>2.1827101707458501</v>
      </c>
      <c r="N558" s="257">
        <v>2.2442750930786102</v>
      </c>
      <c r="O558" s="257">
        <v>2.2846662998199498</v>
      </c>
      <c r="P558" s="257">
        <v>2.2886507511138898</v>
      </c>
      <c r="Q558" s="257">
        <v>2.31255102157593</v>
      </c>
      <c r="R558" s="257">
        <v>2.3658699989318799</v>
      </c>
      <c r="S558" s="257">
        <v>2.41897773742676</v>
      </c>
      <c r="T558" s="257">
        <v>2.4451649188995401</v>
      </c>
      <c r="U558" s="257">
        <v>2.4616906642913801</v>
      </c>
      <c r="V558" s="257">
        <v>2.4596512317657502</v>
      </c>
      <c r="W558" s="257">
        <v>2.4499151706695601</v>
      </c>
      <c r="X558" s="257">
        <v>2.46315670013428</v>
      </c>
      <c r="Y558" s="257">
        <v>2.4591720104217498</v>
      </c>
    </row>
    <row r="559" spans="1:26" x14ac:dyDescent="0.25">
      <c r="A559" s="253" t="s">
        <v>502</v>
      </c>
      <c r="B559" s="257">
        <v>4.3748912811279297</v>
      </c>
      <c r="C559" s="257">
        <v>5.2786889076232901</v>
      </c>
      <c r="D559" s="257">
        <v>5.9517397880554199</v>
      </c>
      <c r="E559" s="257">
        <v>5.8145914077758798</v>
      </c>
      <c r="F559" s="257">
        <v>5.36482858657837</v>
      </c>
      <c r="G559" s="257">
        <v>4.9555935859680202</v>
      </c>
      <c r="H559" s="257">
        <v>4.76583051681519</v>
      </c>
      <c r="I559" s="257">
        <v>4.6106519699096697</v>
      </c>
      <c r="J559" s="257">
        <v>4.5544371604919398</v>
      </c>
      <c r="K559" s="257">
        <v>4.5760931968689</v>
      </c>
      <c r="L559" s="257">
        <v>4.6005949974060103</v>
      </c>
      <c r="M559" s="257">
        <v>4.65545606613159</v>
      </c>
      <c r="N559" s="257">
        <v>4.7050404548645002</v>
      </c>
      <c r="O559" s="257">
        <v>4.76641750335693</v>
      </c>
      <c r="P559" s="257">
        <v>4.8219771385192898</v>
      </c>
      <c r="Q559" s="257">
        <v>4.8744759559631303</v>
      </c>
      <c r="R559" s="257">
        <v>4.9555630683898899</v>
      </c>
      <c r="S559" s="257">
        <v>5.0235657691955602</v>
      </c>
      <c r="T559" s="257">
        <v>5.0990805625915501</v>
      </c>
      <c r="U559" s="257">
        <v>5.1768889427185103</v>
      </c>
      <c r="V559" s="257">
        <v>5.2447147369384801</v>
      </c>
      <c r="W559" s="257">
        <v>5.3197603225707999</v>
      </c>
      <c r="X559" s="257">
        <v>5.3696103096008301</v>
      </c>
      <c r="Y559" s="257">
        <v>5.4173326492309597</v>
      </c>
    </row>
    <row r="560" spans="1:26" x14ac:dyDescent="0.25">
      <c r="A560" s="253" t="s">
        <v>476</v>
      </c>
      <c r="B560" s="257">
        <v>5.6938004493713397</v>
      </c>
      <c r="C560" s="257">
        <v>6.4773354530334499</v>
      </c>
      <c r="D560" s="257">
        <v>7.1750502586364702</v>
      </c>
      <c r="E560" s="257">
        <v>6.8899459838867196</v>
      </c>
      <c r="F560" s="257">
        <v>6.2672758102417001</v>
      </c>
      <c r="G560" s="257">
        <v>5.8609590530395499</v>
      </c>
      <c r="H560" s="257">
        <v>5.6430783271789604</v>
      </c>
      <c r="I560" s="257">
        <v>5.4534807205200204</v>
      </c>
      <c r="J560" s="257">
        <v>5.3617582321167001</v>
      </c>
      <c r="K560" s="257">
        <v>5.3288640975952104</v>
      </c>
      <c r="L560" s="257">
        <v>5.3712139129638699</v>
      </c>
      <c r="M560" s="257">
        <v>5.41644287109375</v>
      </c>
      <c r="N560" s="257">
        <v>5.4747476577758798</v>
      </c>
      <c r="O560" s="257">
        <v>5.5268063545227104</v>
      </c>
      <c r="P560" s="257">
        <v>5.5894103050231898</v>
      </c>
      <c r="Q560" s="257">
        <v>5.6297807693481401</v>
      </c>
      <c r="R560" s="257">
        <v>5.7926478385925302</v>
      </c>
      <c r="S560" s="257">
        <v>5.9167857170104998</v>
      </c>
      <c r="T560" s="257">
        <v>6.0082931518554696</v>
      </c>
      <c r="U560" s="257">
        <v>6.11431789398193</v>
      </c>
      <c r="V560" s="257">
        <v>6.21482229232788</v>
      </c>
      <c r="W560" s="257">
        <v>6.2930455207824698</v>
      </c>
      <c r="X560" s="257">
        <v>6.3174986839294398</v>
      </c>
      <c r="Y560" s="257">
        <v>6.3298768997192401</v>
      </c>
    </row>
    <row r="561" spans="1:26" x14ac:dyDescent="0.25">
      <c r="A561" s="253" t="s">
        <v>481</v>
      </c>
      <c r="B561" s="257">
        <v>3.9850425720214799</v>
      </c>
      <c r="C561" s="257">
        <v>4.7911210060119602</v>
      </c>
      <c r="D561" s="257">
        <v>5.5054435729980504</v>
      </c>
      <c r="E561" s="257">
        <v>5.3836607933044398</v>
      </c>
      <c r="F561" s="257">
        <v>4.9928164482116699</v>
      </c>
      <c r="G561" s="257">
        <v>4.5735058784484899</v>
      </c>
      <c r="H561" s="257">
        <v>4.37508344650269</v>
      </c>
      <c r="I561" s="257">
        <v>4.2357888221740696</v>
      </c>
      <c r="J561" s="257">
        <v>4.1871180534362802</v>
      </c>
      <c r="K561" s="257">
        <v>4.2367839813232404</v>
      </c>
      <c r="L561" s="257">
        <v>4.2823972702026403</v>
      </c>
      <c r="M561" s="257">
        <v>4.3351020812988299</v>
      </c>
      <c r="N561" s="257">
        <v>4.38077735900879</v>
      </c>
      <c r="O561" s="257">
        <v>4.4392328262329102</v>
      </c>
      <c r="P561" s="257">
        <v>4.4927945137023899</v>
      </c>
      <c r="Q561" s="257">
        <v>4.5466628074645996</v>
      </c>
      <c r="R561" s="257">
        <v>4.5988087654113796</v>
      </c>
      <c r="S561" s="257">
        <v>4.6550941467285201</v>
      </c>
      <c r="T561" s="257">
        <v>4.7130184173584002</v>
      </c>
      <c r="U561" s="257">
        <v>4.7694864273071298</v>
      </c>
      <c r="V561" s="257">
        <v>4.8261427879333496</v>
      </c>
      <c r="W561" s="257">
        <v>4.8835220336914098</v>
      </c>
      <c r="X561" s="257">
        <v>4.9410810470581099</v>
      </c>
      <c r="Y561" s="257">
        <v>5.0030183792114302</v>
      </c>
    </row>
    <row r="562" spans="1:26" x14ac:dyDescent="0.25">
      <c r="A562" s="278" t="s">
        <v>478</v>
      </c>
      <c r="B562" s="257">
        <v>3.6857740879058798</v>
      </c>
      <c r="C562" s="257">
        <v>5.4593739509582502</v>
      </c>
      <c r="D562" s="257">
        <v>5.9836626052856401</v>
      </c>
      <c r="E562" s="257">
        <v>5.9217834472656303</v>
      </c>
      <c r="F562" s="257">
        <v>5.2677536010742196</v>
      </c>
      <c r="G562" s="257">
        <v>4.83196926116943</v>
      </c>
      <c r="H562" s="257">
        <v>4.4959845542907697</v>
      </c>
      <c r="I562" s="257">
        <v>4.3869647979736301</v>
      </c>
      <c r="J562" s="257">
        <v>4.2738447189331099</v>
      </c>
      <c r="K562" s="257">
        <v>4.3073697090148899</v>
      </c>
      <c r="L562" s="257">
        <v>4.4138617515564</v>
      </c>
      <c r="M562" s="257">
        <v>4.5377993583679199</v>
      </c>
      <c r="N562" s="257">
        <v>4.6997785568237296</v>
      </c>
      <c r="O562" s="257">
        <v>4.8059244155883798</v>
      </c>
      <c r="P562" s="257">
        <v>4.7723231315612802</v>
      </c>
      <c r="Q562" s="257">
        <v>4.7962751388549796</v>
      </c>
      <c r="R562" s="257">
        <v>4.93237209320068</v>
      </c>
      <c r="S562" s="257">
        <v>5.0951194763183603</v>
      </c>
      <c r="T562" s="257">
        <v>5.2029786109924299</v>
      </c>
      <c r="U562" s="257">
        <v>5.2939982414245597</v>
      </c>
      <c r="V562" s="257">
        <v>5.3285460472106898</v>
      </c>
      <c r="W562" s="257">
        <v>5.3187093734741202</v>
      </c>
      <c r="X562" s="257">
        <v>5.3844461441040004</v>
      </c>
      <c r="Y562" s="257">
        <v>5.4420223236084002</v>
      </c>
      <c r="Z562" s="287">
        <f>Y562+($AI$392-$Y$562)/10</f>
        <v>5.4722581683132612</v>
      </c>
    </row>
    <row r="563" spans="1:26" x14ac:dyDescent="0.25">
      <c r="A563" s="282" t="s">
        <v>486</v>
      </c>
      <c r="B563" s="257">
        <v>1.2699717283248899</v>
      </c>
      <c r="C563" s="257">
        <v>1.27919089794159</v>
      </c>
      <c r="D563" s="257">
        <v>1.2833664417266799</v>
      </c>
      <c r="E563" s="257">
        <v>1.28942894935608</v>
      </c>
      <c r="F563" s="257">
        <v>1.29215919971466</v>
      </c>
      <c r="G563" s="257">
        <v>1.28011155128479</v>
      </c>
      <c r="H563" s="257">
        <v>1.2771430015564</v>
      </c>
      <c r="I563" s="257">
        <v>1.2664887905120801</v>
      </c>
      <c r="J563" s="257">
        <v>1.2516112327575699</v>
      </c>
      <c r="K563" s="257">
        <v>1.2440552711486801</v>
      </c>
      <c r="L563" s="257">
        <v>1.2386393547058101</v>
      </c>
      <c r="M563" s="257">
        <v>1.23525643348694</v>
      </c>
      <c r="N563" s="257">
        <v>1.23468470573425</v>
      </c>
      <c r="O563" s="257">
        <v>1.2341449260711701</v>
      </c>
      <c r="P563" s="257">
        <v>1.23174548149109</v>
      </c>
      <c r="Q563" s="257">
        <v>1.2347780466079701</v>
      </c>
      <c r="R563" s="257">
        <v>1.23870933055878</v>
      </c>
      <c r="S563" s="257">
        <v>1.2427853345871001</v>
      </c>
      <c r="T563" s="257">
        <v>1.24646520614624</v>
      </c>
      <c r="U563" s="257">
        <v>1.2552444934845</v>
      </c>
      <c r="V563" s="257">
        <v>1.26424860954285</v>
      </c>
      <c r="W563" s="257">
        <v>1.2944931983947801</v>
      </c>
      <c r="X563" s="257">
        <v>1.3030458688736</v>
      </c>
      <c r="Y563" s="257">
        <v>1.30599772930145</v>
      </c>
      <c r="Z563" s="295">
        <f>Y563+($AI$393-$Y$563)/10</f>
        <v>1.3088234854404943</v>
      </c>
    </row>
    <row r="564" spans="1:26" x14ac:dyDescent="0.25">
      <c r="A564" s="253" t="s">
        <v>440</v>
      </c>
      <c r="B564" s="257" t="s">
        <v>440</v>
      </c>
      <c r="C564" s="257" t="s">
        <v>440</v>
      </c>
      <c r="D564" s="257" t="s">
        <v>440</v>
      </c>
      <c r="E564" s="257" t="s">
        <v>440</v>
      </c>
      <c r="F564" s="257" t="s">
        <v>440</v>
      </c>
      <c r="G564" s="257" t="s">
        <v>440</v>
      </c>
      <c r="H564" s="257" t="s">
        <v>440</v>
      </c>
      <c r="I564" s="257" t="s">
        <v>440</v>
      </c>
      <c r="J564" s="257" t="s">
        <v>440</v>
      </c>
      <c r="K564" s="257" t="s">
        <v>440</v>
      </c>
      <c r="L564" s="257" t="s">
        <v>440</v>
      </c>
      <c r="M564" s="257" t="s">
        <v>440</v>
      </c>
      <c r="N564" s="257" t="s">
        <v>440</v>
      </c>
      <c r="O564" s="257" t="s">
        <v>440</v>
      </c>
      <c r="P564" s="257" t="s">
        <v>440</v>
      </c>
      <c r="Q564" s="257" t="s">
        <v>440</v>
      </c>
      <c r="R564" s="257" t="s">
        <v>440</v>
      </c>
      <c r="S564" s="257" t="s">
        <v>440</v>
      </c>
      <c r="T564" s="257" t="s">
        <v>440</v>
      </c>
      <c r="U564" s="257" t="s">
        <v>440</v>
      </c>
      <c r="V564" s="257" t="s">
        <v>440</v>
      </c>
      <c r="W564" s="257" t="s">
        <v>440</v>
      </c>
      <c r="X564" s="257" t="s">
        <v>440</v>
      </c>
      <c r="Y564" s="257" t="s">
        <v>440</v>
      </c>
    </row>
    <row r="565" spans="1:26" x14ac:dyDescent="0.25">
      <c r="A565" s="253" t="s">
        <v>503</v>
      </c>
      <c r="B565" s="257" t="s">
        <v>440</v>
      </c>
      <c r="C565" s="257" t="s">
        <v>440</v>
      </c>
      <c r="D565" s="257" t="s">
        <v>440</v>
      </c>
      <c r="E565" s="257" t="s">
        <v>440</v>
      </c>
      <c r="F565" s="257" t="s">
        <v>440</v>
      </c>
      <c r="G565" s="257" t="s">
        <v>440</v>
      </c>
      <c r="H565" s="257" t="s">
        <v>440</v>
      </c>
      <c r="I565" s="257" t="s">
        <v>440</v>
      </c>
      <c r="J565" s="257" t="s">
        <v>440</v>
      </c>
      <c r="K565" s="257" t="s">
        <v>440</v>
      </c>
      <c r="L565" s="257" t="s">
        <v>440</v>
      </c>
      <c r="M565" s="257" t="s">
        <v>440</v>
      </c>
      <c r="N565" s="257" t="s">
        <v>440</v>
      </c>
      <c r="O565" s="257" t="s">
        <v>440</v>
      </c>
      <c r="P565" s="257" t="s">
        <v>440</v>
      </c>
      <c r="Q565" s="257" t="s">
        <v>440</v>
      </c>
      <c r="R565" s="257" t="s">
        <v>440</v>
      </c>
      <c r="S565" s="257" t="s">
        <v>440</v>
      </c>
      <c r="T565" s="257" t="s">
        <v>440</v>
      </c>
      <c r="U565" s="257" t="s">
        <v>440</v>
      </c>
      <c r="V565" s="257" t="s">
        <v>440</v>
      </c>
      <c r="W565" s="257" t="s">
        <v>440</v>
      </c>
      <c r="X565" s="257" t="s">
        <v>440</v>
      </c>
      <c r="Y565" s="257" t="s">
        <v>440</v>
      </c>
    </row>
    <row r="566" spans="1:26" x14ac:dyDescent="0.25">
      <c r="A566" s="253" t="s">
        <v>504</v>
      </c>
      <c r="B566" s="257">
        <v>9.0916013717651403</v>
      </c>
      <c r="C566" s="257">
        <v>10.5092258453369</v>
      </c>
      <c r="D566" s="257">
        <v>12.005053520202599</v>
      </c>
      <c r="E566" s="257">
        <v>11.630154609680201</v>
      </c>
      <c r="F566" s="257">
        <v>10.867414474487299</v>
      </c>
      <c r="G566" s="257">
        <v>10.341483116149901</v>
      </c>
      <c r="H566" s="257">
        <v>10.206826210021999</v>
      </c>
      <c r="I566" s="257">
        <v>9.9809312820434606</v>
      </c>
      <c r="J566" s="257">
        <v>9.9117403030395508</v>
      </c>
      <c r="K566" s="257">
        <v>9.9329805374145508</v>
      </c>
      <c r="L566" s="257">
        <v>9.9184780120849592</v>
      </c>
      <c r="M566" s="257">
        <v>9.9575662612915004</v>
      </c>
      <c r="N566" s="257">
        <v>9.9538516998290998</v>
      </c>
      <c r="O566" s="257">
        <v>10.000968933105501</v>
      </c>
      <c r="P566" s="257">
        <v>10.066521644592299</v>
      </c>
      <c r="Q566" s="257">
        <v>10.122728347778301</v>
      </c>
      <c r="R566" s="257">
        <v>10.166119575500501</v>
      </c>
      <c r="S566" s="257">
        <v>10.2242088317871</v>
      </c>
      <c r="T566" s="257">
        <v>10.2887620925903</v>
      </c>
      <c r="U566" s="257">
        <v>10.370365142822299</v>
      </c>
      <c r="V566" s="257">
        <v>10.451409339904799</v>
      </c>
      <c r="W566" s="257">
        <v>10.528607368469199</v>
      </c>
      <c r="X566" s="257">
        <v>10.560112953186</v>
      </c>
      <c r="Y566" s="257">
        <v>10.6600894927979</v>
      </c>
    </row>
    <row r="567" spans="1:26" x14ac:dyDescent="0.25">
      <c r="A567" s="253" t="s">
        <v>505</v>
      </c>
      <c r="B567" s="257">
        <v>8.7129955291747994</v>
      </c>
      <c r="C567" s="257">
        <v>9.89868068695068</v>
      </c>
      <c r="D567" s="257">
        <v>10.9323616027832</v>
      </c>
      <c r="E567" s="257">
        <v>10.516496658325201</v>
      </c>
      <c r="F567" s="257">
        <v>10.0722150802612</v>
      </c>
      <c r="G567" s="257">
        <v>9.7644062042236293</v>
      </c>
      <c r="H567" s="257">
        <v>9.6708259582519496</v>
      </c>
      <c r="I567" s="257">
        <v>9.5059432983398402</v>
      </c>
      <c r="J567" s="257">
        <v>9.5328626632690394</v>
      </c>
      <c r="K567" s="257">
        <v>9.6073579788208008</v>
      </c>
      <c r="L567" s="257">
        <v>9.6717586517334002</v>
      </c>
      <c r="M567" s="257">
        <v>9.7472448348999006</v>
      </c>
      <c r="N567" s="257">
        <v>9.7227439880371094</v>
      </c>
      <c r="O567" s="257">
        <v>9.7185726165771502</v>
      </c>
      <c r="P567" s="257">
        <v>9.7264575958252006</v>
      </c>
      <c r="Q567" s="257">
        <v>9.7659683227539098</v>
      </c>
      <c r="R567" s="257">
        <v>9.7933034896850604</v>
      </c>
      <c r="S567" s="257">
        <v>9.8243274688720703</v>
      </c>
      <c r="T567" s="257">
        <v>9.7878532409668004</v>
      </c>
      <c r="U567" s="257">
        <v>9.8349857330322301</v>
      </c>
      <c r="V567" s="257">
        <v>9.8761272430419904</v>
      </c>
      <c r="W567" s="257">
        <v>9.8313732147216797</v>
      </c>
      <c r="X567" s="257">
        <v>9.8799133300781303</v>
      </c>
      <c r="Y567" s="257">
        <v>10.0311069488525</v>
      </c>
    </row>
    <row r="568" spans="1:26" x14ac:dyDescent="0.25">
      <c r="A568" s="253" t="s">
        <v>506</v>
      </c>
      <c r="B568" s="257">
        <v>6.0538434982299796</v>
      </c>
      <c r="C568" s="257">
        <v>6.4578518867492702</v>
      </c>
      <c r="D568" s="257">
        <v>8.1168746948242205</v>
      </c>
      <c r="E568" s="257">
        <v>7.6875572204589799</v>
      </c>
      <c r="F568" s="257">
        <v>7.0150871276855504</v>
      </c>
      <c r="G568" s="257">
        <v>6.5790328979492196</v>
      </c>
      <c r="H568" s="257">
        <v>6.5712537765502903</v>
      </c>
      <c r="I568" s="257">
        <v>6.42602443695068</v>
      </c>
      <c r="J568" s="257">
        <v>6.2476048469543501</v>
      </c>
      <c r="K568" s="257">
        <v>6.2184038162231401</v>
      </c>
      <c r="L568" s="257">
        <v>6.2436552047729501</v>
      </c>
      <c r="M568" s="257">
        <v>6.2858424186706499</v>
      </c>
      <c r="N568" s="257">
        <v>6.2737250328064</v>
      </c>
      <c r="O568" s="257">
        <v>6.2926135063171396</v>
      </c>
      <c r="P568" s="257">
        <v>6.3336305618286097</v>
      </c>
      <c r="Q568" s="257">
        <v>6.3623290061950701</v>
      </c>
      <c r="R568" s="257">
        <v>6.4419050216674796</v>
      </c>
      <c r="S568" s="257">
        <v>6.5377755165100098</v>
      </c>
      <c r="T568" s="257">
        <v>6.5789065361022896</v>
      </c>
      <c r="U568" s="257">
        <v>6.7034192085266104</v>
      </c>
      <c r="V568" s="257">
        <v>6.8036813735961896</v>
      </c>
      <c r="W568" s="257">
        <v>6.8691210746765101</v>
      </c>
      <c r="X568" s="257">
        <v>6.8930430412292498</v>
      </c>
      <c r="Y568" s="257">
        <v>6.9258189201354998</v>
      </c>
    </row>
    <row r="569" spans="1:26" x14ac:dyDescent="0.25">
      <c r="A569" s="253" t="s">
        <v>507</v>
      </c>
      <c r="B569" s="257">
        <v>9.5166797637939506</v>
      </c>
      <c r="C569" s="257">
        <v>13.0396432876587</v>
      </c>
      <c r="D569" s="257">
        <v>15.6858806610107</v>
      </c>
      <c r="E569" s="257">
        <v>14.0742273330688</v>
      </c>
      <c r="F569" s="257">
        <v>12.086350440979</v>
      </c>
      <c r="G569" s="257">
        <v>11.4653730392456</v>
      </c>
      <c r="H569" s="257">
        <v>11.285403251647899</v>
      </c>
      <c r="I569" s="257">
        <v>11.0092105865479</v>
      </c>
      <c r="J569" s="257">
        <v>10.989564895629901</v>
      </c>
      <c r="K569" s="257">
        <v>10.925596237182599</v>
      </c>
      <c r="L569" s="257">
        <v>10.987684249877899</v>
      </c>
      <c r="M569" s="257">
        <v>11.0838632583618</v>
      </c>
      <c r="N569" s="257">
        <v>11.0187425613403</v>
      </c>
      <c r="O569" s="257">
        <v>11.2084665298462</v>
      </c>
      <c r="P569" s="257">
        <v>11.3385829925537</v>
      </c>
      <c r="Q569" s="257">
        <v>11.336560249328601</v>
      </c>
      <c r="R569" s="257">
        <v>11.412732124328601</v>
      </c>
      <c r="S569" s="257">
        <v>11.5561437606812</v>
      </c>
      <c r="T569" s="257">
        <v>11.7385349273682</v>
      </c>
      <c r="U569" s="257">
        <v>11.9240121841431</v>
      </c>
      <c r="V569" s="257">
        <v>12.033415794372599</v>
      </c>
      <c r="W569" s="257">
        <v>12.184607505798301</v>
      </c>
      <c r="X569" s="257">
        <v>12.2847499847412</v>
      </c>
      <c r="Y569" s="257">
        <v>12.335958480835</v>
      </c>
    </row>
    <row r="570" spans="1:26" x14ac:dyDescent="0.25">
      <c r="A570" s="253" t="s">
        <v>508</v>
      </c>
      <c r="B570" s="257">
        <v>11.3185987472534</v>
      </c>
      <c r="C570" s="257">
        <v>12.9258327484131</v>
      </c>
      <c r="D570" s="257">
        <v>14.650143623352101</v>
      </c>
      <c r="E570" s="257">
        <v>14.3442440032959</v>
      </c>
      <c r="F570" s="257">
        <v>13.623025894165</v>
      </c>
      <c r="G570" s="257">
        <v>12.923449516296399</v>
      </c>
      <c r="H570" s="257">
        <v>12.7128458023071</v>
      </c>
      <c r="I570" s="257">
        <v>12.432819366455099</v>
      </c>
      <c r="J570" s="257">
        <v>12.310016632080099</v>
      </c>
      <c r="K570" s="257">
        <v>12.3222455978394</v>
      </c>
      <c r="L570" s="257">
        <v>12.2171115875244</v>
      </c>
      <c r="M570" s="257">
        <v>12.2130832672119</v>
      </c>
      <c r="N570" s="257">
        <v>12.22132396698</v>
      </c>
      <c r="O570" s="257">
        <v>12.248191833496101</v>
      </c>
      <c r="P570" s="257">
        <v>12.309587478637701</v>
      </c>
      <c r="Q570" s="257">
        <v>12.376181602478001</v>
      </c>
      <c r="R570" s="257">
        <v>12.4016332626343</v>
      </c>
      <c r="S570" s="257">
        <v>12.440443038940399</v>
      </c>
      <c r="T570" s="257">
        <v>12.509931564331101</v>
      </c>
      <c r="U570" s="257">
        <v>12.547391891479499</v>
      </c>
      <c r="V570" s="257">
        <v>12.611403465271</v>
      </c>
      <c r="W570" s="257">
        <v>12.7098541259766</v>
      </c>
      <c r="X570" s="257">
        <v>12.7049369812012</v>
      </c>
      <c r="Y570" s="257">
        <v>12.8036108016968</v>
      </c>
    </row>
    <row r="571" spans="1:26" x14ac:dyDescent="0.25">
      <c r="A571" s="253" t="s">
        <v>509</v>
      </c>
      <c r="B571" s="257">
        <v>3.9308724403381299</v>
      </c>
      <c r="C571" s="257">
        <v>4.6628575325012198</v>
      </c>
      <c r="D571" s="257">
        <v>5.07232666015625</v>
      </c>
      <c r="E571" s="257">
        <v>5.1433629989623997</v>
      </c>
      <c r="F571" s="257">
        <v>4.8060836791992196</v>
      </c>
      <c r="G571" s="257">
        <v>4.3862032890319798</v>
      </c>
      <c r="H571" s="257">
        <v>4.1832194328308097</v>
      </c>
      <c r="I571" s="257">
        <v>4.0440359115600604</v>
      </c>
      <c r="J571" s="257">
        <v>3.9943466186523402</v>
      </c>
      <c r="K571" s="257">
        <v>4.04720115661621</v>
      </c>
      <c r="L571" s="257">
        <v>4.0966601371765101</v>
      </c>
      <c r="M571" s="257">
        <v>4.1477751731872603</v>
      </c>
      <c r="N571" s="257">
        <v>4.19142723083496</v>
      </c>
      <c r="O571" s="257">
        <v>4.2503523826599103</v>
      </c>
      <c r="P571" s="257">
        <v>4.3018612861633301</v>
      </c>
      <c r="Q571" s="257">
        <v>4.3527650833129901</v>
      </c>
      <c r="R571" s="257">
        <v>4.4055538177490199</v>
      </c>
      <c r="S571" s="257">
        <v>4.4662823677062997</v>
      </c>
      <c r="T571" s="257">
        <v>4.5225110054016104</v>
      </c>
      <c r="U571" s="257">
        <v>4.5828208923339799</v>
      </c>
      <c r="V571" s="257">
        <v>4.6386957168579102</v>
      </c>
      <c r="W571" s="257">
        <v>4.6918659210205096</v>
      </c>
      <c r="X571" s="257">
        <v>4.7469024658203098</v>
      </c>
      <c r="Y571" s="257">
        <v>4.8068332672119096</v>
      </c>
    </row>
    <row r="572" spans="1:26" x14ac:dyDescent="0.25">
      <c r="A572" s="253" t="s">
        <v>510</v>
      </c>
      <c r="B572" s="257">
        <v>5.1461992263793901</v>
      </c>
      <c r="C572" s="257">
        <v>6.8558807373046902</v>
      </c>
      <c r="D572" s="257">
        <v>7.3508329391479501</v>
      </c>
      <c r="E572" s="257">
        <v>7.3838677406311</v>
      </c>
      <c r="F572" s="257">
        <v>6.7167663574218803</v>
      </c>
      <c r="G572" s="257">
        <v>6.2544136047363299</v>
      </c>
      <c r="H572" s="257">
        <v>5.8490047454834002</v>
      </c>
      <c r="I572" s="257">
        <v>5.6922402381896999</v>
      </c>
      <c r="J572" s="257">
        <v>5.5182204246520996</v>
      </c>
      <c r="K572" s="257">
        <v>5.4887638092040998</v>
      </c>
      <c r="L572" s="257">
        <v>5.5592789649963397</v>
      </c>
      <c r="M572" s="257">
        <v>5.6574964523315403</v>
      </c>
      <c r="N572" s="257">
        <v>5.8102455139160201</v>
      </c>
      <c r="O572" s="257">
        <v>5.9230461120605504</v>
      </c>
      <c r="P572" s="257">
        <v>5.8875889778137198</v>
      </c>
      <c r="Q572" s="257">
        <v>5.8938632011413601</v>
      </c>
      <c r="R572" s="257">
        <v>6.0147280693054199</v>
      </c>
      <c r="S572" s="257">
        <v>6.1772904396057102</v>
      </c>
      <c r="T572" s="257">
        <v>6.2973737716674796</v>
      </c>
      <c r="U572" s="257">
        <v>6.40012407302856</v>
      </c>
      <c r="V572" s="257">
        <v>6.4435343742370597</v>
      </c>
      <c r="W572" s="257">
        <v>6.4505195617675799</v>
      </c>
      <c r="X572" s="257">
        <v>6.5169725418090803</v>
      </c>
      <c r="Y572" s="257">
        <v>6.5874438285827601</v>
      </c>
    </row>
    <row r="573" spans="1:26" x14ac:dyDescent="0.25">
      <c r="A573" s="253" t="s">
        <v>511</v>
      </c>
      <c r="B573" s="257">
        <v>1.2938040494918801</v>
      </c>
      <c r="C573" s="257">
        <v>1.29924309253693</v>
      </c>
      <c r="D573" s="257">
        <v>1.30395972728729</v>
      </c>
      <c r="E573" s="257">
        <v>1.3117660284042401</v>
      </c>
      <c r="F573" s="257">
        <v>1.3130011558532699</v>
      </c>
      <c r="G573" s="257">
        <v>1.3001606464386</v>
      </c>
      <c r="H573" s="257">
        <v>1.2972036600112899</v>
      </c>
      <c r="I573" s="257">
        <v>1.28666663169861</v>
      </c>
      <c r="J573" s="257">
        <v>1.2722240686416599</v>
      </c>
      <c r="K573" s="257">
        <v>1.2649568319320701</v>
      </c>
      <c r="L573" s="257">
        <v>1.25909507274628</v>
      </c>
      <c r="M573" s="257">
        <v>1.25531446933746</v>
      </c>
      <c r="N573" s="257">
        <v>1.25464415550232</v>
      </c>
      <c r="O573" s="257">
        <v>1.25405156612396</v>
      </c>
      <c r="P573" s="257">
        <v>1.2516055107116699</v>
      </c>
      <c r="Q573" s="257">
        <v>1.25465047359467</v>
      </c>
      <c r="R573" s="257">
        <v>1.2582825422287001</v>
      </c>
      <c r="S573" s="257">
        <v>1.2619441747665401</v>
      </c>
      <c r="T573" s="257">
        <v>1.26514172554016</v>
      </c>
      <c r="U573" s="257">
        <v>1.27338314056396</v>
      </c>
      <c r="V573" s="257">
        <v>1.2817230224609399</v>
      </c>
      <c r="W573" s="257">
        <v>1.31160092353821</v>
      </c>
      <c r="X573" s="257">
        <v>1.3194112777710001</v>
      </c>
      <c r="Y573" s="257">
        <v>1.3217089176178001</v>
      </c>
    </row>
    <row r="574" spans="1:26" x14ac:dyDescent="0.25">
      <c r="A574" s="253" t="s">
        <v>512</v>
      </c>
      <c r="B574" s="257">
        <v>14.6543264389038</v>
      </c>
      <c r="C574" s="257">
        <v>16.232709884643601</v>
      </c>
      <c r="D574" s="257">
        <v>19.6646022796631</v>
      </c>
      <c r="E574" s="257">
        <v>19.5902194976807</v>
      </c>
      <c r="F574" s="257">
        <v>19.473403930664102</v>
      </c>
      <c r="G574" s="257">
        <v>18.312351226806602</v>
      </c>
      <c r="H574" s="257">
        <v>18.154972076416001</v>
      </c>
      <c r="I574" s="257">
        <v>17.744245529174801</v>
      </c>
      <c r="J574" s="257">
        <v>17.108533859252901</v>
      </c>
      <c r="K574" s="257">
        <v>16.985416412353501</v>
      </c>
      <c r="L574" s="257">
        <v>16.891477584838899</v>
      </c>
      <c r="M574" s="257">
        <v>17.106473922729499</v>
      </c>
      <c r="N574" s="257">
        <v>17.298709869384801</v>
      </c>
      <c r="O574" s="257">
        <v>17.370653152465799</v>
      </c>
      <c r="P574" s="257">
        <v>17.404756546020501</v>
      </c>
      <c r="Q574" s="257">
        <v>17.4316711425781</v>
      </c>
      <c r="R574" s="257">
        <v>17.495216369628899</v>
      </c>
      <c r="S574" s="257">
        <v>17.111986160278299</v>
      </c>
      <c r="T574" s="257">
        <v>17.221326828002901</v>
      </c>
      <c r="U574" s="257">
        <v>17.6731853485107</v>
      </c>
      <c r="V574" s="257">
        <v>17.676996231079102</v>
      </c>
      <c r="W574" s="257">
        <v>17.866504669189499</v>
      </c>
      <c r="X574" s="257">
        <v>17.993064880371101</v>
      </c>
      <c r="Y574" s="257">
        <v>18.128524780273398</v>
      </c>
    </row>
    <row r="575" spans="1:26" x14ac:dyDescent="0.25">
      <c r="A575" s="253" t="s">
        <v>479</v>
      </c>
      <c r="B575" s="257">
        <v>21.599882125854499</v>
      </c>
      <c r="C575" s="257">
        <v>21.735733032226602</v>
      </c>
      <c r="D575" s="257">
        <v>21.728578567504901</v>
      </c>
      <c r="E575" s="257">
        <v>21.659519195556602</v>
      </c>
      <c r="F575" s="257">
        <v>20.859115600585898</v>
      </c>
      <c r="G575" s="257">
        <v>19.947565078735401</v>
      </c>
      <c r="H575" s="257">
        <v>19.5044040679932</v>
      </c>
      <c r="I575" s="257">
        <v>19.468164443969702</v>
      </c>
      <c r="J575" s="257">
        <v>19.363897323608398</v>
      </c>
      <c r="K575" s="257">
        <v>19.340778350830099</v>
      </c>
      <c r="L575" s="257">
        <v>19.565423965454102</v>
      </c>
      <c r="M575" s="257">
        <v>19.829431533813501</v>
      </c>
      <c r="N575" s="257">
        <v>20.184032440185501</v>
      </c>
      <c r="O575" s="257">
        <v>20.348131179809599</v>
      </c>
      <c r="P575" s="257">
        <v>20.384618759155298</v>
      </c>
      <c r="Q575" s="257">
        <v>20.4941310882568</v>
      </c>
      <c r="R575" s="257">
        <v>20.6934413909912</v>
      </c>
      <c r="S575" s="257">
        <v>20.961088180541999</v>
      </c>
      <c r="T575" s="257">
        <v>21.1064147949219</v>
      </c>
      <c r="U575" s="257">
        <v>21.2582683563232</v>
      </c>
      <c r="V575" s="257">
        <v>21.2429523468018</v>
      </c>
      <c r="W575" s="257">
        <v>21.2300205230713</v>
      </c>
      <c r="X575" s="257">
        <v>21.277418136596701</v>
      </c>
      <c r="Y575" s="257">
        <v>21.3841457366943</v>
      </c>
    </row>
    <row r="576" spans="1:26" x14ac:dyDescent="0.25">
      <c r="A576" s="253" t="s">
        <v>440</v>
      </c>
      <c r="B576" s="257" t="s">
        <v>440</v>
      </c>
      <c r="C576" s="257" t="s">
        <v>440</v>
      </c>
      <c r="D576" s="257" t="s">
        <v>440</v>
      </c>
      <c r="E576" s="257" t="s">
        <v>440</v>
      </c>
      <c r="F576" s="257" t="s">
        <v>440</v>
      </c>
      <c r="G576" s="257" t="s">
        <v>440</v>
      </c>
      <c r="H576" s="257" t="s">
        <v>440</v>
      </c>
      <c r="I576" s="257" t="s">
        <v>440</v>
      </c>
      <c r="J576" s="257" t="s">
        <v>440</v>
      </c>
      <c r="K576" s="257" t="s">
        <v>440</v>
      </c>
      <c r="L576" s="257" t="s">
        <v>440</v>
      </c>
      <c r="M576" s="257" t="s">
        <v>440</v>
      </c>
      <c r="N576" s="257" t="s">
        <v>440</v>
      </c>
      <c r="O576" s="257" t="s">
        <v>440</v>
      </c>
      <c r="P576" s="257" t="s">
        <v>440</v>
      </c>
      <c r="Q576" s="257" t="s">
        <v>440</v>
      </c>
      <c r="R576" s="257" t="s">
        <v>440</v>
      </c>
      <c r="S576" s="257" t="s">
        <v>440</v>
      </c>
      <c r="T576" s="257" t="s">
        <v>440</v>
      </c>
      <c r="U576" s="257" t="s">
        <v>440</v>
      </c>
      <c r="V576" s="257" t="s">
        <v>440</v>
      </c>
      <c r="W576" s="257" t="s">
        <v>440</v>
      </c>
      <c r="X576" s="257" t="s">
        <v>440</v>
      </c>
      <c r="Y576" s="257" t="s">
        <v>440</v>
      </c>
    </row>
    <row r="577" spans="1:25" x14ac:dyDescent="0.25">
      <c r="A577" s="253" t="s">
        <v>513</v>
      </c>
      <c r="B577" s="257" t="s">
        <v>440</v>
      </c>
      <c r="C577" s="257" t="s">
        <v>440</v>
      </c>
      <c r="D577" s="257" t="s">
        <v>440</v>
      </c>
      <c r="E577" s="257" t="s">
        <v>440</v>
      </c>
      <c r="F577" s="257" t="s">
        <v>440</v>
      </c>
      <c r="G577" s="257" t="s">
        <v>440</v>
      </c>
      <c r="H577" s="257" t="s">
        <v>440</v>
      </c>
      <c r="I577" s="257" t="s">
        <v>440</v>
      </c>
      <c r="J577" s="257" t="s">
        <v>440</v>
      </c>
      <c r="K577" s="257" t="s">
        <v>440</v>
      </c>
      <c r="L577" s="257" t="s">
        <v>440</v>
      </c>
      <c r="M577" s="257" t="s">
        <v>440</v>
      </c>
      <c r="N577" s="257" t="s">
        <v>440</v>
      </c>
      <c r="O577" s="257" t="s">
        <v>440</v>
      </c>
      <c r="P577" s="257" t="s">
        <v>440</v>
      </c>
      <c r="Q577" s="257" t="s">
        <v>440</v>
      </c>
      <c r="R577" s="257" t="s">
        <v>440</v>
      </c>
      <c r="S577" s="257" t="s">
        <v>440</v>
      </c>
      <c r="T577" s="257" t="s">
        <v>440</v>
      </c>
      <c r="U577" s="257" t="s">
        <v>440</v>
      </c>
      <c r="V577" s="257" t="s">
        <v>440</v>
      </c>
      <c r="W577" s="257" t="s">
        <v>440</v>
      </c>
      <c r="X577" s="257" t="s">
        <v>440</v>
      </c>
      <c r="Y577" s="257" t="s">
        <v>440</v>
      </c>
    </row>
    <row r="578" spans="1:25" x14ac:dyDescent="0.25">
      <c r="A578" s="253" t="s">
        <v>514</v>
      </c>
      <c r="B578" s="257" t="s">
        <v>440</v>
      </c>
      <c r="C578" s="257" t="s">
        <v>440</v>
      </c>
      <c r="D578" s="257" t="s">
        <v>440</v>
      </c>
      <c r="E578" s="257" t="s">
        <v>440</v>
      </c>
      <c r="F578" s="257" t="s">
        <v>440</v>
      </c>
      <c r="G578" s="257" t="s">
        <v>440</v>
      </c>
      <c r="H578" s="257" t="s">
        <v>440</v>
      </c>
      <c r="I578" s="257" t="s">
        <v>440</v>
      </c>
      <c r="J578" s="257" t="s">
        <v>440</v>
      </c>
      <c r="K578" s="257" t="s">
        <v>440</v>
      </c>
      <c r="L578" s="257" t="s">
        <v>440</v>
      </c>
      <c r="M578" s="257" t="s">
        <v>440</v>
      </c>
      <c r="N578" s="257" t="s">
        <v>440</v>
      </c>
      <c r="O578" s="257" t="s">
        <v>440</v>
      </c>
      <c r="P578" s="257" t="s">
        <v>440</v>
      </c>
      <c r="Q578" s="257" t="s">
        <v>440</v>
      </c>
      <c r="R578" s="257" t="s">
        <v>440</v>
      </c>
      <c r="S578" s="257" t="s">
        <v>440</v>
      </c>
      <c r="T578" s="257" t="s">
        <v>440</v>
      </c>
      <c r="U578" s="257" t="s">
        <v>440</v>
      </c>
      <c r="V578" s="257" t="s">
        <v>440</v>
      </c>
      <c r="W578" s="257" t="s">
        <v>440</v>
      </c>
      <c r="X578" s="257" t="s">
        <v>440</v>
      </c>
      <c r="Y578" s="257" t="s">
        <v>440</v>
      </c>
    </row>
    <row r="579" spans="1:25" x14ac:dyDescent="0.25">
      <c r="A579" s="253" t="s">
        <v>473</v>
      </c>
      <c r="B579" s="257">
        <v>163.90481567382801</v>
      </c>
      <c r="C579" s="257">
        <v>177.16523742675801</v>
      </c>
      <c r="D579" s="257">
        <v>181.72630310058599</v>
      </c>
      <c r="E579" s="257">
        <v>185.23806762695301</v>
      </c>
      <c r="F579" s="257">
        <v>178.77069091796901</v>
      </c>
      <c r="G579" s="257">
        <v>174.57431030273401</v>
      </c>
      <c r="H579" s="257">
        <v>173.49729919433599</v>
      </c>
      <c r="I579" s="257">
        <v>174.68045043945301</v>
      </c>
      <c r="J579" s="257">
        <v>175.87545776367199</v>
      </c>
      <c r="K579" s="257">
        <v>177.93170166015599</v>
      </c>
      <c r="L579" s="257">
        <v>181.97520446777301</v>
      </c>
      <c r="M579" s="257">
        <v>185.45910644531301</v>
      </c>
      <c r="N579" s="257">
        <v>189.89924621582</v>
      </c>
      <c r="O579" s="257">
        <v>193.20950317382801</v>
      </c>
      <c r="P579" s="257">
        <v>195.50482177734401</v>
      </c>
      <c r="Q579" s="257">
        <v>197.60719299316401</v>
      </c>
      <c r="R579" s="257">
        <v>201.40017700195301</v>
      </c>
      <c r="S579" s="257">
        <v>205.80612182617199</v>
      </c>
      <c r="T579" s="257">
        <v>209.76078796386699</v>
      </c>
      <c r="U579" s="257">
        <v>212.75457763671901</v>
      </c>
      <c r="V579" s="257">
        <v>215.110427856445</v>
      </c>
      <c r="W579" s="257">
        <v>217.42091369628901</v>
      </c>
      <c r="X579" s="257">
        <v>220.97119140625</v>
      </c>
      <c r="Y579" s="257">
        <v>223.85739135742199</v>
      </c>
    </row>
    <row r="580" spans="1:25" x14ac:dyDescent="0.25">
      <c r="A580" s="253" t="s">
        <v>480</v>
      </c>
      <c r="B580" s="257">
        <v>122.690147399902</v>
      </c>
      <c r="C580" s="257">
        <v>128.153732299805</v>
      </c>
      <c r="D580" s="257">
        <v>130.48348999023401</v>
      </c>
      <c r="E580" s="257">
        <v>132.28971862793</v>
      </c>
      <c r="F580" s="257">
        <v>128.48481750488301</v>
      </c>
      <c r="G580" s="257">
        <v>125.5166015625</v>
      </c>
      <c r="H580" s="257">
        <v>125.36106109619099</v>
      </c>
      <c r="I580" s="257">
        <v>127.820442199707</v>
      </c>
      <c r="J580" s="257">
        <v>129.92327880859401</v>
      </c>
      <c r="K580" s="257">
        <v>133.10743713378901</v>
      </c>
      <c r="L580" s="257">
        <v>137.92835998535199</v>
      </c>
      <c r="M580" s="257">
        <v>142.925369262695</v>
      </c>
      <c r="N580" s="257">
        <v>148.816970825195</v>
      </c>
      <c r="O580" s="257">
        <v>153.52194213867199</v>
      </c>
      <c r="P580" s="257">
        <v>157.03869628906301</v>
      </c>
      <c r="Q580" s="257">
        <v>161.345138549805</v>
      </c>
      <c r="R580" s="257">
        <v>166.52362060546901</v>
      </c>
      <c r="S580" s="257">
        <v>172.33033752441401</v>
      </c>
      <c r="T580" s="257">
        <v>177.27947998046901</v>
      </c>
      <c r="U580" s="257">
        <v>182.50421142578099</v>
      </c>
      <c r="V580" s="257">
        <v>186.391357421875</v>
      </c>
      <c r="W580" s="257">
        <v>190.50810241699199</v>
      </c>
      <c r="X580" s="257">
        <v>195.38455200195301</v>
      </c>
      <c r="Y580" s="257">
        <v>200.92575073242199</v>
      </c>
    </row>
    <row r="581" spans="1:25" x14ac:dyDescent="0.25">
      <c r="A581" s="253" t="s">
        <v>515</v>
      </c>
      <c r="B581" s="257">
        <v>124.39901733398401</v>
      </c>
      <c r="C581" s="257">
        <v>147.11244201660199</v>
      </c>
      <c r="D581" s="257">
        <v>168.10716247558599</v>
      </c>
      <c r="E581" s="257">
        <v>167.31402587890599</v>
      </c>
      <c r="F581" s="257">
        <v>151.68084716796901</v>
      </c>
      <c r="G581" s="257">
        <v>143.54243469238301</v>
      </c>
      <c r="H581" s="257">
        <v>141.56742858886699</v>
      </c>
      <c r="I581" s="257">
        <v>140.77819824218801</v>
      </c>
      <c r="J581" s="257">
        <v>139.57333374023401</v>
      </c>
      <c r="K581" s="257">
        <v>140.39901733398401</v>
      </c>
      <c r="L581" s="257">
        <v>142.75350952148401</v>
      </c>
      <c r="M581" s="257">
        <v>145.42568969726599</v>
      </c>
      <c r="N581" s="257">
        <v>149.20526123046901</v>
      </c>
      <c r="O581" s="257">
        <v>152.35485839843801</v>
      </c>
      <c r="P581" s="257">
        <v>153.50325012207</v>
      </c>
      <c r="Q581" s="257">
        <v>156.35830688476599</v>
      </c>
      <c r="R581" s="257">
        <v>160.767654418945</v>
      </c>
      <c r="S581" s="257">
        <v>165.76315307617199</v>
      </c>
      <c r="T581" s="257">
        <v>169.931716918945</v>
      </c>
      <c r="U581" s="257">
        <v>173.961990356445</v>
      </c>
      <c r="V581" s="257">
        <v>176.65931701660199</v>
      </c>
      <c r="W581" s="257">
        <v>179.21453857421901</v>
      </c>
      <c r="X581" s="257">
        <v>182.00726318359401</v>
      </c>
      <c r="Y581" s="257">
        <v>184.95687866210901</v>
      </c>
    </row>
    <row r="582" spans="1:25" x14ac:dyDescent="0.25">
      <c r="A582" s="253" t="s">
        <v>487</v>
      </c>
      <c r="B582" s="257">
        <v>263.72879028320301</v>
      </c>
      <c r="C582" s="257">
        <v>302.59255981445301</v>
      </c>
      <c r="D582" s="257">
        <v>352.23770141601602</v>
      </c>
      <c r="E582" s="257">
        <v>351.05020141601602</v>
      </c>
      <c r="F582" s="257">
        <v>340.83407592773398</v>
      </c>
      <c r="G582" s="257">
        <v>332.5693359375</v>
      </c>
      <c r="H582" s="257">
        <v>335.96701049804699</v>
      </c>
      <c r="I582" s="257">
        <v>336.85531616210898</v>
      </c>
      <c r="J582" s="257">
        <v>341.13198852539102</v>
      </c>
      <c r="K582" s="257">
        <v>348.16427612304699</v>
      </c>
      <c r="L582" s="257">
        <v>352.90618896484398</v>
      </c>
      <c r="M582" s="257">
        <v>359.69818115234398</v>
      </c>
      <c r="N582" s="257">
        <v>365.95080566406301</v>
      </c>
      <c r="O582" s="257">
        <v>372.46246337890602</v>
      </c>
      <c r="P582" s="257">
        <v>379.283447265625</v>
      </c>
      <c r="Q582" s="257">
        <v>387.02755737304699</v>
      </c>
      <c r="R582" s="257">
        <v>393.88119506835898</v>
      </c>
      <c r="S582" s="257">
        <v>401.07183837890602</v>
      </c>
      <c r="T582" s="257">
        <v>407.83190917968801</v>
      </c>
      <c r="U582" s="257">
        <v>415.10699462890602</v>
      </c>
      <c r="V582" s="257">
        <v>423.06927490234398</v>
      </c>
      <c r="W582" s="257">
        <v>431.36416625976602</v>
      </c>
      <c r="X582" s="257">
        <v>438.52017211914102</v>
      </c>
      <c r="Y582" s="257">
        <v>449.30920410156301</v>
      </c>
    </row>
    <row r="583" spans="1:25" x14ac:dyDescent="0.25">
      <c r="A583" s="253" t="s">
        <v>516</v>
      </c>
      <c r="B583" s="257">
        <v>674.72277832031295</v>
      </c>
      <c r="C583" s="257">
        <v>755.02398681640602</v>
      </c>
      <c r="D583" s="257">
        <v>832.5546875</v>
      </c>
      <c r="E583" s="257">
        <v>835.89202880859398</v>
      </c>
      <c r="F583" s="257">
        <v>799.77044677734398</v>
      </c>
      <c r="G583" s="257">
        <v>776.20269775390602</v>
      </c>
      <c r="H583" s="257">
        <v>776.392822265625</v>
      </c>
      <c r="I583" s="257">
        <v>780.13439941406295</v>
      </c>
      <c r="J583" s="257">
        <v>786.50402832031295</v>
      </c>
      <c r="K583" s="257">
        <v>799.60241699218795</v>
      </c>
      <c r="L583" s="257">
        <v>815.563232421875</v>
      </c>
      <c r="M583" s="257">
        <v>833.50836181640602</v>
      </c>
      <c r="N583" s="257">
        <v>853.872314453125</v>
      </c>
      <c r="O583" s="257">
        <v>871.54876708984398</v>
      </c>
      <c r="P583" s="257">
        <v>885.33020019531295</v>
      </c>
      <c r="Q583" s="257">
        <v>902.33819580078102</v>
      </c>
      <c r="R583" s="257">
        <v>922.57263183593795</v>
      </c>
      <c r="S583" s="257">
        <v>944.971435546875</v>
      </c>
      <c r="T583" s="257">
        <v>964.80389404296898</v>
      </c>
      <c r="U583" s="257">
        <v>984.32775878906295</v>
      </c>
      <c r="V583" s="257">
        <v>1001.23034667969</v>
      </c>
      <c r="W583" s="257">
        <v>1018.50769042969</v>
      </c>
      <c r="X583" s="257">
        <v>1036.88317871094</v>
      </c>
      <c r="Y583" s="257">
        <v>1059.04919433594</v>
      </c>
    </row>
    <row r="584" spans="1:25" x14ac:dyDescent="0.25">
      <c r="A584" s="253" t="s">
        <v>517</v>
      </c>
      <c r="B584" s="257">
        <v>1.1704622767865699E-2</v>
      </c>
      <c r="C584" s="257">
        <v>1.72001253813505E-2</v>
      </c>
      <c r="D584" s="257">
        <v>2.0739471539855E-2</v>
      </c>
      <c r="E584" s="257">
        <v>2.2893460467457799E-2</v>
      </c>
      <c r="F584" s="257">
        <v>2.3359816521406201E-2</v>
      </c>
      <c r="G584" s="257">
        <v>2.56899110972881E-2</v>
      </c>
      <c r="H584" s="257">
        <v>2.8361881151795401E-2</v>
      </c>
      <c r="I584" s="257">
        <v>3.0972529202699699E-2</v>
      </c>
      <c r="J584" s="257">
        <v>3.4895084798336001E-2</v>
      </c>
      <c r="K584" s="257">
        <v>3.86636592447758E-2</v>
      </c>
      <c r="L584" s="257">
        <v>4.1480015963315998E-2</v>
      </c>
      <c r="M584" s="257">
        <v>4.3943785130977603E-2</v>
      </c>
      <c r="N584" s="257">
        <v>4.6801801770925501E-2</v>
      </c>
      <c r="O584" s="257">
        <v>4.9450792372226701E-2</v>
      </c>
      <c r="P584" s="257">
        <v>5.3890265524387401E-2</v>
      </c>
      <c r="Q584" s="257">
        <v>5.8303136378526701E-2</v>
      </c>
      <c r="R584" s="257">
        <v>6.2215700745582601E-2</v>
      </c>
      <c r="S584" s="257">
        <v>6.0202639549970599E-2</v>
      </c>
      <c r="T584" s="257">
        <v>6.6687978804111495E-2</v>
      </c>
      <c r="U584" s="257">
        <v>6.8060472607612596E-2</v>
      </c>
      <c r="V584" s="257">
        <v>7.0131160318851499E-2</v>
      </c>
      <c r="W584" s="257">
        <v>7.4032962322235094E-2</v>
      </c>
      <c r="X584" s="257">
        <v>7.6179362833499895E-2</v>
      </c>
      <c r="Y584" s="257">
        <v>7.9960107803344699E-2</v>
      </c>
    </row>
    <row r="585" spans="1:25" x14ac:dyDescent="0.25">
      <c r="A585" s="253" t="s">
        <v>518</v>
      </c>
      <c r="B585" s="257">
        <v>674.73449707031295</v>
      </c>
      <c r="C585" s="257">
        <v>755.04119873046898</v>
      </c>
      <c r="D585" s="257">
        <v>832.575439453125</v>
      </c>
      <c r="E585" s="257">
        <v>835.91491699218795</v>
      </c>
      <c r="F585" s="257">
        <v>799.79382324218795</v>
      </c>
      <c r="G585" s="257">
        <v>776.22839355468795</v>
      </c>
      <c r="H585" s="257">
        <v>776.42120361328102</v>
      </c>
      <c r="I585" s="257">
        <v>780.16534423828102</v>
      </c>
      <c r="J585" s="257">
        <v>786.53894042968795</v>
      </c>
      <c r="K585" s="257">
        <v>799.64105224609398</v>
      </c>
      <c r="L585" s="257">
        <v>815.604736328125</v>
      </c>
      <c r="M585" s="257">
        <v>833.55230712890602</v>
      </c>
      <c r="N585" s="257">
        <v>853.91912841796898</v>
      </c>
      <c r="O585" s="257">
        <v>871.59820556640602</v>
      </c>
      <c r="P585" s="257">
        <v>885.38409423828102</v>
      </c>
      <c r="Q585" s="257">
        <v>902.396484375</v>
      </c>
      <c r="R585" s="257">
        <v>922.63482666015602</v>
      </c>
      <c r="S585" s="257">
        <v>945.03161621093795</v>
      </c>
      <c r="T585" s="257">
        <v>964.87060546875</v>
      </c>
      <c r="U585" s="257">
        <v>984.39581298828102</v>
      </c>
      <c r="V585" s="257">
        <v>1001.30047607422</v>
      </c>
      <c r="W585" s="257">
        <v>1018.58172607422</v>
      </c>
      <c r="X585" s="257">
        <v>1036.95935058594</v>
      </c>
      <c r="Y585" s="257">
        <v>1059.12915039063</v>
      </c>
    </row>
    <row r="586" spans="1:25" x14ac:dyDescent="0.25">
      <c r="A586" s="297" t="s">
        <v>1081</v>
      </c>
      <c r="B586" s="257" t="s">
        <v>593</v>
      </c>
      <c r="C586" s="257"/>
      <c r="D586" s="257"/>
      <c r="E586" s="257"/>
      <c r="F586" s="257"/>
      <c r="G586" s="257"/>
      <c r="H586" s="257"/>
      <c r="I586" s="257"/>
      <c r="J586" s="257"/>
      <c r="K586" s="257"/>
      <c r="L586" s="257"/>
      <c r="M586" s="257"/>
      <c r="N586" s="257"/>
      <c r="O586" s="257"/>
      <c r="P586" s="257"/>
      <c r="Q586" s="257"/>
      <c r="R586" s="257"/>
      <c r="S586" s="257"/>
      <c r="T586" s="257"/>
      <c r="U586" s="257"/>
      <c r="V586" s="257"/>
      <c r="W586" s="257"/>
      <c r="X586" s="257"/>
      <c r="Y586" s="257"/>
    </row>
    <row r="587" spans="1:25" x14ac:dyDescent="0.25">
      <c r="A587" s="286" t="s">
        <v>311</v>
      </c>
      <c r="B587" s="257" t="s">
        <v>593</v>
      </c>
      <c r="C587" s="257"/>
      <c r="D587" s="257"/>
      <c r="E587" s="257"/>
      <c r="F587" s="257"/>
      <c r="G587" s="257"/>
      <c r="H587" s="257"/>
      <c r="I587" s="257"/>
      <c r="J587" s="257"/>
      <c r="K587" s="257"/>
      <c r="L587" s="257"/>
      <c r="M587" s="257"/>
      <c r="N587" s="257"/>
      <c r="O587" s="257"/>
      <c r="P587" s="257"/>
      <c r="Q587" s="257"/>
      <c r="R587" s="257"/>
      <c r="S587" s="257"/>
      <c r="T587" s="257"/>
      <c r="U587" s="257"/>
      <c r="V587" s="257"/>
      <c r="W587" s="257"/>
      <c r="X587" s="257"/>
      <c r="Y587" s="257"/>
    </row>
    <row r="588" spans="1:25" x14ac:dyDescent="0.25">
      <c r="A588" s="253" t="s">
        <v>440</v>
      </c>
      <c r="B588" s="257" t="s">
        <v>440</v>
      </c>
      <c r="C588" s="257" t="s">
        <v>440</v>
      </c>
      <c r="D588" s="257" t="s">
        <v>440</v>
      </c>
      <c r="E588" s="257" t="s">
        <v>440</v>
      </c>
      <c r="F588" s="257" t="s">
        <v>440</v>
      </c>
      <c r="G588" s="257" t="s">
        <v>440</v>
      </c>
      <c r="H588" s="257" t="s">
        <v>440</v>
      </c>
      <c r="I588" s="257" t="s">
        <v>440</v>
      </c>
      <c r="J588" s="257" t="s">
        <v>440</v>
      </c>
      <c r="K588" s="257" t="s">
        <v>440</v>
      </c>
      <c r="L588" s="257" t="s">
        <v>440</v>
      </c>
      <c r="M588" s="257" t="s">
        <v>440</v>
      </c>
      <c r="N588" s="257" t="s">
        <v>440</v>
      </c>
      <c r="O588" s="257" t="s">
        <v>440</v>
      </c>
      <c r="P588" s="257" t="s">
        <v>440</v>
      </c>
      <c r="Q588" s="257" t="s">
        <v>440</v>
      </c>
      <c r="R588" s="257" t="s">
        <v>440</v>
      </c>
      <c r="S588" s="257" t="s">
        <v>440</v>
      </c>
      <c r="T588" s="257" t="s">
        <v>440</v>
      </c>
      <c r="U588" s="257" t="s">
        <v>440</v>
      </c>
      <c r="V588" s="257" t="s">
        <v>440</v>
      </c>
      <c r="W588" s="257" t="s">
        <v>440</v>
      </c>
      <c r="X588" s="257" t="s">
        <v>440</v>
      </c>
      <c r="Y588" s="257" t="s">
        <v>440</v>
      </c>
    </row>
    <row r="589" spans="1:25" x14ac:dyDescent="0.25">
      <c r="A589" s="253" t="s">
        <v>519</v>
      </c>
      <c r="B589" s="257"/>
      <c r="C589" s="257"/>
      <c r="D589" s="257"/>
      <c r="E589" s="257"/>
      <c r="F589" s="257"/>
      <c r="G589" s="257"/>
      <c r="H589" s="257"/>
      <c r="I589" s="257"/>
      <c r="J589" s="257"/>
      <c r="K589" s="257"/>
      <c r="L589" s="257"/>
      <c r="M589" s="257"/>
      <c r="N589" s="257"/>
      <c r="O589" s="257"/>
      <c r="P589" s="257"/>
      <c r="Q589" s="257"/>
      <c r="R589" s="257"/>
      <c r="S589" s="257"/>
      <c r="T589" s="257"/>
      <c r="U589" s="257"/>
      <c r="V589" s="257"/>
      <c r="W589" s="257"/>
      <c r="X589" s="257"/>
      <c r="Y589" s="257"/>
    </row>
    <row r="590" spans="1:25" x14ac:dyDescent="0.25">
      <c r="A590" s="253" t="s">
        <v>520</v>
      </c>
      <c r="B590" s="257"/>
      <c r="C590" s="257"/>
      <c r="D590" s="257"/>
      <c r="E590" s="257"/>
      <c r="F590" s="257"/>
      <c r="G590" s="257"/>
      <c r="H590" s="257"/>
      <c r="I590" s="257"/>
      <c r="J590" s="257"/>
      <c r="K590" s="257"/>
      <c r="L590" s="257"/>
      <c r="M590" s="257"/>
      <c r="N590" s="257"/>
      <c r="O590" s="257"/>
      <c r="P590" s="257"/>
      <c r="Q590" s="257"/>
      <c r="R590" s="257"/>
      <c r="S590" s="257"/>
      <c r="T590" s="257"/>
      <c r="U590" s="257"/>
      <c r="V590" s="257"/>
      <c r="W590" s="257"/>
      <c r="X590" s="257"/>
      <c r="Y590" s="257"/>
    </row>
    <row r="591" spans="1:25" x14ac:dyDescent="0.25">
      <c r="A591" s="253" t="s">
        <v>521</v>
      </c>
      <c r="B591" s="257"/>
      <c r="C591" s="257"/>
      <c r="D591" s="257"/>
      <c r="E591" s="257"/>
      <c r="F591" s="257"/>
      <c r="G591" s="257"/>
      <c r="H591" s="257"/>
      <c r="I591" s="257"/>
      <c r="J591" s="257"/>
      <c r="K591" s="257"/>
      <c r="L591" s="257"/>
      <c r="M591" s="257"/>
      <c r="N591" s="257"/>
      <c r="O591" s="257"/>
      <c r="P591" s="257"/>
      <c r="Q591" s="257"/>
      <c r="R591" s="257"/>
      <c r="S591" s="257"/>
      <c r="T591" s="257"/>
      <c r="U591" s="257"/>
      <c r="V591" s="257"/>
      <c r="W591" s="257"/>
      <c r="X591" s="257"/>
      <c r="Y591" s="257"/>
    </row>
    <row r="592" spans="1:25" x14ac:dyDescent="0.25">
      <c r="A592" s="253" t="s">
        <v>522</v>
      </c>
      <c r="B592" s="257"/>
      <c r="C592" s="257"/>
      <c r="D592" s="257"/>
      <c r="E592" s="257"/>
      <c r="F592" s="257"/>
      <c r="G592" s="257"/>
      <c r="H592" s="257"/>
      <c r="I592" s="257"/>
      <c r="J592" s="257"/>
      <c r="K592" s="257"/>
      <c r="L592" s="257"/>
      <c r="M592" s="257"/>
      <c r="N592" s="257"/>
      <c r="O592" s="257"/>
      <c r="P592" s="257"/>
      <c r="Q592" s="257"/>
      <c r="R592" s="257"/>
      <c r="S592" s="257"/>
      <c r="T592" s="257"/>
      <c r="U592" s="257"/>
      <c r="V592" s="257"/>
      <c r="W592" s="257"/>
      <c r="X592" s="257"/>
      <c r="Y592" s="257"/>
    </row>
    <row r="593" spans="1:25" x14ac:dyDescent="0.25">
      <c r="A593" s="253" t="s">
        <v>523</v>
      </c>
      <c r="B593" s="257"/>
      <c r="C593" s="257"/>
      <c r="D593" s="257"/>
      <c r="E593" s="257"/>
      <c r="F593" s="257"/>
      <c r="G593" s="257"/>
      <c r="H593" s="257"/>
      <c r="I593" s="257"/>
      <c r="J593" s="257"/>
      <c r="K593" s="257"/>
      <c r="L593" s="257"/>
      <c r="M593" s="257"/>
      <c r="N593" s="257"/>
      <c r="O593" s="257"/>
      <c r="P593" s="257"/>
      <c r="Q593" s="257"/>
      <c r="R593" s="257"/>
      <c r="S593" s="257"/>
      <c r="T593" s="257"/>
      <c r="U593" s="257"/>
      <c r="V593" s="257"/>
      <c r="W593" s="257"/>
      <c r="X593" s="257"/>
      <c r="Y593" s="257"/>
    </row>
    <row r="594" spans="1:25" x14ac:dyDescent="0.25">
      <c r="A594" s="253" t="s">
        <v>524</v>
      </c>
      <c r="B594" s="257"/>
      <c r="C594" s="257"/>
      <c r="D594" s="257"/>
      <c r="E594" s="257"/>
      <c r="F594" s="257"/>
      <c r="G594" s="257"/>
      <c r="H594" s="257"/>
      <c r="I594" s="257"/>
      <c r="J594" s="257"/>
      <c r="K594" s="257"/>
      <c r="L594" s="257"/>
      <c r="M594" s="257"/>
      <c r="N594" s="257"/>
      <c r="O594" s="257"/>
      <c r="P594" s="257"/>
      <c r="Q594" s="257"/>
      <c r="R594" s="257"/>
      <c r="S594" s="257"/>
      <c r="T594" s="257"/>
      <c r="U594" s="257"/>
      <c r="V594" s="257"/>
      <c r="W594" s="257"/>
      <c r="X594" s="257"/>
      <c r="Y594" s="257"/>
    </row>
    <row r="595" spans="1:25" x14ac:dyDescent="0.25">
      <c r="A595" s="253" t="s">
        <v>525</v>
      </c>
      <c r="B595" s="257"/>
      <c r="C595" s="257"/>
      <c r="D595" s="257"/>
      <c r="E595" s="257"/>
      <c r="F595" s="257"/>
      <c r="G595" s="257"/>
      <c r="H595" s="257"/>
      <c r="I595" s="257"/>
      <c r="J595" s="257"/>
      <c r="K595" s="257"/>
      <c r="L595" s="257"/>
      <c r="M595" s="257"/>
      <c r="N595" s="257"/>
      <c r="O595" s="257"/>
      <c r="P595" s="257"/>
      <c r="Q595" s="257"/>
      <c r="R595" s="257"/>
      <c r="S595" s="257"/>
      <c r="T595" s="257"/>
      <c r="U595" s="257"/>
      <c r="V595" s="257"/>
      <c r="W595" s="257"/>
      <c r="X595" s="257"/>
      <c r="Y595" s="257"/>
    </row>
    <row r="596" spans="1:25" x14ac:dyDescent="0.25">
      <c r="A596" s="253" t="s">
        <v>526</v>
      </c>
      <c r="B596" s="257"/>
      <c r="C596" s="257"/>
      <c r="D596" s="257"/>
      <c r="E596" s="257"/>
      <c r="F596" s="257"/>
      <c r="G596" s="257"/>
      <c r="H596" s="257"/>
      <c r="I596" s="257"/>
      <c r="J596" s="257"/>
      <c r="K596" s="257"/>
      <c r="L596" s="257"/>
      <c r="M596" s="257"/>
      <c r="N596" s="257"/>
      <c r="O596" s="257"/>
      <c r="P596" s="257"/>
      <c r="Q596" s="257"/>
      <c r="R596" s="257"/>
      <c r="S596" s="257"/>
      <c r="T596" s="257"/>
      <c r="U596" s="257"/>
      <c r="V596" s="257"/>
      <c r="W596" s="257"/>
      <c r="X596" s="257"/>
      <c r="Y596" s="257"/>
    </row>
    <row r="597" spans="1:25" x14ac:dyDescent="0.25">
      <c r="A597" s="253" t="s">
        <v>527</v>
      </c>
      <c r="B597" s="257"/>
      <c r="C597" s="257"/>
      <c r="D597" s="257"/>
      <c r="E597" s="257"/>
      <c r="F597" s="257"/>
      <c r="G597" s="257"/>
      <c r="H597" s="257"/>
      <c r="I597" s="257"/>
      <c r="J597" s="257"/>
      <c r="K597" s="257"/>
      <c r="L597" s="257"/>
      <c r="M597" s="257"/>
      <c r="N597" s="257"/>
      <c r="O597" s="257"/>
      <c r="P597" s="257"/>
      <c r="Q597" s="257"/>
      <c r="R597" s="257"/>
      <c r="S597" s="257"/>
      <c r="T597" s="257"/>
      <c r="U597" s="257"/>
      <c r="V597" s="257"/>
      <c r="W597" s="257"/>
      <c r="X597" s="257"/>
      <c r="Y597" s="257"/>
    </row>
    <row r="598" spans="1:25" x14ac:dyDescent="0.25">
      <c r="A598" s="253" t="s">
        <v>532</v>
      </c>
      <c r="B598" s="257"/>
      <c r="C598" s="257"/>
      <c r="D598" s="257"/>
      <c r="E598" s="257"/>
      <c r="F598" s="257"/>
      <c r="G598" s="257"/>
      <c r="H598" s="257"/>
      <c r="I598" s="257"/>
      <c r="J598" s="257"/>
      <c r="K598" s="257"/>
      <c r="L598" s="257"/>
      <c r="M598" s="257"/>
      <c r="N598" s="257"/>
      <c r="O598" s="257"/>
      <c r="P598" s="257"/>
      <c r="Q598" s="257"/>
      <c r="R598" s="257"/>
      <c r="S598" s="257"/>
      <c r="T598" s="257"/>
      <c r="U598" s="257"/>
      <c r="V598" s="257"/>
      <c r="W598" s="257"/>
      <c r="X598" s="257"/>
      <c r="Y598" s="257"/>
    </row>
    <row r="599" spans="1:25" x14ac:dyDescent="0.25">
      <c r="A599" s="253" t="s">
        <v>542</v>
      </c>
      <c r="B599" s="257"/>
      <c r="C599" s="257"/>
      <c r="D599" s="257"/>
      <c r="E599" s="257"/>
      <c r="F599" s="257"/>
      <c r="G599" s="257"/>
      <c r="H599" s="257"/>
      <c r="I599" s="257"/>
      <c r="J599" s="257"/>
      <c r="K599" s="257"/>
      <c r="L599" s="257"/>
      <c r="M599" s="257"/>
      <c r="N599" s="257"/>
      <c r="O599" s="257"/>
      <c r="P599" s="257"/>
      <c r="Q599" s="257"/>
      <c r="R599" s="257"/>
      <c r="S599" s="257"/>
      <c r="T599" s="257"/>
      <c r="U599" s="257"/>
      <c r="V599" s="257"/>
      <c r="W599" s="257"/>
      <c r="X599" s="257"/>
      <c r="Y599" s="257"/>
    </row>
    <row r="600" spans="1:25" x14ac:dyDescent="0.25">
      <c r="A600" s="253" t="s">
        <v>543</v>
      </c>
      <c r="B600" s="257"/>
      <c r="C600" s="257"/>
      <c r="D600" s="257"/>
      <c r="E600" s="257"/>
      <c r="F600" s="257"/>
      <c r="G600" s="257"/>
      <c r="H600" s="257"/>
      <c r="I600" s="257"/>
      <c r="J600" s="257"/>
      <c r="K600" s="257"/>
      <c r="L600" s="257"/>
      <c r="M600" s="257"/>
      <c r="N600" s="257"/>
      <c r="O600" s="257"/>
      <c r="P600" s="257"/>
      <c r="Q600" s="257"/>
      <c r="R600" s="257"/>
      <c r="S600" s="257"/>
      <c r="T600" s="257"/>
      <c r="U600" s="257"/>
      <c r="V600" s="257"/>
      <c r="W600" s="257"/>
      <c r="X600" s="257"/>
      <c r="Y600" s="257"/>
    </row>
    <row r="601" spans="1:25" x14ac:dyDescent="0.25">
      <c r="A601" s="253" t="s">
        <v>544</v>
      </c>
      <c r="B601" s="257"/>
      <c r="C601" s="257"/>
      <c r="D601" s="257"/>
      <c r="E601" s="257"/>
      <c r="F601" s="257"/>
      <c r="G601" s="257"/>
      <c r="H601" s="257"/>
      <c r="I601" s="257"/>
      <c r="J601" s="257"/>
      <c r="K601" s="257"/>
      <c r="L601" s="257"/>
      <c r="M601" s="257"/>
      <c r="N601" s="257"/>
      <c r="O601" s="257"/>
      <c r="P601" s="257"/>
      <c r="Q601" s="257"/>
      <c r="R601" s="257"/>
      <c r="S601" s="257"/>
      <c r="T601" s="257"/>
      <c r="U601" s="257"/>
      <c r="V601" s="257"/>
      <c r="W601" s="257"/>
      <c r="X601" s="257"/>
      <c r="Y601" s="257"/>
    </row>
    <row r="602" spans="1:25" x14ac:dyDescent="0.25">
      <c r="A602" s="253" t="s">
        <v>545</v>
      </c>
      <c r="B602" s="257"/>
      <c r="C602" s="257"/>
      <c r="D602" s="257"/>
      <c r="E602" s="257"/>
      <c r="F602" s="257"/>
      <c r="G602" s="257"/>
      <c r="H602" s="257"/>
      <c r="I602" s="257"/>
      <c r="J602" s="257"/>
      <c r="K602" s="257"/>
      <c r="L602" s="257"/>
      <c r="M602" s="257"/>
      <c r="N602" s="257"/>
      <c r="O602" s="257"/>
      <c r="P602" s="257"/>
      <c r="Q602" s="257"/>
      <c r="R602" s="257"/>
      <c r="S602" s="257"/>
      <c r="T602" s="257"/>
      <c r="U602" s="257"/>
      <c r="V602" s="257"/>
      <c r="W602" s="257"/>
      <c r="X602" s="257"/>
      <c r="Y602" s="257"/>
    </row>
    <row r="603" spans="1:25" x14ac:dyDescent="0.25">
      <c r="A603" s="253" t="s">
        <v>546</v>
      </c>
      <c r="B603" s="257"/>
      <c r="C603" s="257"/>
      <c r="D603" s="257"/>
      <c r="E603" s="257"/>
      <c r="F603" s="257"/>
      <c r="G603" s="257"/>
      <c r="H603" s="257"/>
      <c r="I603" s="257"/>
      <c r="J603" s="257"/>
      <c r="K603" s="257"/>
      <c r="L603" s="257"/>
      <c r="M603" s="257"/>
      <c r="N603" s="257"/>
      <c r="O603" s="257"/>
      <c r="P603" s="257"/>
      <c r="Q603" s="257"/>
      <c r="R603" s="257"/>
      <c r="S603" s="257"/>
      <c r="T603" s="257"/>
      <c r="U603" s="257"/>
      <c r="V603" s="257"/>
      <c r="W603" s="257"/>
      <c r="X603" s="257"/>
      <c r="Y603" s="257"/>
    </row>
    <row r="604" spans="1:25" x14ac:dyDescent="0.25">
      <c r="A604" s="253" t="s">
        <v>547</v>
      </c>
      <c r="B604" s="257"/>
      <c r="C604" s="257"/>
      <c r="D604" s="257"/>
      <c r="E604" s="257"/>
      <c r="F604" s="257"/>
      <c r="G604" s="257"/>
      <c r="H604" s="257"/>
      <c r="I604" s="257"/>
      <c r="J604" s="257"/>
      <c r="K604" s="257"/>
      <c r="L604" s="257"/>
      <c r="M604" s="257"/>
      <c r="N604" s="257"/>
      <c r="O604" s="257"/>
      <c r="P604" s="257"/>
      <c r="Q604" s="257"/>
      <c r="R604" s="257"/>
      <c r="S604" s="257"/>
      <c r="T604" s="257"/>
      <c r="U604" s="257"/>
      <c r="V604" s="257"/>
      <c r="W604" s="257"/>
      <c r="X604" s="257"/>
      <c r="Y604" s="257"/>
    </row>
    <row r="605" spans="1:25" x14ac:dyDescent="0.25">
      <c r="A605" s="253" t="s">
        <v>548</v>
      </c>
      <c r="B605" s="257"/>
      <c r="C605" s="257"/>
      <c r="D605" s="257"/>
      <c r="E605" s="257"/>
      <c r="F605" s="257"/>
      <c r="G605" s="257"/>
      <c r="H605" s="257"/>
      <c r="I605" s="257"/>
      <c r="J605" s="257"/>
      <c r="K605" s="257"/>
      <c r="L605" s="257"/>
      <c r="M605" s="257"/>
      <c r="N605" s="257"/>
      <c r="O605" s="257"/>
      <c r="P605" s="257"/>
      <c r="Q605" s="257"/>
      <c r="R605" s="257"/>
      <c r="S605" s="257"/>
      <c r="T605" s="257"/>
      <c r="U605" s="257"/>
      <c r="V605" s="257"/>
      <c r="W605" s="257"/>
      <c r="X605" s="257"/>
      <c r="Y605" s="257"/>
    </row>
    <row r="606" spans="1:25" x14ac:dyDescent="0.25">
      <c r="A606" s="253" t="s">
        <v>552</v>
      </c>
      <c r="B606" s="257"/>
      <c r="C606" s="257"/>
      <c r="D606" s="257"/>
      <c r="E606" s="257"/>
      <c r="F606" s="257"/>
      <c r="G606" s="257"/>
      <c r="H606" s="257"/>
      <c r="I606" s="257"/>
      <c r="J606" s="257"/>
      <c r="K606" s="257"/>
      <c r="L606" s="257"/>
      <c r="M606" s="257"/>
      <c r="N606" s="257"/>
      <c r="O606" s="257"/>
      <c r="P606" s="257"/>
      <c r="Q606" s="257"/>
      <c r="R606" s="257"/>
      <c r="S606" s="257"/>
      <c r="T606" s="257"/>
      <c r="U606" s="257"/>
      <c r="V606" s="257"/>
      <c r="W606" s="257"/>
      <c r="X606" s="257"/>
      <c r="Y606" s="257"/>
    </row>
    <row r="607" spans="1:25" x14ac:dyDescent="0.25">
      <c r="A607" s="253" t="s">
        <v>553</v>
      </c>
      <c r="B607" s="257"/>
      <c r="C607" s="257"/>
      <c r="D607" s="257"/>
      <c r="E607" s="257"/>
      <c r="F607" s="257"/>
      <c r="G607" s="257"/>
      <c r="H607" s="257"/>
      <c r="I607" s="257"/>
      <c r="J607" s="257"/>
      <c r="K607" s="257"/>
      <c r="L607" s="257"/>
      <c r="M607" s="257"/>
      <c r="N607" s="257"/>
      <c r="O607" s="257"/>
      <c r="P607" s="257"/>
      <c r="Q607" s="257"/>
      <c r="R607" s="257"/>
      <c r="S607" s="257"/>
      <c r="T607" s="257"/>
      <c r="U607" s="257"/>
      <c r="V607" s="257"/>
      <c r="W607" s="257"/>
      <c r="X607" s="257"/>
      <c r="Y607" s="257"/>
    </row>
    <row r="608" spans="1:25" x14ac:dyDescent="0.25">
      <c r="A608" s="253" t="s">
        <v>554</v>
      </c>
      <c r="B608" s="257"/>
      <c r="C608" s="257"/>
      <c r="D608" s="257"/>
      <c r="E608" s="257"/>
      <c r="F608" s="257"/>
      <c r="G608" s="257"/>
      <c r="H608" s="257"/>
      <c r="I608" s="257"/>
      <c r="J608" s="257"/>
      <c r="K608" s="257"/>
      <c r="L608" s="257"/>
      <c r="M608" s="257"/>
      <c r="N608" s="257"/>
      <c r="O608" s="257"/>
      <c r="P608" s="257"/>
      <c r="Q608" s="257"/>
      <c r="R608" s="257"/>
      <c r="S608" s="257"/>
      <c r="T608" s="257"/>
      <c r="U608" s="257"/>
      <c r="V608" s="257"/>
      <c r="W608" s="257"/>
      <c r="X608" s="257"/>
      <c r="Y608" s="257"/>
    </row>
    <row r="609" spans="1:26" x14ac:dyDescent="0.25">
      <c r="A609" s="253" t="s">
        <v>555</v>
      </c>
      <c r="B609" s="257"/>
      <c r="C609" s="257"/>
      <c r="D609" s="257"/>
      <c r="E609" s="257"/>
      <c r="F609" s="257"/>
      <c r="G609" s="257"/>
      <c r="H609" s="257"/>
      <c r="I609" s="257"/>
      <c r="J609" s="257"/>
      <c r="K609" s="257"/>
      <c r="L609" s="257"/>
      <c r="M609" s="257"/>
      <c r="N609" s="257"/>
      <c r="O609" s="257"/>
      <c r="P609" s="257"/>
      <c r="Q609" s="257"/>
      <c r="R609" s="257"/>
      <c r="S609" s="257"/>
      <c r="T609" s="257"/>
      <c r="U609" s="257"/>
      <c r="V609" s="257"/>
      <c r="W609" s="257"/>
      <c r="X609" s="257"/>
      <c r="Y609" s="257"/>
    </row>
    <row r="610" spans="1:26" x14ac:dyDescent="0.25">
      <c r="A610" s="253" t="s">
        <v>556</v>
      </c>
      <c r="B610" s="257"/>
      <c r="C610" s="257"/>
      <c r="D610" s="257"/>
      <c r="E610" s="257"/>
      <c r="F610" s="257"/>
      <c r="G610" s="257"/>
      <c r="H610" s="257"/>
      <c r="I610" s="257"/>
      <c r="J610" s="257"/>
      <c r="K610" s="257"/>
      <c r="L610" s="257"/>
      <c r="M610" s="257"/>
      <c r="N610" s="257"/>
      <c r="O610" s="257"/>
      <c r="P610" s="257"/>
      <c r="Q610" s="257"/>
      <c r="R610" s="257"/>
      <c r="S610" s="257"/>
      <c r="T610" s="257"/>
      <c r="U610" s="257"/>
      <c r="V610" s="257"/>
      <c r="W610" s="257"/>
      <c r="X610" s="257"/>
      <c r="Y610" s="257"/>
    </row>
    <row r="611" spans="1:26" x14ac:dyDescent="0.25">
      <c r="A611" s="253" t="s">
        <v>557</v>
      </c>
      <c r="B611" s="257"/>
      <c r="C611" s="257"/>
      <c r="D611" s="257"/>
      <c r="E611" s="257"/>
      <c r="F611" s="257"/>
      <c r="G611" s="257"/>
      <c r="H611" s="257"/>
      <c r="I611" s="257"/>
      <c r="J611" s="257"/>
      <c r="K611" s="257"/>
      <c r="L611" s="257"/>
      <c r="M611" s="257"/>
      <c r="N611" s="257"/>
      <c r="O611" s="257"/>
      <c r="P611" s="257"/>
      <c r="Q611" s="257"/>
      <c r="R611" s="257"/>
      <c r="S611" s="257"/>
      <c r="T611" s="257"/>
      <c r="U611" s="257"/>
      <c r="V611" s="257"/>
      <c r="W611" s="257"/>
      <c r="X611" s="257"/>
      <c r="Y611" s="257"/>
    </row>
    <row r="612" spans="1:26" x14ac:dyDescent="0.25">
      <c r="A612" s="253" t="s">
        <v>558</v>
      </c>
      <c r="B612" s="257"/>
      <c r="C612" s="257"/>
      <c r="D612" s="257"/>
      <c r="E612" s="257"/>
      <c r="F612" s="257"/>
      <c r="G612" s="257"/>
      <c r="H612" s="257"/>
      <c r="I612" s="257"/>
      <c r="J612" s="257"/>
      <c r="K612" s="257"/>
      <c r="L612" s="257"/>
      <c r="M612" s="257"/>
      <c r="N612" s="257"/>
      <c r="O612" s="257"/>
      <c r="P612" s="257"/>
      <c r="Q612" s="257"/>
      <c r="R612" s="257"/>
      <c r="S612" s="257"/>
      <c r="T612" s="257"/>
      <c r="U612" s="257"/>
      <c r="V612" s="257"/>
      <c r="W612" s="257"/>
      <c r="X612" s="257"/>
      <c r="Y612" s="257"/>
    </row>
    <row r="613" spans="1:26" x14ac:dyDescent="0.25">
      <c r="A613" s="253" t="s">
        <v>559</v>
      </c>
      <c r="B613" s="257"/>
      <c r="C613" s="257"/>
      <c r="D613" s="257"/>
      <c r="E613" s="257"/>
      <c r="F613" s="257"/>
      <c r="G613" s="257"/>
      <c r="H613" s="257"/>
      <c r="I613" s="257"/>
      <c r="J613" s="257"/>
      <c r="K613" s="257"/>
      <c r="L613" s="257"/>
      <c r="M613" s="257"/>
      <c r="N613" s="257"/>
      <c r="O613" s="257"/>
      <c r="P613" s="257"/>
      <c r="Q613" s="257"/>
      <c r="R613" s="257"/>
      <c r="S613" s="257"/>
      <c r="T613" s="257"/>
      <c r="U613" s="257"/>
      <c r="V613" s="257"/>
      <c r="W613" s="257"/>
      <c r="X613" s="257"/>
      <c r="Y613" s="257"/>
    </row>
    <row r="614" spans="1:26" ht="13" thickBot="1" x14ac:dyDescent="0.3">
      <c r="A614" s="258" t="s">
        <v>560</v>
      </c>
      <c r="B614" s="259"/>
      <c r="C614" s="259"/>
      <c r="D614" s="259"/>
      <c r="E614" s="259"/>
      <c r="F614" s="259"/>
      <c r="G614" s="259"/>
      <c r="H614" s="259"/>
      <c r="I614" s="259"/>
      <c r="J614" s="259"/>
      <c r="K614" s="259"/>
      <c r="L614" s="259"/>
      <c r="M614" s="259"/>
      <c r="N614" s="259"/>
      <c r="O614" s="259"/>
      <c r="P614" s="259"/>
      <c r="Q614" s="259"/>
      <c r="R614" s="259"/>
      <c r="S614" s="259"/>
      <c r="T614" s="259"/>
      <c r="U614" s="259"/>
      <c r="V614" s="259"/>
      <c r="W614" s="259"/>
      <c r="X614" s="259"/>
      <c r="Y614" s="259"/>
    </row>
    <row r="615" spans="1:26" x14ac:dyDescent="0.25">
      <c r="A615" s="39"/>
      <c r="B615" s="39"/>
      <c r="C615" s="39"/>
      <c r="D615" s="39"/>
      <c r="E615" s="39"/>
      <c r="F615" s="39"/>
      <c r="G615" s="39"/>
      <c r="H615" s="39"/>
      <c r="I615" s="39"/>
      <c r="J615" s="39"/>
      <c r="K615" s="39"/>
      <c r="L615" s="39"/>
      <c r="M615" s="39"/>
      <c r="N615" s="39"/>
      <c r="O615" s="39"/>
      <c r="P615" s="39"/>
      <c r="Q615" s="39"/>
      <c r="R615" s="39"/>
      <c r="S615" s="39"/>
      <c r="T615" s="39"/>
      <c r="U615" s="39"/>
      <c r="V615" s="39"/>
      <c r="W615" s="39"/>
      <c r="X615" s="39"/>
      <c r="Y615" s="39"/>
      <c r="Z615" s="39"/>
    </row>
    <row r="616" spans="1:26" x14ac:dyDescent="0.25">
      <c r="A616" s="39"/>
      <c r="B616" s="39"/>
      <c r="C616" s="39"/>
      <c r="D616" s="39"/>
      <c r="E616" s="39"/>
      <c r="F616" s="39"/>
      <c r="G616" s="39"/>
      <c r="H616" s="39"/>
      <c r="I616" s="39"/>
      <c r="J616" s="39"/>
      <c r="K616" s="39"/>
      <c r="L616" s="39"/>
      <c r="M616" s="39"/>
      <c r="N616" s="39"/>
      <c r="O616" s="39"/>
      <c r="P616" s="39"/>
      <c r="Q616" s="39"/>
      <c r="R616" s="39"/>
      <c r="S616" s="39"/>
      <c r="T616" s="39"/>
      <c r="U616" s="39"/>
      <c r="V616" s="39"/>
      <c r="W616" s="39"/>
      <c r="X616" s="39"/>
      <c r="Y616" s="39"/>
      <c r="Z616" s="39"/>
    </row>
    <row r="617" spans="1:26" ht="13" thickBot="1" x14ac:dyDescent="0.3">
      <c r="A617" s="39"/>
      <c r="B617" s="39"/>
      <c r="C617" s="39"/>
      <c r="D617" s="39"/>
      <c r="E617" s="39"/>
      <c r="F617" s="39"/>
      <c r="G617" s="39"/>
      <c r="H617" s="39"/>
      <c r="I617" s="39"/>
      <c r="J617" s="39"/>
      <c r="K617" s="39"/>
      <c r="L617" s="39"/>
      <c r="M617" s="39"/>
      <c r="N617" s="39"/>
      <c r="O617" s="39"/>
      <c r="P617" s="39"/>
      <c r="Q617" s="39"/>
      <c r="R617" s="39"/>
      <c r="S617" s="39"/>
      <c r="T617" s="39"/>
      <c r="U617" s="39"/>
      <c r="V617" s="39"/>
      <c r="W617" s="39"/>
      <c r="X617" s="39"/>
      <c r="Y617" s="39"/>
      <c r="Z617" s="39"/>
    </row>
    <row r="618" spans="1:26" ht="13" x14ac:dyDescent="0.3">
      <c r="A618" s="260" t="s">
        <v>561</v>
      </c>
      <c r="B618" s="261"/>
      <c r="C618" s="261" t="s">
        <v>861</v>
      </c>
      <c r="D618" s="261"/>
      <c r="E618" s="261"/>
      <c r="F618" s="261"/>
      <c r="G618" s="261"/>
      <c r="H618" s="261"/>
      <c r="I618" s="261"/>
      <c r="J618" s="261"/>
      <c r="K618" s="261"/>
      <c r="L618" s="261"/>
      <c r="M618" s="261"/>
      <c r="N618" s="261"/>
      <c r="O618" s="261"/>
      <c r="P618" s="261"/>
      <c r="Q618" s="261"/>
      <c r="R618" s="261"/>
      <c r="S618" s="261"/>
      <c r="T618" s="261"/>
      <c r="U618" s="261"/>
      <c r="V618" s="261"/>
      <c r="W618" s="261"/>
      <c r="X618" s="261"/>
      <c r="Y618" s="261"/>
    </row>
    <row r="619" spans="1:26" ht="13" x14ac:dyDescent="0.3">
      <c r="A619" s="262" t="s">
        <v>562</v>
      </c>
      <c r="B619" s="254"/>
      <c r="C619" s="1656" t="s">
        <v>866</v>
      </c>
      <c r="D619" s="1656"/>
      <c r="E619" s="1656"/>
      <c r="F619" s="1656"/>
      <c r="G619" s="1656"/>
      <c r="H619" s="1656"/>
      <c r="I619" s="1656"/>
      <c r="J619" s="1656"/>
      <c r="K619" s="1656"/>
      <c r="L619" s="1656"/>
      <c r="M619" s="1656"/>
      <c r="N619" s="1656"/>
      <c r="O619" s="1656"/>
      <c r="P619" s="1656"/>
      <c r="Q619" s="1656"/>
      <c r="R619" s="1656"/>
      <c r="S619" s="1656"/>
      <c r="T619" s="1656"/>
      <c r="U619" s="1656"/>
      <c r="V619" s="1656"/>
      <c r="W619" s="1656"/>
      <c r="X619" s="1656"/>
      <c r="Y619" s="1656"/>
    </row>
    <row r="620" spans="1:26" x14ac:dyDescent="0.25">
      <c r="A620" s="253" t="s">
        <v>563</v>
      </c>
      <c r="B620" s="254"/>
      <c r="C620" s="1656" t="s">
        <v>867</v>
      </c>
      <c r="D620" s="1656"/>
      <c r="E620" s="1656"/>
      <c r="F620" s="1656"/>
      <c r="G620" s="1656"/>
      <c r="H620" s="1656"/>
      <c r="I620" s="1656"/>
      <c r="J620" s="1656"/>
      <c r="K620" s="1656"/>
      <c r="L620" s="1656"/>
      <c r="M620" s="1656"/>
      <c r="N620" s="1656"/>
      <c r="O620" s="1656"/>
      <c r="P620" s="1656"/>
      <c r="Q620" s="1656"/>
      <c r="R620" s="1656"/>
      <c r="S620" s="1656"/>
      <c r="T620" s="1656"/>
      <c r="U620" s="1656"/>
      <c r="V620" s="1656"/>
      <c r="W620" s="1656"/>
      <c r="X620" s="1656"/>
      <c r="Y620" s="1656"/>
    </row>
    <row r="621" spans="1:26" x14ac:dyDescent="0.25">
      <c r="A621" s="255" t="s">
        <v>446</v>
      </c>
      <c r="B621" s="254"/>
      <c r="C621" s="254"/>
      <c r="D621" s="254"/>
      <c r="E621" s="254"/>
      <c r="F621" s="254"/>
      <c r="G621" s="254"/>
      <c r="H621" s="254"/>
      <c r="I621" s="254"/>
      <c r="J621" s="254"/>
      <c r="K621" s="254"/>
      <c r="L621" s="254"/>
      <c r="M621" s="254"/>
      <c r="N621" s="254"/>
      <c r="O621" s="254"/>
      <c r="P621" s="254"/>
      <c r="Q621" s="254"/>
      <c r="R621" s="254"/>
      <c r="S621" s="254"/>
      <c r="T621" s="254"/>
      <c r="U621" s="254"/>
      <c r="V621" s="254"/>
      <c r="W621" s="254"/>
      <c r="X621" s="254"/>
      <c r="Y621" s="254"/>
    </row>
    <row r="622" spans="1:26" x14ac:dyDescent="0.25">
      <c r="A622" s="253"/>
      <c r="B622" s="254"/>
      <c r="C622" s="299"/>
      <c r="D622" s="254"/>
      <c r="E622" s="254"/>
      <c r="F622" s="254"/>
      <c r="G622" s="254"/>
      <c r="H622" s="254"/>
      <c r="I622" s="254"/>
      <c r="J622" s="254"/>
      <c r="K622" s="254"/>
      <c r="L622" s="254"/>
      <c r="M622" s="254"/>
      <c r="N622" s="254"/>
      <c r="O622" s="254"/>
      <c r="P622" s="254"/>
      <c r="Q622" s="254"/>
      <c r="R622" s="254"/>
      <c r="S622" s="254"/>
      <c r="T622" s="254"/>
      <c r="U622" s="254"/>
      <c r="V622" s="254"/>
      <c r="W622" s="254"/>
      <c r="X622" s="254"/>
      <c r="Y622" s="254"/>
    </row>
    <row r="623" spans="1:26" x14ac:dyDescent="0.25">
      <c r="A623" s="253" t="s">
        <v>447</v>
      </c>
      <c r="B623" s="254"/>
      <c r="C623" s="254"/>
      <c r="D623" s="254"/>
      <c r="E623" s="254"/>
      <c r="F623" s="254"/>
      <c r="G623" s="254"/>
      <c r="H623" s="254"/>
      <c r="I623" s="254"/>
      <c r="J623" s="254"/>
      <c r="K623" s="254"/>
      <c r="L623" s="254"/>
      <c r="M623" s="254"/>
      <c r="N623" s="254"/>
      <c r="O623" s="254"/>
      <c r="P623" s="254"/>
      <c r="Q623" s="254"/>
      <c r="R623" s="254"/>
      <c r="S623" s="254"/>
      <c r="T623" s="254"/>
      <c r="U623" s="254"/>
      <c r="V623" s="254"/>
      <c r="W623" s="254"/>
      <c r="X623" s="254"/>
      <c r="Y623" s="254"/>
    </row>
    <row r="624" spans="1:26" x14ac:dyDescent="0.25">
      <c r="A624" s="253" t="s">
        <v>448</v>
      </c>
      <c r="B624" s="254"/>
      <c r="C624" s="254"/>
      <c r="D624" s="254"/>
      <c r="E624" s="254"/>
      <c r="F624" s="254"/>
      <c r="G624" s="254"/>
      <c r="H624" s="254"/>
      <c r="I624" s="254"/>
      <c r="J624" s="254"/>
      <c r="K624" s="254"/>
      <c r="L624" s="254"/>
      <c r="M624" s="254"/>
      <c r="N624" s="254"/>
      <c r="O624" s="254"/>
      <c r="P624" s="254"/>
      <c r="Q624" s="254"/>
      <c r="R624" s="254"/>
      <c r="S624" s="254"/>
      <c r="T624" s="254"/>
      <c r="U624" s="254"/>
      <c r="V624" s="254"/>
      <c r="W624" s="254"/>
      <c r="X624" s="254"/>
      <c r="Y624" s="254"/>
    </row>
    <row r="625" spans="1:26" x14ac:dyDescent="0.25">
      <c r="A625" s="253"/>
      <c r="B625" s="254"/>
      <c r="C625" s="254"/>
      <c r="D625" s="254"/>
      <c r="E625" s="254"/>
      <c r="F625" s="254"/>
      <c r="G625" s="254"/>
      <c r="H625" s="254"/>
      <c r="I625" s="254"/>
      <c r="J625" s="254"/>
      <c r="K625" s="254"/>
      <c r="L625" s="254"/>
      <c r="M625" s="254"/>
      <c r="N625" s="254"/>
      <c r="O625" s="254"/>
      <c r="P625" s="254"/>
      <c r="Q625" s="254"/>
      <c r="R625" s="254"/>
      <c r="S625" s="254"/>
      <c r="T625" s="254"/>
      <c r="U625" s="254"/>
      <c r="V625" s="254"/>
      <c r="W625" s="254"/>
      <c r="X625" s="254"/>
      <c r="Y625" s="254"/>
      <c r="Z625" t="s">
        <v>591</v>
      </c>
    </row>
    <row r="626" spans="1:26" x14ac:dyDescent="0.25">
      <c r="A626" s="253" t="s">
        <v>440</v>
      </c>
      <c r="B626" s="254" t="s">
        <v>449</v>
      </c>
      <c r="C626" s="254" t="s">
        <v>450</v>
      </c>
      <c r="D626" s="254" t="s">
        <v>451</v>
      </c>
      <c r="E626" s="254" t="s">
        <v>452</v>
      </c>
      <c r="F626" s="254" t="s">
        <v>453</v>
      </c>
      <c r="G626" s="254" t="s">
        <v>454</v>
      </c>
      <c r="H626" s="254" t="s">
        <v>455</v>
      </c>
      <c r="I626" s="254" t="s">
        <v>456</v>
      </c>
      <c r="J626" s="254" t="s">
        <v>457</v>
      </c>
      <c r="K626" s="254" t="s">
        <v>458</v>
      </c>
      <c r="L626" s="254" t="s">
        <v>459</v>
      </c>
      <c r="M626" s="254" t="s">
        <v>460</v>
      </c>
      <c r="N626" s="254" t="s">
        <v>461</v>
      </c>
      <c r="O626" s="254" t="s">
        <v>462</v>
      </c>
      <c r="P626" s="254" t="s">
        <v>463</v>
      </c>
      <c r="Q626" s="254" t="s">
        <v>464</v>
      </c>
      <c r="R626" s="254" t="s">
        <v>465</v>
      </c>
      <c r="S626" s="254" t="s">
        <v>466</v>
      </c>
      <c r="T626" s="254" t="s">
        <v>467</v>
      </c>
      <c r="U626" s="254" t="s">
        <v>468</v>
      </c>
      <c r="V626" s="254" t="s">
        <v>469</v>
      </c>
      <c r="W626" s="254" t="s">
        <v>470</v>
      </c>
      <c r="X626" s="254" t="s">
        <v>471</v>
      </c>
      <c r="Y626" s="254" t="s">
        <v>472</v>
      </c>
      <c r="Z626">
        <v>2026</v>
      </c>
    </row>
    <row r="627" spans="1:26" x14ac:dyDescent="0.25">
      <c r="A627" s="253" t="s">
        <v>440</v>
      </c>
      <c r="B627" s="254" t="s">
        <v>440</v>
      </c>
      <c r="C627" s="254" t="s">
        <v>440</v>
      </c>
      <c r="D627" s="254" t="s">
        <v>440</v>
      </c>
      <c r="E627" s="254" t="s">
        <v>440</v>
      </c>
      <c r="F627" s="254" t="s">
        <v>440</v>
      </c>
      <c r="G627" s="254" t="s">
        <v>440</v>
      </c>
      <c r="H627" s="254" t="s">
        <v>440</v>
      </c>
      <c r="I627" s="254" t="s">
        <v>440</v>
      </c>
      <c r="J627" s="254" t="s">
        <v>440</v>
      </c>
      <c r="K627" s="254" t="s">
        <v>440</v>
      </c>
      <c r="L627" s="254" t="s">
        <v>440</v>
      </c>
      <c r="M627" s="254" t="s">
        <v>440</v>
      </c>
      <c r="N627" s="254" t="s">
        <v>440</v>
      </c>
      <c r="O627" s="254" t="s">
        <v>440</v>
      </c>
      <c r="P627" s="254" t="s">
        <v>440</v>
      </c>
      <c r="Q627" s="254" t="s">
        <v>440</v>
      </c>
      <c r="R627" s="254" t="s">
        <v>440</v>
      </c>
      <c r="S627" s="254" t="s">
        <v>440</v>
      </c>
      <c r="T627" s="254" t="s">
        <v>440</v>
      </c>
      <c r="U627" s="254" t="s">
        <v>440</v>
      </c>
      <c r="V627" s="254" t="s">
        <v>440</v>
      </c>
      <c r="W627" s="254" t="s">
        <v>440</v>
      </c>
      <c r="X627" s="254" t="s">
        <v>440</v>
      </c>
      <c r="Y627" s="254" t="s">
        <v>440</v>
      </c>
    </row>
    <row r="628" spans="1:26" x14ac:dyDescent="0.25">
      <c r="A628" s="253" t="s">
        <v>473</v>
      </c>
      <c r="B628" s="257">
        <v>15.0220499038696</v>
      </c>
      <c r="C628" s="257">
        <v>15.811363220214799</v>
      </c>
      <c r="D628" s="257">
        <v>16.426000595092798</v>
      </c>
      <c r="E628" s="257">
        <v>16.4650573730469</v>
      </c>
      <c r="F628" s="257">
        <v>15.8399600982666</v>
      </c>
      <c r="G628" s="257">
        <v>15.268068313598601</v>
      </c>
      <c r="H628" s="257">
        <v>14.8466091156006</v>
      </c>
      <c r="I628" s="257">
        <v>14.7514638900757</v>
      </c>
      <c r="J628" s="257">
        <v>14.6550188064575</v>
      </c>
      <c r="K628" s="257">
        <v>14.6146650314331</v>
      </c>
      <c r="L628" s="257">
        <v>14.723385810852101</v>
      </c>
      <c r="M628" s="257">
        <v>14.890528678894</v>
      </c>
      <c r="N628" s="257">
        <v>15.1057291030884</v>
      </c>
      <c r="O628" s="257">
        <v>15.213768959045399</v>
      </c>
      <c r="P628" s="257">
        <v>15.3079509735107</v>
      </c>
      <c r="Q628" s="257">
        <v>15.3113193511963</v>
      </c>
      <c r="R628" s="257">
        <v>15.4291744232178</v>
      </c>
      <c r="S628" s="257">
        <v>15.6326360702515</v>
      </c>
      <c r="T628" s="257">
        <v>15.9024982452393</v>
      </c>
      <c r="U628" s="257">
        <v>16.1096382141113</v>
      </c>
      <c r="V628" s="257">
        <v>16.157627105712901</v>
      </c>
      <c r="W628" s="257">
        <v>16.2051906585693</v>
      </c>
      <c r="X628" s="257">
        <v>16.309419631958001</v>
      </c>
      <c r="Y628" s="257">
        <v>16.471462249755898</v>
      </c>
    </row>
    <row r="629" spans="1:26" x14ac:dyDescent="0.25">
      <c r="A629" s="253" t="s">
        <v>474</v>
      </c>
      <c r="B629" s="257">
        <v>8.3285751342773402</v>
      </c>
      <c r="C629" s="257">
        <v>9.67810153961182</v>
      </c>
      <c r="D629" s="257">
        <v>10.65163230896</v>
      </c>
      <c r="E629" s="257">
        <v>10.5740642547607</v>
      </c>
      <c r="F629" s="257">
        <v>9.9307842254638707</v>
      </c>
      <c r="G629" s="257">
        <v>9.5159215927124006</v>
      </c>
      <c r="H629" s="257">
        <v>9.1046285629272496</v>
      </c>
      <c r="I629" s="257">
        <v>8.8910932540893608</v>
      </c>
      <c r="J629" s="257">
        <v>8.7197055816650408</v>
      </c>
      <c r="K629" s="257">
        <v>8.6297874450683594</v>
      </c>
      <c r="L629" s="257">
        <v>8.6824674606323207</v>
      </c>
      <c r="M629" s="257">
        <v>8.7884712219238299</v>
      </c>
      <c r="N629" s="257">
        <v>8.9080095291137695</v>
      </c>
      <c r="O629" s="257">
        <v>9.0072793960571307</v>
      </c>
      <c r="P629" s="257">
        <v>9.0682640075683594</v>
      </c>
      <c r="Q629" s="257">
        <v>9.0415534973144496</v>
      </c>
      <c r="R629" s="257">
        <v>9.1060371398925799</v>
      </c>
      <c r="S629" s="257">
        <v>9.2553215026855504</v>
      </c>
      <c r="T629" s="257">
        <v>9.4607038497924805</v>
      </c>
      <c r="U629" s="257">
        <v>9.6327857971191406</v>
      </c>
      <c r="V629" s="257">
        <v>9.6968526840209996</v>
      </c>
      <c r="W629" s="257">
        <v>9.7728433609008807</v>
      </c>
      <c r="X629" s="257">
        <v>9.8535881042480504</v>
      </c>
      <c r="Y629" s="257">
        <v>9.9786624908447301</v>
      </c>
    </row>
    <row r="630" spans="1:26" x14ac:dyDescent="0.25">
      <c r="A630" s="253" t="s">
        <v>475</v>
      </c>
      <c r="B630" s="257">
        <v>10.0436496734619</v>
      </c>
      <c r="C630" s="257">
        <v>11.266843795776399</v>
      </c>
      <c r="D630" s="257">
        <v>13.0600233078003</v>
      </c>
      <c r="E630" s="257">
        <v>12.5262851715088</v>
      </c>
      <c r="F630" s="257">
        <v>12.207064628601101</v>
      </c>
      <c r="G630" s="257">
        <v>12.234001159668001</v>
      </c>
      <c r="H630" s="257">
        <v>12.201937675476101</v>
      </c>
      <c r="I630" s="257">
        <v>12.2015285491943</v>
      </c>
      <c r="J630" s="257">
        <v>12.262092590331999</v>
      </c>
      <c r="K630" s="257">
        <v>12.1512393951416</v>
      </c>
      <c r="L630" s="257">
        <v>12.1732091903687</v>
      </c>
      <c r="M630" s="257">
        <v>12.1968584060669</v>
      </c>
      <c r="N630" s="257">
        <v>12.177050590515099</v>
      </c>
      <c r="O630" s="257">
        <v>12.2115392684937</v>
      </c>
      <c r="P630" s="257">
        <v>12.3804988861084</v>
      </c>
      <c r="Q630" s="257">
        <v>12.519121170043899</v>
      </c>
      <c r="R630" s="257">
        <v>12.6585578918457</v>
      </c>
      <c r="S630" s="257">
        <v>12.798875808715801</v>
      </c>
      <c r="T630" s="257">
        <v>12.8676557540894</v>
      </c>
      <c r="U630" s="257">
        <v>13.13560962677</v>
      </c>
      <c r="V630" s="257">
        <v>13.328717231750501</v>
      </c>
      <c r="W630" s="257">
        <v>13.556846618652299</v>
      </c>
      <c r="X630" s="257">
        <v>13.722979545593301</v>
      </c>
      <c r="Y630" s="257">
        <v>13.940701484680201</v>
      </c>
    </row>
    <row r="631" spans="1:26" x14ac:dyDescent="0.25">
      <c r="A631" s="253" t="s">
        <v>476</v>
      </c>
      <c r="B631" s="257">
        <v>8.3698368072509801</v>
      </c>
      <c r="C631" s="257">
        <v>9.5702075958252006</v>
      </c>
      <c r="D631" s="257">
        <v>10.537187576293899</v>
      </c>
      <c r="E631" s="257">
        <v>10.120927810668899</v>
      </c>
      <c r="F631" s="257">
        <v>9.8627185821533203</v>
      </c>
      <c r="G631" s="257">
        <v>9.8399791717529297</v>
      </c>
      <c r="H631" s="257">
        <v>9.8302927017211896</v>
      </c>
      <c r="I631" s="257">
        <v>9.8297405242919904</v>
      </c>
      <c r="J631" s="257">
        <v>9.8252134323120099</v>
      </c>
      <c r="K631" s="257">
        <v>9.7093524932861293</v>
      </c>
      <c r="L631" s="257">
        <v>9.7021694183349592</v>
      </c>
      <c r="M631" s="257">
        <v>9.7383060455322301</v>
      </c>
      <c r="N631" s="257">
        <v>9.80072116851807</v>
      </c>
      <c r="O631" s="257">
        <v>9.7244081497192401</v>
      </c>
      <c r="P631" s="257">
        <v>9.8378829956054705</v>
      </c>
      <c r="Q631" s="257">
        <v>9.8340024948120099</v>
      </c>
      <c r="R631" s="257">
        <v>9.9226865768432599</v>
      </c>
      <c r="S631" s="257">
        <v>10.0213985443115</v>
      </c>
      <c r="T631" s="257">
        <v>10.078977584838899</v>
      </c>
      <c r="U631" s="257">
        <v>10.280327796936</v>
      </c>
      <c r="V631" s="257">
        <v>10.3802833557129</v>
      </c>
      <c r="W631" s="257">
        <v>10.4678192138672</v>
      </c>
      <c r="X631" s="257">
        <v>10.5482635498047</v>
      </c>
      <c r="Y631" s="257">
        <v>10.6469841003418</v>
      </c>
    </row>
    <row r="632" spans="1:26" x14ac:dyDescent="0.25">
      <c r="A632" s="253" t="s">
        <v>477</v>
      </c>
      <c r="B632" s="257">
        <v>12.976583480835</v>
      </c>
      <c r="C632" s="257">
        <v>14.582922935485801</v>
      </c>
      <c r="D632" s="257">
        <v>17.570188522338899</v>
      </c>
      <c r="E632" s="257">
        <v>17.073205947876001</v>
      </c>
      <c r="F632" s="257">
        <v>16.564285278320298</v>
      </c>
      <c r="G632" s="257">
        <v>16.581449508666999</v>
      </c>
      <c r="H632" s="257">
        <v>16.4250888824463</v>
      </c>
      <c r="I632" s="257">
        <v>16.346086502075199</v>
      </c>
      <c r="J632" s="257">
        <v>16.4532871246338</v>
      </c>
      <c r="K632" s="257">
        <v>16.288703918456999</v>
      </c>
      <c r="L632" s="257">
        <v>16.298521041870099</v>
      </c>
      <c r="M632" s="257">
        <v>16.236286163330099</v>
      </c>
      <c r="N632" s="257">
        <v>15.99489402771</v>
      </c>
      <c r="O632" s="257">
        <v>16.1197624206543</v>
      </c>
      <c r="P632" s="257">
        <v>16.286623001098601</v>
      </c>
      <c r="Q632" s="257">
        <v>16.56103515625</v>
      </c>
      <c r="R632" s="257">
        <v>16.690963745117202</v>
      </c>
      <c r="S632" s="257">
        <v>16.804660797119102</v>
      </c>
      <c r="T632" s="257">
        <v>16.7820129394531</v>
      </c>
      <c r="U632" s="257">
        <v>17.028240203857401</v>
      </c>
      <c r="V632" s="257">
        <v>17.2251377105713</v>
      </c>
      <c r="W632" s="257">
        <v>17.515983581543001</v>
      </c>
      <c r="X632" s="257">
        <v>17.670423507690401</v>
      </c>
      <c r="Y632" s="257">
        <v>17.9113578796387</v>
      </c>
    </row>
    <row r="633" spans="1:26" x14ac:dyDescent="0.25">
      <c r="A633" s="253" t="s">
        <v>478</v>
      </c>
      <c r="B633" s="257">
        <v>7.8179483413696298</v>
      </c>
      <c r="C633" s="257">
        <v>9.2187824249267596</v>
      </c>
      <c r="D633" s="257">
        <v>9.9373655319213903</v>
      </c>
      <c r="E633" s="257">
        <v>10.036292076110801</v>
      </c>
      <c r="F633" s="257">
        <v>9.3139858245849592</v>
      </c>
      <c r="G633" s="257">
        <v>8.7959203720092791</v>
      </c>
      <c r="H633" s="257">
        <v>8.3035001754760707</v>
      </c>
      <c r="I633" s="257">
        <v>8.0470056533813494</v>
      </c>
      <c r="J633" s="257">
        <v>7.8287873268127397</v>
      </c>
      <c r="K633" s="257">
        <v>7.7531881332397496</v>
      </c>
      <c r="L633" s="257">
        <v>7.8190288543701199</v>
      </c>
      <c r="M633" s="257">
        <v>7.9488449096679696</v>
      </c>
      <c r="N633" s="257">
        <v>8.1063919067382795</v>
      </c>
      <c r="O633" s="257">
        <v>8.2242641448974592</v>
      </c>
      <c r="P633" s="257">
        <v>8.2648267745971697</v>
      </c>
      <c r="Q633" s="257">
        <v>8.2073183059692401</v>
      </c>
      <c r="R633" s="257">
        <v>8.2647809982299805</v>
      </c>
      <c r="S633" s="257">
        <v>8.4262142181396502</v>
      </c>
      <c r="T633" s="257">
        <v>8.6721630096435494</v>
      </c>
      <c r="U633" s="257">
        <v>8.83197021484375</v>
      </c>
      <c r="V633" s="257">
        <v>8.8790025711059606</v>
      </c>
      <c r="W633" s="257">
        <v>8.93493747711182</v>
      </c>
      <c r="X633" s="257">
        <v>9.0109558105468803</v>
      </c>
      <c r="Y633" s="257">
        <v>9.1305398941040004</v>
      </c>
    </row>
    <row r="634" spans="1:26" x14ac:dyDescent="0.25">
      <c r="A634" s="253" t="s">
        <v>479</v>
      </c>
      <c r="B634" s="257">
        <v>25.222642898559599</v>
      </c>
      <c r="C634" s="257">
        <v>25.415189743041999</v>
      </c>
      <c r="D634" s="257">
        <v>25.1915378570557</v>
      </c>
      <c r="E634" s="257">
        <v>25.148117065429702</v>
      </c>
      <c r="F634" s="257">
        <v>24.4542636871338</v>
      </c>
      <c r="G634" s="257">
        <v>23.578901290893601</v>
      </c>
      <c r="H634" s="257">
        <v>23.091381072998001</v>
      </c>
      <c r="I634" s="257">
        <v>23.1348171234131</v>
      </c>
      <c r="J634" s="257">
        <v>23.120912551879901</v>
      </c>
      <c r="K634" s="257">
        <v>23.118898391723601</v>
      </c>
      <c r="L634" s="257">
        <v>23.2529602050781</v>
      </c>
      <c r="M634" s="257">
        <v>23.4250183105469</v>
      </c>
      <c r="N634" s="257">
        <v>23.684103012085</v>
      </c>
      <c r="O634" s="257">
        <v>23.7079162597656</v>
      </c>
      <c r="P634" s="257">
        <v>23.7613220214844</v>
      </c>
      <c r="Q634" s="257">
        <v>23.722099304199201</v>
      </c>
      <c r="R634" s="257">
        <v>23.8309440612793</v>
      </c>
      <c r="S634" s="257">
        <v>24.013486862182599</v>
      </c>
      <c r="T634" s="257">
        <v>24.267650604248001</v>
      </c>
      <c r="U634" s="257">
        <v>24.4126377105713</v>
      </c>
      <c r="V634" s="257">
        <v>24.3365364074707</v>
      </c>
      <c r="W634" s="257">
        <v>24.2477512359619</v>
      </c>
      <c r="X634" s="257">
        <v>24.2885627746582</v>
      </c>
      <c r="Y634" s="257">
        <v>24.396659851074201</v>
      </c>
    </row>
    <row r="635" spans="1:26" x14ac:dyDescent="0.25">
      <c r="A635" s="253" t="s">
        <v>440</v>
      </c>
      <c r="B635" s="257" t="s">
        <v>440</v>
      </c>
      <c r="C635" s="257" t="s">
        <v>440</v>
      </c>
      <c r="D635" s="257" t="s">
        <v>440</v>
      </c>
      <c r="E635" s="257" t="s">
        <v>440</v>
      </c>
      <c r="F635" s="257" t="s">
        <v>440</v>
      </c>
      <c r="G635" s="257" t="s">
        <v>440</v>
      </c>
      <c r="H635" s="257" t="s">
        <v>440</v>
      </c>
      <c r="I635" s="257" t="s">
        <v>440</v>
      </c>
      <c r="J635" s="257" t="s">
        <v>440</v>
      </c>
      <c r="K635" s="257" t="s">
        <v>440</v>
      </c>
      <c r="L635" s="257" t="s">
        <v>440</v>
      </c>
      <c r="M635" s="257" t="s">
        <v>440</v>
      </c>
      <c r="N635" s="257" t="s">
        <v>440</v>
      </c>
      <c r="O635" s="257" t="s">
        <v>440</v>
      </c>
      <c r="P635" s="257" t="s">
        <v>440</v>
      </c>
      <c r="Q635" s="257" t="s">
        <v>440</v>
      </c>
      <c r="R635" s="257" t="s">
        <v>440</v>
      </c>
      <c r="S635" s="257" t="s">
        <v>440</v>
      </c>
      <c r="T635" s="257" t="s">
        <v>440</v>
      </c>
      <c r="U635" s="257" t="s">
        <v>440</v>
      </c>
      <c r="V635" s="257" t="s">
        <v>440</v>
      </c>
      <c r="W635" s="257" t="s">
        <v>440</v>
      </c>
      <c r="X635" s="257" t="s">
        <v>440</v>
      </c>
      <c r="Y635" s="257" t="s">
        <v>440</v>
      </c>
    </row>
    <row r="636" spans="1:26" x14ac:dyDescent="0.25">
      <c r="A636" s="253" t="s">
        <v>480</v>
      </c>
      <c r="B636" s="257">
        <v>15.064169883728001</v>
      </c>
      <c r="C636" s="257">
        <v>15.629265785217299</v>
      </c>
      <c r="D636" s="257">
        <v>15.835695266723601</v>
      </c>
      <c r="E636" s="257">
        <v>15.918652534484901</v>
      </c>
      <c r="F636" s="257">
        <v>15.2065124511719</v>
      </c>
      <c r="G636" s="257">
        <v>14.526217460632299</v>
      </c>
      <c r="H636" s="257">
        <v>14.119109153747599</v>
      </c>
      <c r="I636" s="257">
        <v>14.0872592926025</v>
      </c>
      <c r="J636" s="257">
        <v>14.0534925460815</v>
      </c>
      <c r="K636" s="257">
        <v>14.108097076416</v>
      </c>
      <c r="L636" s="257">
        <v>14.338217735290501</v>
      </c>
      <c r="M636" s="257">
        <v>14.584888458251999</v>
      </c>
      <c r="N636" s="257">
        <v>14.9309749603271</v>
      </c>
      <c r="O636" s="257">
        <v>15.096228599548301</v>
      </c>
      <c r="P636" s="257">
        <v>15.2413949966431</v>
      </c>
      <c r="Q636" s="257">
        <v>15.255002975463899</v>
      </c>
      <c r="R636" s="257">
        <v>15.399823188781699</v>
      </c>
      <c r="S636" s="257">
        <v>15.6329202651978</v>
      </c>
      <c r="T636" s="257">
        <v>15.9477081298828</v>
      </c>
      <c r="U636" s="257">
        <v>16.179660797119102</v>
      </c>
      <c r="V636" s="257">
        <v>16.227045059204102</v>
      </c>
      <c r="W636" s="257">
        <v>16.249193191528299</v>
      </c>
      <c r="X636" s="257">
        <v>16.367641448974599</v>
      </c>
      <c r="Y636" s="257">
        <v>16.5326118469238</v>
      </c>
    </row>
    <row r="637" spans="1:26" x14ac:dyDescent="0.25">
      <c r="A637" s="253" t="s">
        <v>474</v>
      </c>
      <c r="B637" s="257">
        <v>6.5697088241577104</v>
      </c>
      <c r="C637" s="257">
        <v>7.9157042503356898</v>
      </c>
      <c r="D637" s="257">
        <v>8.3734045028686506</v>
      </c>
      <c r="E637" s="257">
        <v>8.3685989379882795</v>
      </c>
      <c r="F637" s="257">
        <v>7.9054894447326696</v>
      </c>
      <c r="G637" s="257">
        <v>7.6067800521850604</v>
      </c>
      <c r="H637" s="257">
        <v>7.3189792633056596</v>
      </c>
      <c r="I637" s="257">
        <v>7.2159371376037598</v>
      </c>
      <c r="J637" s="257">
        <v>7.1498117446899396</v>
      </c>
      <c r="K637" s="257">
        <v>7.1872353553771999</v>
      </c>
      <c r="L637" s="257">
        <v>7.2290387153625497</v>
      </c>
      <c r="M637" s="257">
        <v>7.30631303787231</v>
      </c>
      <c r="N637" s="257">
        <v>7.4108529090881303</v>
      </c>
      <c r="O637" s="257">
        <v>7.4683656692504901</v>
      </c>
      <c r="P637" s="257">
        <v>7.4930505752563503</v>
      </c>
      <c r="Q637" s="257">
        <v>7.43192434310913</v>
      </c>
      <c r="R637" s="257">
        <v>7.4779849052429199</v>
      </c>
      <c r="S637" s="257">
        <v>7.60019826889038</v>
      </c>
      <c r="T637" s="257">
        <v>7.7867598533630398</v>
      </c>
      <c r="U637" s="257">
        <v>7.91162109375</v>
      </c>
      <c r="V637" s="257">
        <v>7.9430484771728498</v>
      </c>
      <c r="W637" s="257">
        <v>7.9890594482421902</v>
      </c>
      <c r="X637" s="257">
        <v>8.0587644577026403</v>
      </c>
      <c r="Y637" s="257">
        <v>8.1779403686523402</v>
      </c>
    </row>
    <row r="638" spans="1:26" x14ac:dyDescent="0.25">
      <c r="A638" s="253" t="s">
        <v>475</v>
      </c>
      <c r="B638" s="257">
        <v>6.9482707977294904</v>
      </c>
      <c r="C638" s="257">
        <v>8.0266513824462908</v>
      </c>
      <c r="D638" s="257">
        <v>8.9197740554809606</v>
      </c>
      <c r="E638" s="257">
        <v>8.6532411575317401</v>
      </c>
      <c r="F638" s="257">
        <v>8.7558631896972692</v>
      </c>
      <c r="G638" s="257">
        <v>8.8328323364257795</v>
      </c>
      <c r="H638" s="257">
        <v>8.8167963027954102</v>
      </c>
      <c r="I638" s="257">
        <v>8.8182945251464808</v>
      </c>
      <c r="J638" s="257">
        <v>8.8873138427734393</v>
      </c>
      <c r="K638" s="257">
        <v>8.9125509262084996</v>
      </c>
      <c r="L638" s="257">
        <v>8.9192247390747106</v>
      </c>
      <c r="M638" s="257">
        <v>8.8803482055664098</v>
      </c>
      <c r="N638" s="257">
        <v>8.8586578369140607</v>
      </c>
      <c r="O638" s="257">
        <v>8.7692289352416992</v>
      </c>
      <c r="P638" s="257">
        <v>8.7682600021362305</v>
      </c>
      <c r="Q638" s="257">
        <v>8.7373514175415004</v>
      </c>
      <c r="R638" s="257">
        <v>8.7862501144409197</v>
      </c>
      <c r="S638" s="257">
        <v>8.8491783142089808</v>
      </c>
      <c r="T638" s="257">
        <v>8.8908815383911097</v>
      </c>
      <c r="U638" s="257">
        <v>9.0514831542968803</v>
      </c>
      <c r="V638" s="257">
        <v>9.1475715637206996</v>
      </c>
      <c r="W638" s="257">
        <v>9.2663307189941406</v>
      </c>
      <c r="X638" s="257">
        <v>9.3906812667846697</v>
      </c>
      <c r="Y638" s="257">
        <v>9.6513500213622994</v>
      </c>
    </row>
    <row r="639" spans="1:26" x14ac:dyDescent="0.25">
      <c r="A639" s="253" t="s">
        <v>476</v>
      </c>
      <c r="B639" s="257">
        <v>6.1493649482727104</v>
      </c>
      <c r="C639" s="257">
        <v>7.03082323074341</v>
      </c>
      <c r="D639" s="257">
        <v>7.7272830009460396</v>
      </c>
      <c r="E639" s="257">
        <v>7.4210705757141104</v>
      </c>
      <c r="F639" s="257">
        <v>7.6805524826049796</v>
      </c>
      <c r="G639" s="257">
        <v>7.8215904235839799</v>
      </c>
      <c r="H639" s="257">
        <v>7.8266153335571298</v>
      </c>
      <c r="I639" s="257">
        <v>7.8668313026428196</v>
      </c>
      <c r="J639" s="257">
        <v>7.9658513069152797</v>
      </c>
      <c r="K639" s="257">
        <v>8.0328092575073207</v>
      </c>
      <c r="L639" s="257">
        <v>8.0569534301757795</v>
      </c>
      <c r="M639" s="257">
        <v>8.0234899520874006</v>
      </c>
      <c r="N639" s="257">
        <v>8.0314903259277308</v>
      </c>
      <c r="O639" s="257">
        <v>7.91062688827515</v>
      </c>
      <c r="P639" s="257">
        <v>7.8695487976074201</v>
      </c>
      <c r="Q639" s="257">
        <v>7.7933855056762704</v>
      </c>
      <c r="R639" s="257">
        <v>7.8344025611877397</v>
      </c>
      <c r="S639" s="257">
        <v>7.89571285247803</v>
      </c>
      <c r="T639" s="257">
        <v>7.9562859535217303</v>
      </c>
      <c r="U639" s="257">
        <v>8.1191616058349592</v>
      </c>
      <c r="V639" s="257">
        <v>8.2043952941894496</v>
      </c>
      <c r="W639" s="257">
        <v>8.3111848831176793</v>
      </c>
      <c r="X639" s="257">
        <v>8.4434480667114293</v>
      </c>
      <c r="Y639" s="257">
        <v>8.7515277862548793</v>
      </c>
    </row>
    <row r="640" spans="1:26" x14ac:dyDescent="0.25">
      <c r="A640" s="253" t="s">
        <v>481</v>
      </c>
      <c r="B640" s="257">
        <v>4.2683343887329102</v>
      </c>
      <c r="C640" s="257">
        <v>4.9646224975585902</v>
      </c>
      <c r="D640" s="257">
        <v>5.0606441497802699</v>
      </c>
      <c r="E640" s="257">
        <v>5.3499693870544398</v>
      </c>
      <c r="F640" s="257">
        <v>5.6657009124755904</v>
      </c>
      <c r="G640" s="257">
        <v>5.6566004753112802</v>
      </c>
      <c r="H640" s="257">
        <v>5.6533966064453098</v>
      </c>
      <c r="I640" s="257">
        <v>5.65053033828735</v>
      </c>
      <c r="J640" s="257">
        <v>5.6487455368042001</v>
      </c>
      <c r="K640" s="257">
        <v>5.6555466651916504</v>
      </c>
      <c r="L640" s="257">
        <v>5.6602473258972203</v>
      </c>
      <c r="M640" s="257">
        <v>5.6679368019104004</v>
      </c>
      <c r="N640" s="257">
        <v>5.6729874610900897</v>
      </c>
      <c r="O640" s="257">
        <v>5.6782984733581499</v>
      </c>
      <c r="P640" s="257">
        <v>5.7556295394897496</v>
      </c>
      <c r="Q640" s="257">
        <v>5.8296666145324698</v>
      </c>
      <c r="R640" s="257">
        <v>5.9058866500854501</v>
      </c>
      <c r="S640" s="257">
        <v>5.9829258918762198</v>
      </c>
      <c r="T640" s="257">
        <v>6.0580596923828098</v>
      </c>
      <c r="U640" s="257">
        <v>6.1354246139526403</v>
      </c>
      <c r="V640" s="257">
        <v>6.2122497558593803</v>
      </c>
      <c r="W640" s="257">
        <v>6.2891340255737296</v>
      </c>
      <c r="X640" s="257">
        <v>6.3645572662353498</v>
      </c>
      <c r="Y640" s="257">
        <v>6.4413762092590297</v>
      </c>
    </row>
    <row r="641" spans="1:26" x14ac:dyDescent="0.25">
      <c r="A641" s="278" t="s">
        <v>478</v>
      </c>
      <c r="B641" s="257">
        <v>6.6170339584350604</v>
      </c>
      <c r="C641" s="257">
        <v>8.0769119262695295</v>
      </c>
      <c r="D641" s="257">
        <v>8.4473829269409197</v>
      </c>
      <c r="E641" s="257">
        <v>8.5046024322509801</v>
      </c>
      <c r="F641" s="257">
        <v>7.8886041641235396</v>
      </c>
      <c r="G641" s="257">
        <v>7.4893965721130398</v>
      </c>
      <c r="H641" s="257">
        <v>7.1298856735229501</v>
      </c>
      <c r="I641" s="257">
        <v>7.0003471374511701</v>
      </c>
      <c r="J641" s="257">
        <v>6.9035739898681596</v>
      </c>
      <c r="K641" s="257">
        <v>6.94567918777466</v>
      </c>
      <c r="L641" s="257">
        <v>6.9973711967468297</v>
      </c>
      <c r="M641" s="257">
        <v>7.1022868156433097</v>
      </c>
      <c r="N641" s="257">
        <v>7.2368607521057102</v>
      </c>
      <c r="O641" s="257">
        <v>7.3275256156921396</v>
      </c>
      <c r="P641" s="257">
        <v>7.3574790954589799</v>
      </c>
      <c r="Q641" s="257">
        <v>7.2871475219726598</v>
      </c>
      <c r="R641" s="257">
        <v>7.3330197334289604</v>
      </c>
      <c r="S641" s="257">
        <v>7.4703903198242196</v>
      </c>
      <c r="T641" s="257">
        <v>7.6915035247802699</v>
      </c>
      <c r="U641" s="257">
        <v>7.8109488487243697</v>
      </c>
      <c r="V641" s="257">
        <v>7.8279361724853498</v>
      </c>
      <c r="W641" s="257">
        <v>7.8590941429138201</v>
      </c>
      <c r="X641" s="257">
        <v>7.9183402061462402</v>
      </c>
      <c r="Y641" s="257">
        <v>8.0110416412353498</v>
      </c>
      <c r="Z641" s="287">
        <f>Y641+($AI$471-$Y$641)/10</f>
        <v>8.0591226890564176</v>
      </c>
    </row>
    <row r="642" spans="1:26" x14ac:dyDescent="0.25">
      <c r="A642" s="280" t="s">
        <v>479</v>
      </c>
      <c r="B642" s="257">
        <v>23.353584289550799</v>
      </c>
      <c r="C642" s="257">
        <v>23.2374382019043</v>
      </c>
      <c r="D642" s="257">
        <v>23.0424194335938</v>
      </c>
      <c r="E642" s="257">
        <v>22.939121246337901</v>
      </c>
      <c r="F642" s="257">
        <v>21.907506942748999</v>
      </c>
      <c r="G642" s="257">
        <v>20.807579040527301</v>
      </c>
      <c r="H642" s="257">
        <v>20.2319431304932</v>
      </c>
      <c r="I642" s="257">
        <v>20.2009677886963</v>
      </c>
      <c r="J642" s="257">
        <v>20.132976531982401</v>
      </c>
      <c r="K642" s="257">
        <v>20.128959655761701</v>
      </c>
      <c r="L642" s="257">
        <v>20.445728302001999</v>
      </c>
      <c r="M642" s="257">
        <v>20.757715225219702</v>
      </c>
      <c r="N642" s="257">
        <v>21.231256484985401</v>
      </c>
      <c r="O642" s="257">
        <v>21.404373168945298</v>
      </c>
      <c r="P642" s="257">
        <v>21.571121215820298</v>
      </c>
      <c r="Q642" s="257">
        <v>21.578863143920898</v>
      </c>
      <c r="R642" s="257">
        <v>21.739751815795898</v>
      </c>
      <c r="S642" s="257">
        <v>21.989313125610401</v>
      </c>
      <c r="T642" s="257">
        <v>22.322486877441399</v>
      </c>
      <c r="U642" s="257">
        <v>22.5522785186768</v>
      </c>
      <c r="V642" s="257">
        <v>22.5369548797607</v>
      </c>
      <c r="W642" s="257">
        <v>22.469936370849599</v>
      </c>
      <c r="X642" s="257">
        <v>22.555665969848601</v>
      </c>
      <c r="Y642" s="257">
        <v>22.682601928710898</v>
      </c>
      <c r="Z642" s="289">
        <f>Y642+($AI$472-$Y$642)/10</f>
        <v>22.586698480675594</v>
      </c>
    </row>
    <row r="643" spans="1:26" x14ac:dyDescent="0.25">
      <c r="A643" s="253" t="s">
        <v>440</v>
      </c>
      <c r="B643" s="257" t="s">
        <v>440</v>
      </c>
      <c r="C643" s="257" t="s">
        <v>440</v>
      </c>
      <c r="D643" s="257" t="s">
        <v>440</v>
      </c>
      <c r="E643" s="257" t="s">
        <v>440</v>
      </c>
      <c r="F643" s="257" t="s">
        <v>440</v>
      </c>
      <c r="G643" s="257" t="s">
        <v>440</v>
      </c>
      <c r="H643" s="257" t="s">
        <v>440</v>
      </c>
      <c r="I643" s="257" t="s">
        <v>440</v>
      </c>
      <c r="J643" s="257" t="s">
        <v>440</v>
      </c>
      <c r="K643" s="257" t="s">
        <v>440</v>
      </c>
      <c r="L643" s="257" t="s">
        <v>440</v>
      </c>
      <c r="M643" s="257" t="s">
        <v>440</v>
      </c>
      <c r="N643" s="257" t="s">
        <v>440</v>
      </c>
      <c r="O643" s="257" t="s">
        <v>440</v>
      </c>
      <c r="P643" s="257" t="s">
        <v>440</v>
      </c>
      <c r="Q643" s="257" t="s">
        <v>440</v>
      </c>
      <c r="R643" s="257" t="s">
        <v>440</v>
      </c>
      <c r="S643" s="257" t="s">
        <v>440</v>
      </c>
      <c r="T643" s="257" t="s">
        <v>440</v>
      </c>
      <c r="U643" s="257" t="s">
        <v>440</v>
      </c>
      <c r="V643" s="257" t="s">
        <v>440</v>
      </c>
      <c r="W643" s="257" t="s">
        <v>440</v>
      </c>
      <c r="X643" s="257" t="s">
        <v>440</v>
      </c>
      <c r="Y643" s="257" t="s">
        <v>440</v>
      </c>
    </row>
    <row r="644" spans="1:26" x14ac:dyDescent="0.25">
      <c r="A644" s="253" t="s">
        <v>482</v>
      </c>
      <c r="B644" s="257">
        <v>6.3922061920165998</v>
      </c>
      <c r="C644" s="257">
        <v>7.7839651107788104</v>
      </c>
      <c r="D644" s="257">
        <v>8.7313165664672905</v>
      </c>
      <c r="E644" s="257">
        <v>8.5384979248046893</v>
      </c>
      <c r="F644" s="257">
        <v>8.1135501861572301</v>
      </c>
      <c r="G644" s="257">
        <v>7.8849329948425302</v>
      </c>
      <c r="H644" s="257">
        <v>7.7104330062866202</v>
      </c>
      <c r="I644" s="257">
        <v>7.6478543281555202</v>
      </c>
      <c r="J644" s="257">
        <v>7.5814275741577104</v>
      </c>
      <c r="K644" s="257">
        <v>7.5381202697753897</v>
      </c>
      <c r="L644" s="257">
        <v>7.5780467987060502</v>
      </c>
      <c r="M644" s="257">
        <v>7.6416735649108896</v>
      </c>
      <c r="N644" s="257">
        <v>7.7132387161254901</v>
      </c>
      <c r="O644" s="257">
        <v>7.8013410568237296</v>
      </c>
      <c r="P644" s="257">
        <v>7.8755207061767596</v>
      </c>
      <c r="Q644" s="257">
        <v>7.9062352180481001</v>
      </c>
      <c r="R644" s="257">
        <v>7.9948873519897496</v>
      </c>
      <c r="S644" s="257">
        <v>8.1163215637206996</v>
      </c>
      <c r="T644" s="257">
        <v>8.2487821578979492</v>
      </c>
      <c r="U644" s="257">
        <v>8.4059162139892596</v>
      </c>
      <c r="V644" s="257">
        <v>8.4608268737793004</v>
      </c>
      <c r="W644" s="257">
        <v>8.5343141555786097</v>
      </c>
      <c r="X644" s="257">
        <v>8.6114902496337908</v>
      </c>
      <c r="Y644" s="257">
        <v>8.7719221115112305</v>
      </c>
    </row>
    <row r="645" spans="1:26" x14ac:dyDescent="0.25">
      <c r="A645" s="253" t="s">
        <v>483</v>
      </c>
      <c r="B645" s="257">
        <v>4.9298634529113796</v>
      </c>
      <c r="C645" s="257">
        <v>6.4939708709716797</v>
      </c>
      <c r="D645" s="257">
        <v>7.4592781066894496</v>
      </c>
      <c r="E645" s="257">
        <v>7.2447438240051296</v>
      </c>
      <c r="F645" s="257">
        <v>6.84521436691284</v>
      </c>
      <c r="G645" s="257">
        <v>6.6732459068298304</v>
      </c>
      <c r="H645" s="257">
        <v>6.51676225662231</v>
      </c>
      <c r="I645" s="257">
        <v>6.4484291076660201</v>
      </c>
      <c r="J645" s="257">
        <v>6.3966798782348597</v>
      </c>
      <c r="K645" s="257">
        <v>6.3644347190856898</v>
      </c>
      <c r="L645" s="257">
        <v>6.3782010078430202</v>
      </c>
      <c r="M645" s="257">
        <v>6.3993859291076696</v>
      </c>
      <c r="N645" s="257">
        <v>6.4120607376098597</v>
      </c>
      <c r="O645" s="257">
        <v>6.4825568199157697</v>
      </c>
      <c r="P645" s="257">
        <v>6.5450062751770002</v>
      </c>
      <c r="Q645" s="257">
        <v>6.5706739425659197</v>
      </c>
      <c r="R645" s="257">
        <v>6.6389350891113299</v>
      </c>
      <c r="S645" s="257">
        <v>6.7355680465698198</v>
      </c>
      <c r="T645" s="257">
        <v>6.8303794860839799</v>
      </c>
      <c r="U645" s="257">
        <v>6.9826822280883798</v>
      </c>
      <c r="V645" s="257">
        <v>7.0502834320068404</v>
      </c>
      <c r="W645" s="257">
        <v>7.1402068138122603</v>
      </c>
      <c r="X645" s="257">
        <v>7.2155933380126998</v>
      </c>
      <c r="Y645" s="257">
        <v>7.3827753067016602</v>
      </c>
    </row>
    <row r="646" spans="1:26" x14ac:dyDescent="0.25">
      <c r="A646" s="253" t="s">
        <v>475</v>
      </c>
      <c r="B646" s="257">
        <v>6.5291514396667498</v>
      </c>
      <c r="C646" s="257">
        <v>8.2850980758666992</v>
      </c>
      <c r="D646" s="257">
        <v>9.8001213073730504</v>
      </c>
      <c r="E646" s="257">
        <v>9.3321943283081108</v>
      </c>
      <c r="F646" s="257">
        <v>9.0226831436157209</v>
      </c>
      <c r="G646" s="257">
        <v>9.0089912414550799</v>
      </c>
      <c r="H646" s="257">
        <v>8.9738616943359393</v>
      </c>
      <c r="I646" s="257">
        <v>8.8902368545532209</v>
      </c>
      <c r="J646" s="257">
        <v>8.9552536010742205</v>
      </c>
      <c r="K646" s="257">
        <v>8.9079008102416992</v>
      </c>
      <c r="L646" s="257">
        <v>8.89520359039307</v>
      </c>
      <c r="M646" s="257">
        <v>8.8468990325927699</v>
      </c>
      <c r="N646" s="257">
        <v>8.7482786178588903</v>
      </c>
      <c r="O646" s="257">
        <v>8.7885036468505895</v>
      </c>
      <c r="P646" s="257">
        <v>8.8624305725097692</v>
      </c>
      <c r="Q646" s="257">
        <v>8.9473028182983398</v>
      </c>
      <c r="R646" s="257">
        <v>9.0262336730956996</v>
      </c>
      <c r="S646" s="257">
        <v>9.1055555343627894</v>
      </c>
      <c r="T646" s="257">
        <v>9.0882310867309606</v>
      </c>
      <c r="U646" s="257">
        <v>9.3312444686889595</v>
      </c>
      <c r="V646" s="257">
        <v>9.4788913726806605</v>
      </c>
      <c r="W646" s="257">
        <v>9.6528720855712908</v>
      </c>
      <c r="X646" s="257">
        <v>9.7811794281005895</v>
      </c>
      <c r="Y646" s="257">
        <v>10.0579071044922</v>
      </c>
    </row>
    <row r="647" spans="1:26" x14ac:dyDescent="0.25">
      <c r="A647" s="253" t="s">
        <v>476</v>
      </c>
      <c r="B647" s="257">
        <v>6.3323707580566397</v>
      </c>
      <c r="C647" s="257">
        <v>7.2384452819824201</v>
      </c>
      <c r="D647" s="257">
        <v>7.96527099609375</v>
      </c>
      <c r="E647" s="257">
        <v>7.6527161598205602</v>
      </c>
      <c r="F647" s="257">
        <v>7.9603652954101598</v>
      </c>
      <c r="G647" s="257">
        <v>8.0741472244262695</v>
      </c>
      <c r="H647" s="257">
        <v>8.2605934143066406</v>
      </c>
      <c r="I647" s="257">
        <v>8.3100318908691406</v>
      </c>
      <c r="J647" s="257">
        <v>8.4493141174316406</v>
      </c>
      <c r="K647" s="257">
        <v>8.8189620971679705</v>
      </c>
      <c r="L647" s="257">
        <v>8.8862495422363299</v>
      </c>
      <c r="M647" s="257">
        <v>8.8418188095092791</v>
      </c>
      <c r="N647" s="257">
        <v>8.8337812423706108</v>
      </c>
      <c r="O647" s="257">
        <v>8.6748180389404297</v>
      </c>
      <c r="P647" s="257">
        <v>8.5509977340698207</v>
      </c>
      <c r="Q647" s="257">
        <v>8.4207677841186506</v>
      </c>
      <c r="R647" s="257">
        <v>8.4376201629638707</v>
      </c>
      <c r="S647" s="257">
        <v>8.4841489791870099</v>
      </c>
      <c r="T647" s="257">
        <v>8.5509052276611293</v>
      </c>
      <c r="U647" s="257">
        <v>8.6700105667114293</v>
      </c>
      <c r="V647" s="257">
        <v>8.74859523773193</v>
      </c>
      <c r="W647" s="257">
        <v>8.8432664871215803</v>
      </c>
      <c r="X647" s="257">
        <v>9.0058250427246094</v>
      </c>
      <c r="Y647" s="257">
        <v>9.3929624557495099</v>
      </c>
    </row>
    <row r="648" spans="1:26" x14ac:dyDescent="0.25">
      <c r="A648" s="253" t="s">
        <v>477</v>
      </c>
      <c r="B648" s="257">
        <v>8.4833917617797905</v>
      </c>
      <c r="C648" s="257">
        <v>12.566796302795399</v>
      </c>
      <c r="D648" s="257">
        <v>15.1471004486084</v>
      </c>
      <c r="E648" s="257">
        <v>13.237501144409199</v>
      </c>
      <c r="F648" s="257">
        <v>12.375891685485801</v>
      </c>
      <c r="G648" s="257">
        <v>12.379506111145</v>
      </c>
      <c r="H648" s="257">
        <v>12.2225999832153</v>
      </c>
      <c r="I648" s="257">
        <v>12.080751419067401</v>
      </c>
      <c r="J648" s="257">
        <v>12.212836265564</v>
      </c>
      <c r="K648" s="257">
        <v>12.0270395278931</v>
      </c>
      <c r="L648" s="257">
        <v>11.9549217224121</v>
      </c>
      <c r="M648" s="257">
        <v>11.879666328430201</v>
      </c>
      <c r="N648" s="257">
        <v>11.6303720474243</v>
      </c>
      <c r="O648" s="257">
        <v>11.7905416488647</v>
      </c>
      <c r="P648" s="257">
        <v>11.941043853759799</v>
      </c>
      <c r="Q648" s="257">
        <v>12.1426992416382</v>
      </c>
      <c r="R648" s="257">
        <v>12.289721488952599</v>
      </c>
      <c r="S648" s="257">
        <v>12.378883361816399</v>
      </c>
      <c r="T648" s="257">
        <v>12.2595558166504</v>
      </c>
      <c r="U648" s="257">
        <v>12.590350151061999</v>
      </c>
      <c r="V648" s="257">
        <v>12.7815389633179</v>
      </c>
      <c r="W648" s="257">
        <v>12.973883628845201</v>
      </c>
      <c r="X648" s="257">
        <v>13.0949363708496</v>
      </c>
      <c r="Y648" s="257">
        <v>13.367587089538601</v>
      </c>
    </row>
    <row r="649" spans="1:26" x14ac:dyDescent="0.25">
      <c r="A649" s="253" t="s">
        <v>481</v>
      </c>
      <c r="B649" s="257">
        <v>3.9384419918060298</v>
      </c>
      <c r="C649" s="257">
        <v>4.5867881774902299</v>
      </c>
      <c r="D649" s="257">
        <v>4.6800308227539098</v>
      </c>
      <c r="E649" s="257">
        <v>4.9388952255248997</v>
      </c>
      <c r="F649" s="257">
        <v>5.2859730720520002</v>
      </c>
      <c r="G649" s="257">
        <v>5.2723593711853001</v>
      </c>
      <c r="H649" s="257">
        <v>5.2104086875915501</v>
      </c>
      <c r="I649" s="257">
        <v>5.1732821464538601</v>
      </c>
      <c r="J649" s="257">
        <v>5.1717634201049796</v>
      </c>
      <c r="K649" s="257">
        <v>5.17871141433716</v>
      </c>
      <c r="L649" s="257">
        <v>5.1878075599670401</v>
      </c>
      <c r="M649" s="257">
        <v>5.1966009140014604</v>
      </c>
      <c r="N649" s="257">
        <v>5.2060360908508301</v>
      </c>
      <c r="O649" s="257">
        <v>5.2088470458984402</v>
      </c>
      <c r="P649" s="257">
        <v>5.2896075248718297</v>
      </c>
      <c r="Q649" s="257">
        <v>5.3583388328552202</v>
      </c>
      <c r="R649" s="257">
        <v>5.44156694412231</v>
      </c>
      <c r="S649" s="257">
        <v>5.5192761421203604</v>
      </c>
      <c r="T649" s="257">
        <v>5.5953726768493697</v>
      </c>
      <c r="U649" s="257">
        <v>5.6724872589111301</v>
      </c>
      <c r="V649" s="257">
        <v>5.7441039085388201</v>
      </c>
      <c r="W649" s="257">
        <v>5.8200716972351101</v>
      </c>
      <c r="X649" s="257">
        <v>5.9009070396423304</v>
      </c>
      <c r="Y649" s="257">
        <v>5.9898118972778303</v>
      </c>
    </row>
    <row r="650" spans="1:26" x14ac:dyDescent="0.25">
      <c r="A650" s="278" t="s">
        <v>484</v>
      </c>
      <c r="B650" s="257">
        <v>3.88655662536621</v>
      </c>
      <c r="C650" s="257">
        <v>5.55936574935913</v>
      </c>
      <c r="D650" s="257">
        <v>6.0491261482238796</v>
      </c>
      <c r="E650" s="257">
        <v>6.0771641731262198</v>
      </c>
      <c r="F650" s="257">
        <v>5.4298515319824201</v>
      </c>
      <c r="G650" s="257">
        <v>5.0030980110168501</v>
      </c>
      <c r="H650" s="257">
        <v>4.6280007362365696</v>
      </c>
      <c r="I650" s="257">
        <v>4.5291852951049796</v>
      </c>
      <c r="J650" s="257">
        <v>4.41147708892822</v>
      </c>
      <c r="K650" s="257">
        <v>4.4342226982116699</v>
      </c>
      <c r="L650" s="257">
        <v>4.4864263534545898</v>
      </c>
      <c r="M650" s="257">
        <v>4.5912823677062997</v>
      </c>
      <c r="N650" s="257">
        <v>4.7218933105468803</v>
      </c>
      <c r="O650" s="257">
        <v>4.8130536079406703</v>
      </c>
      <c r="P650" s="257">
        <v>4.8621869087219203</v>
      </c>
      <c r="Q650" s="257">
        <v>4.81842041015625</v>
      </c>
      <c r="R650" s="257">
        <v>4.8841061592102104</v>
      </c>
      <c r="S650" s="257">
        <v>5.0232949256896999</v>
      </c>
      <c r="T650" s="257">
        <v>5.2583932876586896</v>
      </c>
      <c r="U650" s="257">
        <v>5.3567323684692401</v>
      </c>
      <c r="V650" s="257">
        <v>5.3575921058654803</v>
      </c>
      <c r="W650" s="257">
        <v>5.37701320648193</v>
      </c>
      <c r="X650" s="257">
        <v>5.4306664466857901</v>
      </c>
      <c r="Y650" s="257">
        <v>5.5327925682067898</v>
      </c>
      <c r="Z650" s="287">
        <f>Y650+($AI$480-$Y$650)/10</f>
        <v>5.5600694801614594</v>
      </c>
    </row>
    <row r="651" spans="1:26" x14ac:dyDescent="0.25">
      <c r="A651" s="253" t="s">
        <v>485</v>
      </c>
      <c r="B651" s="257">
        <v>1.88388228416443</v>
      </c>
      <c r="C651" s="257">
        <v>1.8499996662139899</v>
      </c>
      <c r="D651" s="257">
        <v>1.9633457660675</v>
      </c>
      <c r="E651" s="257">
        <v>1.8999761343002299</v>
      </c>
      <c r="F651" s="257">
        <v>1.88347840309143</v>
      </c>
      <c r="G651" s="257">
        <v>1.8588999509811399</v>
      </c>
      <c r="H651" s="257">
        <v>1.8578026294708301</v>
      </c>
      <c r="I651" s="257">
        <v>1.85227739810944</v>
      </c>
      <c r="J651" s="257">
        <v>1.8239538669586199</v>
      </c>
      <c r="K651" s="257">
        <v>1.79700314998627</v>
      </c>
      <c r="L651" s="257">
        <v>1.78184306621552</v>
      </c>
      <c r="M651" s="257">
        <v>1.7756989002227801</v>
      </c>
      <c r="N651" s="257">
        <v>1.77074086666107</v>
      </c>
      <c r="O651" s="257">
        <v>1.7668309211730999</v>
      </c>
      <c r="P651" s="257">
        <v>1.7627635002136199</v>
      </c>
      <c r="Q651" s="257">
        <v>1.7565006017684901</v>
      </c>
      <c r="R651" s="257">
        <v>1.75614774227142</v>
      </c>
      <c r="S651" s="257">
        <v>1.7571268081664999</v>
      </c>
      <c r="T651" s="257">
        <v>1.75483202934265</v>
      </c>
      <c r="U651" s="257">
        <v>1.7449706792831401</v>
      </c>
      <c r="V651" s="257">
        <v>1.72660219669342</v>
      </c>
      <c r="W651" s="257">
        <v>1.70969367027283</v>
      </c>
      <c r="X651" s="257">
        <v>1.70006084442139</v>
      </c>
      <c r="Y651" s="257">
        <v>1.6866580247878999</v>
      </c>
    </row>
    <row r="652" spans="1:26" x14ac:dyDescent="0.25">
      <c r="A652" s="253" t="s">
        <v>486</v>
      </c>
      <c r="B652" s="257">
        <v>1.5976041555404701</v>
      </c>
      <c r="C652" s="257">
        <v>1.5543407201767001</v>
      </c>
      <c r="D652" s="257">
        <v>1.5670678615570099</v>
      </c>
      <c r="E652" s="257">
        <v>1.6038056612014799</v>
      </c>
      <c r="F652" s="257">
        <v>1.6009258031845099</v>
      </c>
      <c r="G652" s="257">
        <v>1.58739173412323</v>
      </c>
      <c r="H652" s="257">
        <v>1.58863317966461</v>
      </c>
      <c r="I652" s="257">
        <v>1.5846539735794101</v>
      </c>
      <c r="J652" s="257">
        <v>1.5799860954284699</v>
      </c>
      <c r="K652" s="257">
        <v>1.5764416456222501</v>
      </c>
      <c r="L652" s="257">
        <v>1.5679914951324501</v>
      </c>
      <c r="M652" s="257">
        <v>1.5610833168029801</v>
      </c>
      <c r="N652" s="257">
        <v>1.5600349903106701</v>
      </c>
      <c r="O652" s="257">
        <v>1.56054711341858</v>
      </c>
      <c r="P652" s="257">
        <v>1.56748187541962</v>
      </c>
      <c r="Q652" s="257">
        <v>1.5675091743469201</v>
      </c>
      <c r="R652" s="257">
        <v>1.5641727447509799</v>
      </c>
      <c r="S652" s="257">
        <v>1.5615659952163701</v>
      </c>
      <c r="T652" s="257">
        <v>1.58828938007355</v>
      </c>
      <c r="U652" s="257">
        <v>1.58737933635712</v>
      </c>
      <c r="V652" s="257">
        <v>1.59387278556824</v>
      </c>
      <c r="W652" s="257">
        <v>1.5848928689956701</v>
      </c>
      <c r="X652" s="257">
        <v>1.5860744714736901</v>
      </c>
      <c r="Y652" s="257">
        <v>1.5880702733993499</v>
      </c>
    </row>
    <row r="653" spans="1:26" x14ac:dyDescent="0.25">
      <c r="A653" s="280" t="s">
        <v>479</v>
      </c>
      <c r="B653" s="257">
        <v>14.734835624694799</v>
      </c>
      <c r="C653" s="257">
        <v>15.0261535644531</v>
      </c>
      <c r="D653" s="257">
        <v>15.722662925720201</v>
      </c>
      <c r="E653" s="257">
        <v>15.5983018875122</v>
      </c>
      <c r="F653" s="257">
        <v>15.078427314758301</v>
      </c>
      <c r="G653" s="257">
        <v>14.4692840576172</v>
      </c>
      <c r="H653" s="257">
        <v>14.1632738113403</v>
      </c>
      <c r="I653" s="257">
        <v>14.081834793090801</v>
      </c>
      <c r="J653" s="257">
        <v>13.919806480407701</v>
      </c>
      <c r="K653" s="257">
        <v>13.785112380981399</v>
      </c>
      <c r="L653" s="257">
        <v>13.931169509887701</v>
      </c>
      <c r="M653" s="257">
        <v>14.1889085769653</v>
      </c>
      <c r="N653" s="257">
        <v>14.5255270004272</v>
      </c>
      <c r="O653" s="257">
        <v>14.681715965271</v>
      </c>
      <c r="P653" s="257">
        <v>14.814373970031699</v>
      </c>
      <c r="Q653" s="257">
        <v>14.8553409576416</v>
      </c>
      <c r="R653" s="257">
        <v>15.0255784988403</v>
      </c>
      <c r="S653" s="257">
        <v>15.2628774642944</v>
      </c>
      <c r="T653" s="257">
        <v>15.5799751281738</v>
      </c>
      <c r="U653" s="257">
        <v>15.7510900497437</v>
      </c>
      <c r="V653" s="257">
        <v>15.7371273040771</v>
      </c>
      <c r="W653" s="257">
        <v>15.705772399902299</v>
      </c>
      <c r="X653" s="257">
        <v>15.779216766357401</v>
      </c>
      <c r="Y653" s="257">
        <v>15.8933115005493</v>
      </c>
      <c r="Z653" s="289">
        <f>Y653+($AI$483-$Y$653)/10</f>
        <v>15.820176294068443</v>
      </c>
    </row>
    <row r="654" spans="1:26" x14ac:dyDescent="0.25">
      <c r="A654" s="253" t="s">
        <v>440</v>
      </c>
      <c r="B654" s="257" t="s">
        <v>440</v>
      </c>
      <c r="C654" s="257" t="s">
        <v>440</v>
      </c>
      <c r="D654" s="257" t="s">
        <v>440</v>
      </c>
      <c r="E654" s="257" t="s">
        <v>440</v>
      </c>
      <c r="F654" s="257" t="s">
        <v>440</v>
      </c>
      <c r="G654" s="257" t="s">
        <v>440</v>
      </c>
      <c r="H654" s="257" t="s">
        <v>440</v>
      </c>
      <c r="I654" s="257" t="s">
        <v>440</v>
      </c>
      <c r="J654" s="257" t="s">
        <v>440</v>
      </c>
      <c r="K654" s="257" t="s">
        <v>440</v>
      </c>
      <c r="L654" s="257" t="s">
        <v>440</v>
      </c>
      <c r="M654" s="257" t="s">
        <v>440</v>
      </c>
      <c r="N654" s="257" t="s">
        <v>440</v>
      </c>
      <c r="O654" s="257" t="s">
        <v>440</v>
      </c>
      <c r="P654" s="257" t="s">
        <v>440</v>
      </c>
      <c r="Q654" s="257" t="s">
        <v>440</v>
      </c>
      <c r="R654" s="257" t="s">
        <v>440</v>
      </c>
      <c r="S654" s="257" t="s">
        <v>440</v>
      </c>
      <c r="T654" s="257" t="s">
        <v>440</v>
      </c>
      <c r="U654" s="257" t="s">
        <v>440</v>
      </c>
      <c r="V654" s="257" t="s">
        <v>440</v>
      </c>
      <c r="W654" s="257" t="s">
        <v>440</v>
      </c>
      <c r="X654" s="257" t="s">
        <v>440</v>
      </c>
      <c r="Y654" s="257" t="s">
        <v>440</v>
      </c>
    </row>
    <row r="655" spans="1:26" x14ac:dyDescent="0.25">
      <c r="A655" s="253" t="s">
        <v>487</v>
      </c>
      <c r="B655" s="257">
        <v>10.068477630615201</v>
      </c>
      <c r="C655" s="257">
        <v>11.4567165374756</v>
      </c>
      <c r="D655" s="257">
        <v>12.984992980956999</v>
      </c>
      <c r="E655" s="257">
        <v>12.648449897766101</v>
      </c>
      <c r="F655" s="257">
        <v>12.9899549484253</v>
      </c>
      <c r="G655" s="257">
        <v>12.831539154052701</v>
      </c>
      <c r="H655" s="257">
        <v>12.772025108337401</v>
      </c>
      <c r="I655" s="257">
        <v>12.778377532959</v>
      </c>
      <c r="J655" s="257">
        <v>12.6527404785156</v>
      </c>
      <c r="K655" s="257">
        <v>12.633409500122101</v>
      </c>
      <c r="L655" s="257">
        <v>12.627567291259799</v>
      </c>
      <c r="M655" s="257">
        <v>12.5634212493896</v>
      </c>
      <c r="N655" s="257">
        <v>12.5677394866943</v>
      </c>
      <c r="O655" s="257">
        <v>12.4416351318359</v>
      </c>
      <c r="P655" s="257">
        <v>12.463407516479499</v>
      </c>
      <c r="Q655" s="257">
        <v>12.3592376708984</v>
      </c>
      <c r="R655" s="257">
        <v>12.3700494766235</v>
      </c>
      <c r="S655" s="257">
        <v>12.4214639663696</v>
      </c>
      <c r="T655" s="257">
        <v>12.406385421752899</v>
      </c>
      <c r="U655" s="257">
        <v>12.599157333374</v>
      </c>
      <c r="V655" s="257">
        <v>12.7199811935425</v>
      </c>
      <c r="W655" s="257">
        <v>12.8404388427734</v>
      </c>
      <c r="X655" s="257">
        <v>12.9761352539063</v>
      </c>
      <c r="Y655" s="257">
        <v>13.180356025695801</v>
      </c>
    </row>
    <row r="656" spans="1:26" x14ac:dyDescent="0.25">
      <c r="A656" s="253" t="s">
        <v>483</v>
      </c>
      <c r="B656" s="257">
        <v>10.0396184921265</v>
      </c>
      <c r="C656" s="257">
        <v>11.4297380447388</v>
      </c>
      <c r="D656" s="257">
        <v>12.961000442504901</v>
      </c>
      <c r="E656" s="257">
        <v>12.6243276596069</v>
      </c>
      <c r="F656" s="257">
        <v>12.9694175720215</v>
      </c>
      <c r="G656" s="257">
        <v>12.812975883483899</v>
      </c>
      <c r="H656" s="257">
        <v>12.7542219161987</v>
      </c>
      <c r="I656" s="257">
        <v>12.7604532241821</v>
      </c>
      <c r="J656" s="257">
        <v>12.634376525878899</v>
      </c>
      <c r="K656" s="257">
        <v>12.614933013916</v>
      </c>
      <c r="L656" s="257">
        <v>12.6084880828857</v>
      </c>
      <c r="M656" s="257">
        <v>12.543541908264199</v>
      </c>
      <c r="N656" s="257">
        <v>12.546923637390099</v>
      </c>
      <c r="O656" s="257">
        <v>12.4202537536621</v>
      </c>
      <c r="P656" s="257">
        <v>12.441800117492701</v>
      </c>
      <c r="Q656" s="257">
        <v>12.3374538421631</v>
      </c>
      <c r="R656" s="257">
        <v>12.3479681015015</v>
      </c>
      <c r="S656" s="257">
        <v>12.3989114761353</v>
      </c>
      <c r="T656" s="257">
        <v>12.3829250335693</v>
      </c>
      <c r="U656" s="257">
        <v>12.575768470764199</v>
      </c>
      <c r="V656" s="257">
        <v>12.6970834732056</v>
      </c>
      <c r="W656" s="257">
        <v>12.8181715011597</v>
      </c>
      <c r="X656" s="257">
        <v>12.9540061950684</v>
      </c>
      <c r="Y656" s="257">
        <v>13.1585645675659</v>
      </c>
    </row>
    <row r="657" spans="1:26" x14ac:dyDescent="0.25">
      <c r="A657" s="253" t="s">
        <v>475</v>
      </c>
      <c r="B657" s="257">
        <v>10.0409812927246</v>
      </c>
      <c r="C657" s="257">
        <v>11.431476593017599</v>
      </c>
      <c r="D657" s="257">
        <v>12.9638833999634</v>
      </c>
      <c r="E657" s="257">
        <v>12.6272735595703</v>
      </c>
      <c r="F657" s="257">
        <v>12.9738121032715</v>
      </c>
      <c r="G657" s="257">
        <v>12.8180704116821</v>
      </c>
      <c r="H657" s="257">
        <v>12.7602338790894</v>
      </c>
      <c r="I657" s="257">
        <v>12.7672443389893</v>
      </c>
      <c r="J657" s="257">
        <v>12.6416578292847</v>
      </c>
      <c r="K657" s="257">
        <v>12.622591972351101</v>
      </c>
      <c r="L657" s="257">
        <v>12.616462707519499</v>
      </c>
      <c r="M657" s="257">
        <v>12.551496505737299</v>
      </c>
      <c r="N657" s="257">
        <v>12.554883956909199</v>
      </c>
      <c r="O657" s="257">
        <v>12.4279336929321</v>
      </c>
      <c r="P657" s="257">
        <v>12.4496717453003</v>
      </c>
      <c r="Q657" s="257">
        <v>12.3454332351685</v>
      </c>
      <c r="R657" s="257">
        <v>12.356036186218301</v>
      </c>
      <c r="S657" s="257">
        <v>12.4068956375122</v>
      </c>
      <c r="T657" s="257">
        <v>12.3903903961182</v>
      </c>
      <c r="U657" s="257">
        <v>12.5835561752319</v>
      </c>
      <c r="V657" s="257">
        <v>12.7052898406982</v>
      </c>
      <c r="W657" s="257">
        <v>12.826750755310099</v>
      </c>
      <c r="X657" s="257">
        <v>12.9629173278809</v>
      </c>
      <c r="Y657" s="257">
        <v>13.167941093444799</v>
      </c>
    </row>
    <row r="658" spans="1:26" x14ac:dyDescent="0.25">
      <c r="A658" s="284" t="s">
        <v>488</v>
      </c>
      <c r="B658" s="257">
        <v>9.5535230636596697</v>
      </c>
      <c r="C658" s="257">
        <v>10.9202365875244</v>
      </c>
      <c r="D658" s="257">
        <v>12.0208587646484</v>
      </c>
      <c r="E658" s="257">
        <v>11.5461339950562</v>
      </c>
      <c r="F658" s="257">
        <v>12.0997161865234</v>
      </c>
      <c r="G658" s="257">
        <v>12.488727569580099</v>
      </c>
      <c r="H658" s="257">
        <v>12.3829002380371</v>
      </c>
      <c r="I658" s="257">
        <v>12.4196271896362</v>
      </c>
      <c r="J658" s="257">
        <v>12.508094787597701</v>
      </c>
      <c r="K658" s="257">
        <v>12.555921554565399</v>
      </c>
      <c r="L658" s="257">
        <v>12.5986595153809</v>
      </c>
      <c r="M658" s="257">
        <v>12.507498741149901</v>
      </c>
      <c r="N658" s="257">
        <v>12.460197448730501</v>
      </c>
      <c r="O658" s="257">
        <v>12.2335548400879</v>
      </c>
      <c r="P658" s="257">
        <v>12.028847694396999</v>
      </c>
      <c r="Q658" s="257">
        <v>11.832740783691399</v>
      </c>
      <c r="R658" s="257">
        <v>11.7916069030762</v>
      </c>
      <c r="S658" s="257">
        <v>11.803469657897899</v>
      </c>
      <c r="T658" s="257">
        <v>11.8377895355225</v>
      </c>
      <c r="U658" s="257">
        <v>11.9129686355591</v>
      </c>
      <c r="V658" s="257">
        <v>11.9319505691528</v>
      </c>
      <c r="W658" s="257">
        <v>11.983411788940399</v>
      </c>
      <c r="X658" s="257">
        <v>12.11021900177</v>
      </c>
      <c r="Y658" s="257">
        <v>12.4955101013184</v>
      </c>
      <c r="Z658" s="291">
        <f>Y658+($AI$488-$Y$658)/10</f>
        <v>12.860153747735882</v>
      </c>
    </row>
    <row r="659" spans="1:26" x14ac:dyDescent="0.25">
      <c r="A659" s="253" t="s">
        <v>489</v>
      </c>
      <c r="B659" s="257">
        <v>6.0538434982299796</v>
      </c>
      <c r="C659" s="257">
        <v>6.4578518867492702</v>
      </c>
      <c r="D659" s="257">
        <v>8.1168746948242205</v>
      </c>
      <c r="E659" s="257">
        <v>7.6875567436218297</v>
      </c>
      <c r="F659" s="257">
        <v>7.8739576339721697</v>
      </c>
      <c r="G659" s="257">
        <v>7.8265089988708496</v>
      </c>
      <c r="H659" s="257">
        <v>7.9840884208679199</v>
      </c>
      <c r="I659" s="257">
        <v>8.0166091918945295</v>
      </c>
      <c r="J659" s="257">
        <v>7.8608303070068404</v>
      </c>
      <c r="K659" s="257">
        <v>7.81276655197144</v>
      </c>
      <c r="L659" s="257">
        <v>7.8045797348022496</v>
      </c>
      <c r="M659" s="257">
        <v>7.7928524017334002</v>
      </c>
      <c r="N659" s="257">
        <v>7.7725591659545898</v>
      </c>
      <c r="O659" s="257">
        <v>7.7157216072082502</v>
      </c>
      <c r="P659" s="257">
        <v>7.7164225578308097</v>
      </c>
      <c r="Q659" s="257">
        <v>7.6991229057312003</v>
      </c>
      <c r="R659" s="257">
        <v>7.7546834945678702</v>
      </c>
      <c r="S659" s="257">
        <v>7.8412432670593297</v>
      </c>
      <c r="T659" s="257">
        <v>7.8916783332824698</v>
      </c>
      <c r="U659" s="257">
        <v>8.0530261993408203</v>
      </c>
      <c r="V659" s="257">
        <v>8.1459932327270508</v>
      </c>
      <c r="W659" s="257">
        <v>8.2922735214233398</v>
      </c>
      <c r="X659" s="257">
        <v>8.4199304580688494</v>
      </c>
      <c r="Y659" s="257">
        <v>8.7479171752929705</v>
      </c>
    </row>
    <row r="660" spans="1:26" x14ac:dyDescent="0.25">
      <c r="A660" s="284" t="s">
        <v>490</v>
      </c>
      <c r="B660" s="257">
        <v>11.3207235336304</v>
      </c>
      <c r="C660" s="257">
        <v>12.9284992218018</v>
      </c>
      <c r="D660" s="257">
        <v>14.6530704498291</v>
      </c>
      <c r="E660" s="257">
        <v>14.346966743469199</v>
      </c>
      <c r="F660" s="257">
        <v>14.7094535827637</v>
      </c>
      <c r="G660" s="257">
        <v>14.3600215911865</v>
      </c>
      <c r="H660" s="257">
        <v>14.2510118484497</v>
      </c>
      <c r="I660" s="257">
        <v>14.250683784484901</v>
      </c>
      <c r="J660" s="257">
        <v>14.0786781311035</v>
      </c>
      <c r="K660" s="257">
        <v>14.0637760162354</v>
      </c>
      <c r="L660" s="257">
        <v>14.0259552001953</v>
      </c>
      <c r="M660" s="257">
        <v>13.906542778015099</v>
      </c>
      <c r="N660" s="257">
        <v>13.9343166351318</v>
      </c>
      <c r="O660" s="257">
        <v>13.819755554199199</v>
      </c>
      <c r="P660" s="257">
        <v>13.920813560485801</v>
      </c>
      <c r="Q660" s="257">
        <v>13.821713447570801</v>
      </c>
      <c r="R660" s="257">
        <v>13.8340721130371</v>
      </c>
      <c r="S660" s="257">
        <v>13.8936500549316</v>
      </c>
      <c r="T660" s="257">
        <v>13.8356838226318</v>
      </c>
      <c r="U660" s="257">
        <v>14.0806474685669</v>
      </c>
      <c r="V660" s="257">
        <v>14.2383365631104</v>
      </c>
      <c r="W660" s="257">
        <v>14.3749399185181</v>
      </c>
      <c r="X660" s="257">
        <v>14.5092010498047</v>
      </c>
      <c r="Y660" s="257">
        <v>14.605681419372599</v>
      </c>
      <c r="Z660" s="291">
        <f>Y660+($AI$490-$Y$660)/10</f>
        <v>15.03173973157025</v>
      </c>
    </row>
    <row r="661" spans="1:26" x14ac:dyDescent="0.25">
      <c r="A661" s="253" t="s">
        <v>481</v>
      </c>
      <c r="B661" s="257">
        <v>3.83150410652161</v>
      </c>
      <c r="C661" s="257">
        <v>4.4939312934875497</v>
      </c>
      <c r="D661" s="257">
        <v>4.5839381217956499</v>
      </c>
      <c r="E661" s="257">
        <v>4.8374896049499503</v>
      </c>
      <c r="F661" s="257">
        <v>5.1729192733764604</v>
      </c>
      <c r="G661" s="257">
        <v>5.1682701110839799</v>
      </c>
      <c r="H661" s="257">
        <v>5.1688323020935103</v>
      </c>
      <c r="I661" s="257">
        <v>5.1695828437805202</v>
      </c>
      <c r="J661" s="257">
        <v>5.16760349273682</v>
      </c>
      <c r="K661" s="257">
        <v>5.1733479499816903</v>
      </c>
      <c r="L661" s="257">
        <v>5.1798586845397896</v>
      </c>
      <c r="M661" s="257">
        <v>5.1877336502075204</v>
      </c>
      <c r="N661" s="257">
        <v>5.1953010559081996</v>
      </c>
      <c r="O661" s="257">
        <v>5.2001247406005904</v>
      </c>
      <c r="P661" s="257">
        <v>5.2810626029968297</v>
      </c>
      <c r="Q661" s="257">
        <v>5.3552770614623997</v>
      </c>
      <c r="R661" s="257">
        <v>5.4362750053405797</v>
      </c>
      <c r="S661" s="257">
        <v>5.5152239799499503</v>
      </c>
      <c r="T661" s="257">
        <v>5.5921721458435103</v>
      </c>
      <c r="U661" s="257">
        <v>5.6705627441406303</v>
      </c>
      <c r="V661" s="257">
        <v>5.7475032806396502</v>
      </c>
      <c r="W661" s="257">
        <v>5.8269476890564</v>
      </c>
      <c r="X661" s="257">
        <v>5.9046044349670401</v>
      </c>
      <c r="Y661" s="257">
        <v>5.9824995994567898</v>
      </c>
    </row>
    <row r="662" spans="1:26" x14ac:dyDescent="0.25">
      <c r="A662" s="253" t="s">
        <v>491</v>
      </c>
      <c r="B662" s="257">
        <v>15.146578788757299</v>
      </c>
      <c r="C662" s="257">
        <v>16.654964447021499</v>
      </c>
      <c r="D662" s="257">
        <v>20.603065490722699</v>
      </c>
      <c r="E662" s="257">
        <v>20.419296264648398</v>
      </c>
      <c r="F662" s="257">
        <v>17.4092102050781</v>
      </c>
      <c r="G662" s="257">
        <v>17.409763336181602</v>
      </c>
      <c r="H662" s="257">
        <v>17.1964435577393</v>
      </c>
      <c r="I662" s="257">
        <v>17.156021118164102</v>
      </c>
      <c r="J662" s="257">
        <v>17.248268127441399</v>
      </c>
      <c r="K662" s="257">
        <v>17.105394363403299</v>
      </c>
      <c r="L662" s="257">
        <v>17.085474014282202</v>
      </c>
      <c r="M662" s="257">
        <v>16.997465133666999</v>
      </c>
      <c r="N662" s="257">
        <v>16.7497043609619</v>
      </c>
      <c r="O662" s="257">
        <v>16.830522537231399</v>
      </c>
      <c r="P662" s="257">
        <v>16.954969406127901</v>
      </c>
      <c r="Q662" s="257">
        <v>17.1650085449219</v>
      </c>
      <c r="R662" s="257">
        <v>17.2562961578369</v>
      </c>
      <c r="S662" s="257">
        <v>17.321376800537099</v>
      </c>
      <c r="T662" s="257">
        <v>17.262313842773398</v>
      </c>
      <c r="U662" s="257">
        <v>17.454835891723601</v>
      </c>
      <c r="V662" s="257">
        <v>17.584600448608398</v>
      </c>
      <c r="W662" s="257">
        <v>17.847267150878899</v>
      </c>
      <c r="X662" s="257">
        <v>17.9585571289063</v>
      </c>
      <c r="Y662" s="257">
        <v>18.1527404785156</v>
      </c>
    </row>
    <row r="663" spans="1:26" x14ac:dyDescent="0.25">
      <c r="A663" s="253" t="s">
        <v>492</v>
      </c>
      <c r="B663" s="257">
        <v>7.2317700386047399</v>
      </c>
      <c r="C663" s="257">
        <v>9.0444478988647496</v>
      </c>
      <c r="D663" s="257">
        <v>9.7142210006713903</v>
      </c>
      <c r="E663" s="257">
        <v>9.7955017089843803</v>
      </c>
      <c r="F663" s="257">
        <v>9.2987012863159197</v>
      </c>
      <c r="G663" s="257">
        <v>9.0087041854858398</v>
      </c>
      <c r="H663" s="257">
        <v>8.73461818695068</v>
      </c>
      <c r="I663" s="257">
        <v>8.6602125167846697</v>
      </c>
      <c r="J663" s="257">
        <v>8.6087532043456996</v>
      </c>
      <c r="K663" s="257">
        <v>8.6854057312011701</v>
      </c>
      <c r="L663" s="257">
        <v>8.7734069824218803</v>
      </c>
      <c r="M663" s="257">
        <v>8.9131555557250994</v>
      </c>
      <c r="N663" s="257">
        <v>9.0697097778320295</v>
      </c>
      <c r="O663" s="257">
        <v>9.1761322021484393</v>
      </c>
      <c r="P663" s="257">
        <v>9.2086582183837908</v>
      </c>
      <c r="Q663" s="257">
        <v>9.1414461135864293</v>
      </c>
      <c r="R663" s="257">
        <v>9.1881532669067401</v>
      </c>
      <c r="S663" s="257">
        <v>9.3183298110961896</v>
      </c>
      <c r="T663" s="257">
        <v>9.5262966156005895</v>
      </c>
      <c r="U663" s="257">
        <v>9.6340904235839808</v>
      </c>
      <c r="V663" s="257">
        <v>9.6386470794677699</v>
      </c>
      <c r="W663" s="257">
        <v>9.6553201675415004</v>
      </c>
      <c r="X663" s="257">
        <v>9.7052288055419904</v>
      </c>
      <c r="Y663" s="257">
        <v>9.7829256057739293</v>
      </c>
    </row>
    <row r="664" spans="1:26" x14ac:dyDescent="0.25">
      <c r="A664" s="286" t="s">
        <v>497</v>
      </c>
      <c r="B664" s="257">
        <v>14.6543264389038</v>
      </c>
      <c r="C664" s="257">
        <v>16.232709884643601</v>
      </c>
      <c r="D664" s="257">
        <v>19.6646022796631</v>
      </c>
      <c r="E664" s="257">
        <v>19.716905593872099</v>
      </c>
      <c r="F664" s="257">
        <v>20.910398483276399</v>
      </c>
      <c r="G664" s="257">
        <v>20.088336944580099</v>
      </c>
      <c r="H664" s="257">
        <v>20.034643173217798</v>
      </c>
      <c r="I664" s="257">
        <v>19.876234054565401</v>
      </c>
      <c r="J664" s="257">
        <v>19.0899848937988</v>
      </c>
      <c r="K664" s="257">
        <v>19.0770473480225</v>
      </c>
      <c r="L664" s="257">
        <v>18.9334907531738</v>
      </c>
      <c r="M664" s="257">
        <v>18.8203315734863</v>
      </c>
      <c r="N664" s="257">
        <v>18.8769016265869</v>
      </c>
      <c r="O664" s="257">
        <v>18.733657836914102</v>
      </c>
      <c r="P664" s="257">
        <v>18.836368560791001</v>
      </c>
      <c r="Q664" s="257">
        <v>18.717578887939499</v>
      </c>
      <c r="R664" s="257">
        <v>18.677961349487301</v>
      </c>
      <c r="S664" s="257">
        <v>18.768825531005898</v>
      </c>
      <c r="T664" s="257">
        <v>18.702945709228501</v>
      </c>
      <c r="U664" s="257">
        <v>19.039726257324201</v>
      </c>
      <c r="V664" s="257">
        <v>19.213029861450199</v>
      </c>
      <c r="W664" s="257">
        <v>19.429216384887699</v>
      </c>
      <c r="X664" s="257">
        <v>19.537574768066399</v>
      </c>
      <c r="Y664" s="257">
        <v>19.6945476531982</v>
      </c>
      <c r="Z664" s="293">
        <f>Y664+($AI$494-$Y$664)/10</f>
        <v>19.593947309306923</v>
      </c>
    </row>
    <row r="665" spans="1:26" x14ac:dyDescent="0.25">
      <c r="A665" s="253" t="s">
        <v>479</v>
      </c>
      <c r="B665" s="257">
        <v>20.034517288208001</v>
      </c>
      <c r="C665" s="257">
        <v>20.636144638061499</v>
      </c>
      <c r="D665" s="257">
        <v>21.2071418762207</v>
      </c>
      <c r="E665" s="257">
        <v>20.9249382019043</v>
      </c>
      <c r="F665" s="257">
        <v>20.016746520996101</v>
      </c>
      <c r="G665" s="257">
        <v>19.1842136383057</v>
      </c>
      <c r="H665" s="257">
        <v>18.876358032226602</v>
      </c>
      <c r="I665" s="257">
        <v>18.930015563964801</v>
      </c>
      <c r="J665" s="257">
        <v>18.9569396972656</v>
      </c>
      <c r="K665" s="257">
        <v>18.971715927123999</v>
      </c>
      <c r="L665" s="257">
        <v>19.161241531372099</v>
      </c>
      <c r="M665" s="257">
        <v>19.352525711059599</v>
      </c>
      <c r="N665" s="257">
        <v>19.6624240875244</v>
      </c>
      <c r="O665" s="257">
        <v>19.699916839599599</v>
      </c>
      <c r="P665" s="257">
        <v>19.754545211791999</v>
      </c>
      <c r="Q665" s="257">
        <v>19.6803493499756</v>
      </c>
      <c r="R665" s="257">
        <v>19.749149322509801</v>
      </c>
      <c r="S665" s="257">
        <v>19.913064956665</v>
      </c>
      <c r="T665" s="257">
        <v>20.148523330688501</v>
      </c>
      <c r="U665" s="257">
        <v>20.261070251464801</v>
      </c>
      <c r="V665" s="257">
        <v>20.168498992919901</v>
      </c>
      <c r="W665" s="257">
        <v>20.043989181518601</v>
      </c>
      <c r="X665" s="257">
        <v>20.096965789794901</v>
      </c>
      <c r="Y665" s="257">
        <v>20.154518127441399</v>
      </c>
    </row>
    <row r="666" spans="1:26" x14ac:dyDescent="0.25">
      <c r="A666" s="253" t="s">
        <v>440</v>
      </c>
      <c r="B666" s="257" t="s">
        <v>440</v>
      </c>
      <c r="C666" s="257" t="s">
        <v>440</v>
      </c>
      <c r="D666" s="257" t="s">
        <v>440</v>
      </c>
      <c r="E666" s="257" t="s">
        <v>440</v>
      </c>
      <c r="F666" s="257" t="s">
        <v>440</v>
      </c>
      <c r="G666" s="257" t="s">
        <v>440</v>
      </c>
      <c r="H666" s="257" t="s">
        <v>440</v>
      </c>
      <c r="I666" s="257" t="s">
        <v>440</v>
      </c>
      <c r="J666" s="257" t="s">
        <v>440</v>
      </c>
      <c r="K666" s="257" t="s">
        <v>440</v>
      </c>
      <c r="L666" s="257" t="s">
        <v>440</v>
      </c>
      <c r="M666" s="257" t="s">
        <v>440</v>
      </c>
      <c r="N666" s="257" t="s">
        <v>440</v>
      </c>
      <c r="O666" s="257" t="s">
        <v>440</v>
      </c>
      <c r="P666" s="257" t="s">
        <v>440</v>
      </c>
      <c r="Q666" s="257" t="s">
        <v>440</v>
      </c>
      <c r="R666" s="257" t="s">
        <v>440</v>
      </c>
      <c r="S666" s="257" t="s">
        <v>440</v>
      </c>
      <c r="T666" s="257" t="s">
        <v>440</v>
      </c>
      <c r="U666" s="257" t="s">
        <v>440</v>
      </c>
      <c r="V666" s="257" t="s">
        <v>440</v>
      </c>
      <c r="W666" s="257" t="s">
        <v>440</v>
      </c>
      <c r="X666" s="257" t="s">
        <v>440</v>
      </c>
      <c r="Y666" s="257" t="s">
        <v>440</v>
      </c>
    </row>
    <row r="667" spans="1:26" x14ac:dyDescent="0.25">
      <c r="A667" s="253" t="s">
        <v>498</v>
      </c>
      <c r="B667" s="257">
        <v>10.2607097625732</v>
      </c>
      <c r="C667" s="257">
        <v>11.4965677261353</v>
      </c>
      <c r="D667" s="257">
        <v>12.4990587234497</v>
      </c>
      <c r="E667" s="257">
        <v>12.3170623779297</v>
      </c>
      <c r="F667" s="257">
        <v>12.135007858276399</v>
      </c>
      <c r="G667" s="257">
        <v>11.845267295837401</v>
      </c>
      <c r="H667" s="257">
        <v>11.6573295593262</v>
      </c>
      <c r="I667" s="257">
        <v>11.6295518875122</v>
      </c>
      <c r="J667" s="257">
        <v>11.5503234863281</v>
      </c>
      <c r="K667" s="257">
        <v>11.540096282959</v>
      </c>
      <c r="L667" s="257">
        <v>11.6076335906982</v>
      </c>
      <c r="M667" s="257">
        <v>11.667243003845201</v>
      </c>
      <c r="N667" s="257">
        <v>11.774538040161101</v>
      </c>
      <c r="O667" s="257">
        <v>11.796236991882299</v>
      </c>
      <c r="P667" s="257">
        <v>11.871965408325201</v>
      </c>
      <c r="Q667" s="257">
        <v>11.843188285827599</v>
      </c>
      <c r="R667" s="257">
        <v>11.9137773513794</v>
      </c>
      <c r="S667" s="257">
        <v>12.034348487854</v>
      </c>
      <c r="T667" s="257">
        <v>12.153738975524901</v>
      </c>
      <c r="U667" s="257">
        <v>12.3460960388184</v>
      </c>
      <c r="V667" s="257">
        <v>12.4321403503418</v>
      </c>
      <c r="W667" s="257">
        <v>12.5191946029663</v>
      </c>
      <c r="X667" s="257">
        <v>12.636996269226101</v>
      </c>
      <c r="Y667" s="257">
        <v>12.8200740814209</v>
      </c>
    </row>
    <row r="668" spans="1:26" x14ac:dyDescent="0.25">
      <c r="A668" s="253" t="s">
        <v>483</v>
      </c>
      <c r="B668" s="257">
        <v>7.8488264083862296</v>
      </c>
      <c r="C668" s="257">
        <v>9.3171482086181605</v>
      </c>
      <c r="D668" s="257">
        <v>10.527009010314901</v>
      </c>
      <c r="E668" s="257">
        <v>10.2968044281006</v>
      </c>
      <c r="F668" s="257">
        <v>10.2268390655518</v>
      </c>
      <c r="G668" s="257">
        <v>10.0435380935669</v>
      </c>
      <c r="H668" s="257">
        <v>9.9028997421264595</v>
      </c>
      <c r="I668" s="257">
        <v>9.8629217147827095</v>
      </c>
      <c r="J668" s="257">
        <v>9.7728738784790004</v>
      </c>
      <c r="K668" s="257">
        <v>9.75823974609375</v>
      </c>
      <c r="L668" s="257">
        <v>9.7822933197021502</v>
      </c>
      <c r="M668" s="257">
        <v>9.7888011932372994</v>
      </c>
      <c r="N668" s="257">
        <v>9.8279809951782209</v>
      </c>
      <c r="O668" s="257">
        <v>9.8149814605712908</v>
      </c>
      <c r="P668" s="257">
        <v>9.8643417358398402</v>
      </c>
      <c r="Q668" s="257">
        <v>9.8190460205078107</v>
      </c>
      <c r="R668" s="257">
        <v>9.8615427017211896</v>
      </c>
      <c r="S668" s="257">
        <v>9.9469861984252894</v>
      </c>
      <c r="T668" s="257">
        <v>10.0096731185913</v>
      </c>
      <c r="U668" s="257">
        <v>10.190193176269499</v>
      </c>
      <c r="V668" s="257">
        <v>10.288735389709499</v>
      </c>
      <c r="W668" s="257">
        <v>10.396104812622101</v>
      </c>
      <c r="X668" s="257">
        <v>10.5091648101807</v>
      </c>
      <c r="Y668" s="257">
        <v>10.694952964782701</v>
      </c>
    </row>
    <row r="669" spans="1:26" x14ac:dyDescent="0.25">
      <c r="A669" s="253" t="s">
        <v>479</v>
      </c>
      <c r="B669" s="257">
        <v>21.599882125854499</v>
      </c>
      <c r="C669" s="257">
        <v>21.735733032226602</v>
      </c>
      <c r="D669" s="257">
        <v>21.731866836547901</v>
      </c>
      <c r="E669" s="257">
        <v>21.659553527831999</v>
      </c>
      <c r="F669" s="257">
        <v>20.918876647949201</v>
      </c>
      <c r="G669" s="257">
        <v>20.055833816528299</v>
      </c>
      <c r="H669" s="257">
        <v>19.596654891967798</v>
      </c>
      <c r="I669" s="257">
        <v>19.579929351806602</v>
      </c>
      <c r="J669" s="257">
        <v>19.517631530761701</v>
      </c>
      <c r="K669" s="257">
        <v>19.486770629882798</v>
      </c>
      <c r="L669" s="257">
        <v>19.702039718627901</v>
      </c>
      <c r="M669" s="257">
        <v>19.955158233642599</v>
      </c>
      <c r="N669" s="257">
        <v>20.317079544067401</v>
      </c>
      <c r="O669" s="257">
        <v>20.442613601684599</v>
      </c>
      <c r="P669" s="257">
        <v>20.578334808349599</v>
      </c>
      <c r="Q669" s="257">
        <v>20.580734252929702</v>
      </c>
      <c r="R669" s="257">
        <v>20.7274265289307</v>
      </c>
      <c r="S669" s="257">
        <v>20.953577041626001</v>
      </c>
      <c r="T669" s="257">
        <v>21.262916564941399</v>
      </c>
      <c r="U669" s="257">
        <v>21.454774856567401</v>
      </c>
      <c r="V669" s="257">
        <v>21.4308891296387</v>
      </c>
      <c r="W669" s="257">
        <v>21.3733520507813</v>
      </c>
      <c r="X669" s="257">
        <v>21.452013015747099</v>
      </c>
      <c r="Y669" s="257">
        <v>21.5757865905762</v>
      </c>
    </row>
    <row r="670" spans="1:26" x14ac:dyDescent="0.25">
      <c r="A670" s="253" t="s">
        <v>440</v>
      </c>
      <c r="B670" s="257" t="s">
        <v>440</v>
      </c>
      <c r="C670" s="257" t="s">
        <v>440</v>
      </c>
      <c r="D670" s="257" t="s">
        <v>440</v>
      </c>
      <c r="E670" s="257" t="s">
        <v>440</v>
      </c>
      <c r="F670" s="257" t="s">
        <v>440</v>
      </c>
      <c r="G670" s="257" t="s">
        <v>440</v>
      </c>
      <c r="H670" s="257" t="s">
        <v>440</v>
      </c>
      <c r="I670" s="257" t="s">
        <v>440</v>
      </c>
      <c r="J670" s="257" t="s">
        <v>440</v>
      </c>
      <c r="K670" s="257" t="s">
        <v>440</v>
      </c>
      <c r="L670" s="257" t="s">
        <v>440</v>
      </c>
      <c r="M670" s="257" t="s">
        <v>440</v>
      </c>
      <c r="N670" s="257" t="s">
        <v>440</v>
      </c>
      <c r="O670" s="257" t="s">
        <v>440</v>
      </c>
      <c r="P670" s="257" t="s">
        <v>440</v>
      </c>
      <c r="Q670" s="257" t="s">
        <v>440</v>
      </c>
      <c r="R670" s="257" t="s">
        <v>440</v>
      </c>
      <c r="S670" s="257" t="s">
        <v>440</v>
      </c>
      <c r="T670" s="257" t="s">
        <v>440</v>
      </c>
      <c r="U670" s="257" t="s">
        <v>440</v>
      </c>
      <c r="V670" s="257" t="s">
        <v>440</v>
      </c>
      <c r="W670" s="257" t="s">
        <v>440</v>
      </c>
      <c r="X670" s="257" t="s">
        <v>440</v>
      </c>
      <c r="Y670" s="257" t="s">
        <v>440</v>
      </c>
    </row>
    <row r="671" spans="1:26" x14ac:dyDescent="0.25">
      <c r="A671" s="253" t="s">
        <v>499</v>
      </c>
      <c r="B671" s="257" t="s">
        <v>440</v>
      </c>
      <c r="C671" s="257" t="s">
        <v>440</v>
      </c>
      <c r="D671" s="257" t="s">
        <v>440</v>
      </c>
      <c r="E671" s="257" t="s">
        <v>440</v>
      </c>
      <c r="F671" s="257" t="s">
        <v>440</v>
      </c>
      <c r="G671" s="257" t="s">
        <v>440</v>
      </c>
      <c r="H671" s="257" t="s">
        <v>440</v>
      </c>
      <c r="I671" s="257" t="s">
        <v>440</v>
      </c>
      <c r="J671" s="257" t="s">
        <v>440</v>
      </c>
      <c r="K671" s="257" t="s">
        <v>440</v>
      </c>
      <c r="L671" s="257" t="s">
        <v>440</v>
      </c>
      <c r="M671" s="257" t="s">
        <v>440</v>
      </c>
      <c r="N671" s="257" t="s">
        <v>440</v>
      </c>
      <c r="O671" s="257" t="s">
        <v>440</v>
      </c>
      <c r="P671" s="257" t="s">
        <v>440</v>
      </c>
      <c r="Q671" s="257" t="s">
        <v>440</v>
      </c>
      <c r="R671" s="257" t="s">
        <v>440</v>
      </c>
      <c r="S671" s="257" t="s">
        <v>440</v>
      </c>
      <c r="T671" s="257" t="s">
        <v>440</v>
      </c>
      <c r="U671" s="257" t="s">
        <v>440</v>
      </c>
      <c r="V671" s="257" t="s">
        <v>440</v>
      </c>
      <c r="W671" s="257" t="s">
        <v>440</v>
      </c>
      <c r="X671" s="257" t="s">
        <v>440</v>
      </c>
      <c r="Y671" s="257" t="s">
        <v>440</v>
      </c>
    </row>
    <row r="672" spans="1:26" x14ac:dyDescent="0.25">
      <c r="A672" s="253" t="s">
        <v>500</v>
      </c>
      <c r="B672" s="257">
        <v>1.8996955156326301</v>
      </c>
      <c r="C672" s="257">
        <v>2.2409727573394802</v>
      </c>
      <c r="D672" s="257">
        <v>2.4239859580993701</v>
      </c>
      <c r="E672" s="257">
        <v>2.3793189525604199</v>
      </c>
      <c r="F672" s="257">
        <v>2.2557969093322798</v>
      </c>
      <c r="G672" s="257">
        <v>2.16659760475159</v>
      </c>
      <c r="H672" s="257">
        <v>2.1260316371917698</v>
      </c>
      <c r="I672" s="257">
        <v>2.1242508888244598</v>
      </c>
      <c r="J672" s="257">
        <v>2.1216156482696502</v>
      </c>
      <c r="K672" s="257">
        <v>2.1531240940093999</v>
      </c>
      <c r="L672" s="257">
        <v>2.1922359466552699</v>
      </c>
      <c r="M672" s="257">
        <v>2.2451419830322301</v>
      </c>
      <c r="N672" s="257">
        <v>2.2968165874481201</v>
      </c>
      <c r="O672" s="257">
        <v>2.3293662071228001</v>
      </c>
      <c r="P672" s="257">
        <v>2.3501963615417498</v>
      </c>
      <c r="Q672" s="257">
        <v>2.3520054817199698</v>
      </c>
      <c r="R672" s="257">
        <v>2.3871843814849898</v>
      </c>
      <c r="S672" s="257">
        <v>2.4302341938018799</v>
      </c>
      <c r="T672" s="257">
        <v>2.5017471313476598</v>
      </c>
      <c r="U672" s="257">
        <v>2.5190291404724099</v>
      </c>
      <c r="V672" s="257">
        <v>2.50686860084534</v>
      </c>
      <c r="W672" s="257">
        <v>2.48747658729553</v>
      </c>
      <c r="X672" s="257">
        <v>2.5030989646911599</v>
      </c>
      <c r="Y672" s="257">
        <v>2.5170097351074201</v>
      </c>
    </row>
    <row r="673" spans="1:26" x14ac:dyDescent="0.25">
      <c r="A673" s="253" t="s">
        <v>502</v>
      </c>
      <c r="B673" s="257">
        <v>4.3748912811279297</v>
      </c>
      <c r="C673" s="257">
        <v>5.2786889076232901</v>
      </c>
      <c r="D673" s="257">
        <v>5.9517350196838397</v>
      </c>
      <c r="E673" s="257">
        <v>5.8146204948425302</v>
      </c>
      <c r="F673" s="257">
        <v>6.06520652770996</v>
      </c>
      <c r="G673" s="257">
        <v>6.0658583641052202</v>
      </c>
      <c r="H673" s="257">
        <v>6.0610094070434597</v>
      </c>
      <c r="I673" s="257">
        <v>6.0499844551086399</v>
      </c>
      <c r="J673" s="257">
        <v>6.0430412292480504</v>
      </c>
      <c r="K673" s="257">
        <v>6.00789546966553</v>
      </c>
      <c r="L673" s="257">
        <v>5.9784431457519496</v>
      </c>
      <c r="M673" s="257">
        <v>5.9840416908264196</v>
      </c>
      <c r="N673" s="257">
        <v>6.0042037963867196</v>
      </c>
      <c r="O673" s="257">
        <v>6.0128812789917001</v>
      </c>
      <c r="P673" s="257">
        <v>6.0971722602844203</v>
      </c>
      <c r="Q673" s="257">
        <v>6.1627969741821298</v>
      </c>
      <c r="R673" s="257">
        <v>6.2556800842285201</v>
      </c>
      <c r="S673" s="257">
        <v>6.3419466018676802</v>
      </c>
      <c r="T673" s="257">
        <v>6.4189195632934597</v>
      </c>
      <c r="U673" s="257">
        <v>6.5561437606811497</v>
      </c>
      <c r="V673" s="257">
        <v>6.6497230529785201</v>
      </c>
      <c r="W673" s="257">
        <v>6.7551417350768999</v>
      </c>
      <c r="X673" s="257">
        <v>6.8526744842529297</v>
      </c>
      <c r="Y673" s="257">
        <v>6.9808459281921396</v>
      </c>
    </row>
    <row r="674" spans="1:26" x14ac:dyDescent="0.25">
      <c r="A674" s="253" t="s">
        <v>476</v>
      </c>
      <c r="B674" s="257">
        <v>5.6938004493713397</v>
      </c>
      <c r="C674" s="257">
        <v>6.4773354530334499</v>
      </c>
      <c r="D674" s="257">
        <v>7.1750593185424796</v>
      </c>
      <c r="E674" s="257">
        <v>6.8899416923522896</v>
      </c>
      <c r="F674" s="257">
        <v>7.0708780288696298</v>
      </c>
      <c r="G674" s="257">
        <v>7.0249619483947798</v>
      </c>
      <c r="H674" s="257">
        <v>6.9838500022888201</v>
      </c>
      <c r="I674" s="257">
        <v>6.9665460586547896</v>
      </c>
      <c r="J674" s="257">
        <v>6.9450497627258301</v>
      </c>
      <c r="K674" s="257">
        <v>6.8211231231689498</v>
      </c>
      <c r="L674" s="257">
        <v>6.8083920478820801</v>
      </c>
      <c r="M674" s="257">
        <v>6.7952175140380904</v>
      </c>
      <c r="N674" s="257">
        <v>6.8354115486145002</v>
      </c>
      <c r="O674" s="257">
        <v>6.8402228355407697</v>
      </c>
      <c r="P674" s="257">
        <v>6.9283905029296902</v>
      </c>
      <c r="Q674" s="257">
        <v>6.9566001892089799</v>
      </c>
      <c r="R674" s="257">
        <v>7.0452814102172896</v>
      </c>
      <c r="S674" s="257">
        <v>7.1418867111206099</v>
      </c>
      <c r="T674" s="257">
        <v>7.2127375602722203</v>
      </c>
      <c r="U674" s="257">
        <v>7.4472899436950701</v>
      </c>
      <c r="V674" s="257">
        <v>7.5714774131774902</v>
      </c>
      <c r="W674" s="257">
        <v>7.7267389297485396</v>
      </c>
      <c r="X674" s="257">
        <v>7.8528199195861799</v>
      </c>
      <c r="Y674" s="257">
        <v>8.0614786148071307</v>
      </c>
    </row>
    <row r="675" spans="1:26" x14ac:dyDescent="0.25">
      <c r="A675" s="253" t="s">
        <v>481</v>
      </c>
      <c r="B675" s="257">
        <v>3.9850425720214799</v>
      </c>
      <c r="C675" s="257">
        <v>4.7911210060119602</v>
      </c>
      <c r="D675" s="257">
        <v>5.5054440498352104</v>
      </c>
      <c r="E675" s="257">
        <v>5.3836627006530797</v>
      </c>
      <c r="F675" s="257">
        <v>5.6116971969604501</v>
      </c>
      <c r="G675" s="257">
        <v>5.6101722717285201</v>
      </c>
      <c r="H675" s="257">
        <v>5.61515140533447</v>
      </c>
      <c r="I675" s="257">
        <v>5.6134881973266602</v>
      </c>
      <c r="J675" s="257">
        <v>5.6123900413513201</v>
      </c>
      <c r="K675" s="257">
        <v>5.6186213493347203</v>
      </c>
      <c r="L675" s="257">
        <v>5.6204733848571804</v>
      </c>
      <c r="M675" s="257">
        <v>5.6265015602111799</v>
      </c>
      <c r="N675" s="257">
        <v>5.6295571327209499</v>
      </c>
      <c r="O675" s="257">
        <v>5.6379580497741699</v>
      </c>
      <c r="P675" s="257">
        <v>5.71999168395996</v>
      </c>
      <c r="Q675" s="257">
        <v>5.7965455055236799</v>
      </c>
      <c r="R675" s="257">
        <v>5.8776378631591797</v>
      </c>
      <c r="S675" s="257">
        <v>5.9570369720459002</v>
      </c>
      <c r="T675" s="257">
        <v>6.0351238250732404</v>
      </c>
      <c r="U675" s="257">
        <v>6.1149992942810103</v>
      </c>
      <c r="V675" s="257">
        <v>6.1950988769531303</v>
      </c>
      <c r="W675" s="257">
        <v>6.27585792541504</v>
      </c>
      <c r="X675" s="257">
        <v>6.3545475006103498</v>
      </c>
      <c r="Y675" s="257">
        <v>6.4353322982788104</v>
      </c>
    </row>
    <row r="676" spans="1:26" x14ac:dyDescent="0.25">
      <c r="A676" s="278" t="s">
        <v>478</v>
      </c>
      <c r="B676" s="257">
        <v>3.6857740879058798</v>
      </c>
      <c r="C676" s="257">
        <v>5.4593739509582502</v>
      </c>
      <c r="D676" s="257">
        <v>5.9836130142211896</v>
      </c>
      <c r="E676" s="257">
        <v>5.9218006134033203</v>
      </c>
      <c r="F676" s="257">
        <v>5.2758417129516602</v>
      </c>
      <c r="G676" s="257">
        <v>4.86041164398193</v>
      </c>
      <c r="H676" s="257">
        <v>4.5085921287536603</v>
      </c>
      <c r="I676" s="257">
        <v>4.4009499549865696</v>
      </c>
      <c r="J676" s="257">
        <v>4.3143215179443404</v>
      </c>
      <c r="K676" s="257">
        <v>4.3619651794433603</v>
      </c>
      <c r="L676" s="257">
        <v>4.4577717781066903</v>
      </c>
      <c r="M676" s="257">
        <v>4.5935211181640598</v>
      </c>
      <c r="N676" s="257">
        <v>4.72908592224121</v>
      </c>
      <c r="O676" s="257">
        <v>4.8101162910461399</v>
      </c>
      <c r="P676" s="257">
        <v>4.8377823829650897</v>
      </c>
      <c r="Q676" s="257">
        <v>4.7923994064331099</v>
      </c>
      <c r="R676" s="257">
        <v>4.8652648925781303</v>
      </c>
      <c r="S676" s="257">
        <v>5.0083761215209996</v>
      </c>
      <c r="T676" s="257">
        <v>5.2321648597717303</v>
      </c>
      <c r="U676" s="257">
        <v>5.32541704177856</v>
      </c>
      <c r="V676" s="257">
        <v>5.3230118751525897</v>
      </c>
      <c r="W676" s="257">
        <v>5.3357062339782697</v>
      </c>
      <c r="X676" s="257">
        <v>5.3972234725952104</v>
      </c>
      <c r="Y676" s="257">
        <v>5.4970946311950701</v>
      </c>
      <c r="Z676" s="287">
        <f>Y676+($AI$506-$Y$676)/10</f>
        <v>5.5250455710201605</v>
      </c>
    </row>
    <row r="677" spans="1:26" x14ac:dyDescent="0.25">
      <c r="A677" s="282" t="s">
        <v>486</v>
      </c>
      <c r="B677" s="257">
        <v>1.2699717283248899</v>
      </c>
      <c r="C677" s="257">
        <v>1.27919089794159</v>
      </c>
      <c r="D677" s="257">
        <v>1.2835900783538801</v>
      </c>
      <c r="E677" s="257">
        <v>1.28959560394287</v>
      </c>
      <c r="F677" s="257">
        <v>1.29778397083282</v>
      </c>
      <c r="G677" s="257">
        <v>1.28695380687714</v>
      </c>
      <c r="H677" s="257">
        <v>1.28577756881714</v>
      </c>
      <c r="I677" s="257">
        <v>1.27679371833801</v>
      </c>
      <c r="J677" s="257">
        <v>1.26281106472015</v>
      </c>
      <c r="K677" s="257">
        <v>1.25397908687592</v>
      </c>
      <c r="L677" s="257">
        <v>1.2489364147186299</v>
      </c>
      <c r="M677" s="257">
        <v>1.2449804544448899</v>
      </c>
      <c r="N677" s="257">
        <v>1.2430621385574301</v>
      </c>
      <c r="O677" s="257">
        <v>1.24259686470032</v>
      </c>
      <c r="P677" s="257">
        <v>1.24424111843109</v>
      </c>
      <c r="Q677" s="257">
        <v>1.2428184747695901</v>
      </c>
      <c r="R677" s="257">
        <v>1.24728739261627</v>
      </c>
      <c r="S677" s="257">
        <v>1.2513284683227499</v>
      </c>
      <c r="T677" s="257">
        <v>1.2762980461120601</v>
      </c>
      <c r="U677" s="257">
        <v>1.2851967811584499</v>
      </c>
      <c r="V677" s="257">
        <v>1.2969329357147199</v>
      </c>
      <c r="W677" s="257">
        <v>1.3016670942306501</v>
      </c>
      <c r="X677" s="257">
        <v>1.31676089763641</v>
      </c>
      <c r="Y677" s="257">
        <v>1.3290703296661399</v>
      </c>
      <c r="Z677" s="295">
        <f>Y677+($AI$507-$Y$677)/10</f>
        <v>1.3327822261431892</v>
      </c>
    </row>
    <row r="678" spans="1:26" x14ac:dyDescent="0.25">
      <c r="A678" s="253" t="s">
        <v>440</v>
      </c>
      <c r="B678" s="257" t="s">
        <v>440</v>
      </c>
      <c r="C678" s="257" t="s">
        <v>440</v>
      </c>
      <c r="D678" s="257" t="s">
        <v>440</v>
      </c>
      <c r="E678" s="257" t="s">
        <v>440</v>
      </c>
      <c r="F678" s="257" t="s">
        <v>440</v>
      </c>
      <c r="G678" s="257" t="s">
        <v>440</v>
      </c>
      <c r="H678" s="257" t="s">
        <v>440</v>
      </c>
      <c r="I678" s="257" t="s">
        <v>440</v>
      </c>
      <c r="J678" s="257" t="s">
        <v>440</v>
      </c>
      <c r="K678" s="257" t="s">
        <v>440</v>
      </c>
      <c r="L678" s="257" t="s">
        <v>440</v>
      </c>
      <c r="M678" s="257" t="s">
        <v>440</v>
      </c>
      <c r="N678" s="257" t="s">
        <v>440</v>
      </c>
      <c r="O678" s="257" t="s">
        <v>440</v>
      </c>
      <c r="P678" s="257" t="s">
        <v>440</v>
      </c>
      <c r="Q678" s="257" t="s">
        <v>440</v>
      </c>
      <c r="R678" s="257" t="s">
        <v>440</v>
      </c>
      <c r="S678" s="257" t="s">
        <v>440</v>
      </c>
      <c r="T678" s="257" t="s">
        <v>440</v>
      </c>
      <c r="U678" s="257" t="s">
        <v>440</v>
      </c>
      <c r="V678" s="257" t="s">
        <v>440</v>
      </c>
      <c r="W678" s="257" t="s">
        <v>440</v>
      </c>
      <c r="X678" s="257" t="s">
        <v>440</v>
      </c>
      <c r="Y678" s="257" t="s">
        <v>440</v>
      </c>
    </row>
    <row r="679" spans="1:26" x14ac:dyDescent="0.25">
      <c r="A679" s="253" t="s">
        <v>503</v>
      </c>
      <c r="B679" s="257" t="s">
        <v>440</v>
      </c>
      <c r="C679" s="257" t="s">
        <v>440</v>
      </c>
      <c r="D679" s="257" t="s">
        <v>440</v>
      </c>
      <c r="E679" s="257" t="s">
        <v>440</v>
      </c>
      <c r="F679" s="257" t="s">
        <v>440</v>
      </c>
      <c r="G679" s="257" t="s">
        <v>440</v>
      </c>
      <c r="H679" s="257" t="s">
        <v>440</v>
      </c>
      <c r="I679" s="257" t="s">
        <v>440</v>
      </c>
      <c r="J679" s="257" t="s">
        <v>440</v>
      </c>
      <c r="K679" s="257" t="s">
        <v>440</v>
      </c>
      <c r="L679" s="257" t="s">
        <v>440</v>
      </c>
      <c r="M679" s="257" t="s">
        <v>440</v>
      </c>
      <c r="N679" s="257" t="s">
        <v>440</v>
      </c>
      <c r="O679" s="257" t="s">
        <v>440</v>
      </c>
      <c r="P679" s="257" t="s">
        <v>440</v>
      </c>
      <c r="Q679" s="257" t="s">
        <v>440</v>
      </c>
      <c r="R679" s="257" t="s">
        <v>440</v>
      </c>
      <c r="S679" s="257" t="s">
        <v>440</v>
      </c>
      <c r="T679" s="257" t="s">
        <v>440</v>
      </c>
      <c r="U679" s="257" t="s">
        <v>440</v>
      </c>
      <c r="V679" s="257" t="s">
        <v>440</v>
      </c>
      <c r="W679" s="257" t="s">
        <v>440</v>
      </c>
      <c r="X679" s="257" t="s">
        <v>440</v>
      </c>
      <c r="Y679" s="257" t="s">
        <v>440</v>
      </c>
    </row>
    <row r="680" spans="1:26" x14ac:dyDescent="0.25">
      <c r="A680" s="253" t="s">
        <v>504</v>
      </c>
      <c r="B680" s="257">
        <v>9.0916013717651403</v>
      </c>
      <c r="C680" s="257">
        <v>10.5092258453369</v>
      </c>
      <c r="D680" s="257">
        <v>12.005053520202599</v>
      </c>
      <c r="E680" s="257">
        <v>11.6376342773438</v>
      </c>
      <c r="F680" s="257">
        <v>11.8251142501831</v>
      </c>
      <c r="G680" s="257">
        <v>11.7351989746094</v>
      </c>
      <c r="H680" s="257">
        <v>11.6926622390747</v>
      </c>
      <c r="I680" s="257">
        <v>11.6848964691162</v>
      </c>
      <c r="J680" s="257">
        <v>11.6311902999878</v>
      </c>
      <c r="K680" s="257">
        <v>11.6124935150146</v>
      </c>
      <c r="L680" s="257">
        <v>11.616386413574199</v>
      </c>
      <c r="M680" s="257">
        <v>11.566198348999</v>
      </c>
      <c r="N680" s="257">
        <v>11.5507049560547</v>
      </c>
      <c r="O680" s="257">
        <v>11.475526809692401</v>
      </c>
      <c r="P680" s="257">
        <v>11.520403861999499</v>
      </c>
      <c r="Q680" s="257">
        <v>11.477831840515099</v>
      </c>
      <c r="R680" s="257">
        <v>11.5152139663696</v>
      </c>
      <c r="S680" s="257">
        <v>11.577165603637701</v>
      </c>
      <c r="T680" s="257">
        <v>11.5678558349609</v>
      </c>
      <c r="U680" s="257">
        <v>11.7752237319946</v>
      </c>
      <c r="V680" s="257">
        <v>11.90793800354</v>
      </c>
      <c r="W680" s="257">
        <v>12.0465354919434</v>
      </c>
      <c r="X680" s="257">
        <v>12.1843271255493</v>
      </c>
      <c r="Y680" s="257">
        <v>12.407506942749</v>
      </c>
    </row>
    <row r="681" spans="1:26" x14ac:dyDescent="0.25">
      <c r="A681" s="253" t="s">
        <v>505</v>
      </c>
      <c r="B681" s="257">
        <v>8.7129955291747994</v>
      </c>
      <c r="C681" s="257">
        <v>9.89868068695068</v>
      </c>
      <c r="D681" s="257">
        <v>10.9323635101318</v>
      </c>
      <c r="E681" s="257">
        <v>10.516573905944799</v>
      </c>
      <c r="F681" s="257">
        <v>10.8896884918213</v>
      </c>
      <c r="G681" s="257">
        <v>11.1545400619507</v>
      </c>
      <c r="H681" s="257">
        <v>11.1602163314819</v>
      </c>
      <c r="I681" s="257">
        <v>11.210696220397899</v>
      </c>
      <c r="J681" s="257">
        <v>11.2655477523804</v>
      </c>
      <c r="K681" s="257">
        <v>11.312797546386699</v>
      </c>
      <c r="L681" s="257">
        <v>11.4240579605103</v>
      </c>
      <c r="M681" s="257">
        <v>11.453408241271999</v>
      </c>
      <c r="N681" s="257">
        <v>11.43030834198</v>
      </c>
      <c r="O681" s="257">
        <v>11.241268157959</v>
      </c>
      <c r="P681" s="257">
        <v>11.0996809005737</v>
      </c>
      <c r="Q681" s="257">
        <v>10.9476537704468</v>
      </c>
      <c r="R681" s="257">
        <v>10.947796821594199</v>
      </c>
      <c r="S681" s="257">
        <v>10.974308013916</v>
      </c>
      <c r="T681" s="257">
        <v>11.019621849060099</v>
      </c>
      <c r="U681" s="257">
        <v>11.1190385818481</v>
      </c>
      <c r="V681" s="257">
        <v>11.172901153564499</v>
      </c>
      <c r="W681" s="257">
        <v>11.2430562973022</v>
      </c>
      <c r="X681" s="257">
        <v>11.376879692077599</v>
      </c>
      <c r="Y681" s="257">
        <v>11.7449541091919</v>
      </c>
    </row>
    <row r="682" spans="1:26" x14ac:dyDescent="0.25">
      <c r="A682" s="253" t="s">
        <v>506</v>
      </c>
      <c r="B682" s="257">
        <v>6.0538434982299796</v>
      </c>
      <c r="C682" s="257">
        <v>6.4578518867492702</v>
      </c>
      <c r="D682" s="257">
        <v>8.1168746948242205</v>
      </c>
      <c r="E682" s="257">
        <v>7.6875567436218297</v>
      </c>
      <c r="F682" s="257">
        <v>7.8739576339721697</v>
      </c>
      <c r="G682" s="257">
        <v>7.8265089988708496</v>
      </c>
      <c r="H682" s="257">
        <v>7.9840884208679199</v>
      </c>
      <c r="I682" s="257">
        <v>8.0166091918945295</v>
      </c>
      <c r="J682" s="257">
        <v>7.8608303070068404</v>
      </c>
      <c r="K682" s="257">
        <v>7.81276655197144</v>
      </c>
      <c r="L682" s="257">
        <v>7.8045797348022496</v>
      </c>
      <c r="M682" s="257">
        <v>7.7928524017334002</v>
      </c>
      <c r="N682" s="257">
        <v>7.7725591659545898</v>
      </c>
      <c r="O682" s="257">
        <v>7.7157216072082502</v>
      </c>
      <c r="P682" s="257">
        <v>7.7164225578308097</v>
      </c>
      <c r="Q682" s="257">
        <v>7.6991229057312003</v>
      </c>
      <c r="R682" s="257">
        <v>7.7546834945678702</v>
      </c>
      <c r="S682" s="257">
        <v>7.8412432670593297</v>
      </c>
      <c r="T682" s="257">
        <v>7.8916783332824698</v>
      </c>
      <c r="U682" s="257">
        <v>8.0530261993408203</v>
      </c>
      <c r="V682" s="257">
        <v>8.1459932327270508</v>
      </c>
      <c r="W682" s="257">
        <v>8.2922735214233398</v>
      </c>
      <c r="X682" s="257">
        <v>8.4199304580688494</v>
      </c>
      <c r="Y682" s="257">
        <v>8.7479171752929705</v>
      </c>
    </row>
    <row r="683" spans="1:26" x14ac:dyDescent="0.25">
      <c r="A683" s="253" t="s">
        <v>507</v>
      </c>
      <c r="B683" s="257">
        <v>9.5166797637939506</v>
      </c>
      <c r="C683" s="257">
        <v>13.0396432876587</v>
      </c>
      <c r="D683" s="257">
        <v>15.6858806610107</v>
      </c>
      <c r="E683" s="257">
        <v>14.0740518569946</v>
      </c>
      <c r="F683" s="257">
        <v>13.2904262542725</v>
      </c>
      <c r="G683" s="257">
        <v>13.309534072876</v>
      </c>
      <c r="H683" s="257">
        <v>13.149743080139199</v>
      </c>
      <c r="I683" s="257">
        <v>13.0244760513306</v>
      </c>
      <c r="J683" s="257">
        <v>13.1580867767334</v>
      </c>
      <c r="K683" s="257">
        <v>12.982262611389199</v>
      </c>
      <c r="L683" s="257">
        <v>12.9337568283081</v>
      </c>
      <c r="M683" s="257">
        <v>12.8646802902222</v>
      </c>
      <c r="N683" s="257">
        <v>12.621651649475099</v>
      </c>
      <c r="O683" s="257">
        <v>12.775475502014199</v>
      </c>
      <c r="P683" s="257">
        <v>12.937217712402299</v>
      </c>
      <c r="Q683" s="257">
        <v>13.1492967605591</v>
      </c>
      <c r="R683" s="257">
        <v>13.286898612976101</v>
      </c>
      <c r="S683" s="257">
        <v>13.3753395080566</v>
      </c>
      <c r="T683" s="257">
        <v>13.277045249939</v>
      </c>
      <c r="U683" s="257">
        <v>13.584378242492701</v>
      </c>
      <c r="V683" s="257">
        <v>13.775920867919901</v>
      </c>
      <c r="W683" s="257">
        <v>13.987989425659199</v>
      </c>
      <c r="X683" s="257">
        <v>14.116153717041</v>
      </c>
      <c r="Y683" s="257">
        <v>14.3756980895996</v>
      </c>
    </row>
    <row r="684" spans="1:26" x14ac:dyDescent="0.25">
      <c r="A684" s="253" t="s">
        <v>508</v>
      </c>
      <c r="B684" s="257">
        <v>11.3185987472534</v>
      </c>
      <c r="C684" s="257">
        <v>12.9258327484131</v>
      </c>
      <c r="D684" s="257">
        <v>14.650143623352101</v>
      </c>
      <c r="E684" s="257">
        <v>14.344244956970201</v>
      </c>
      <c r="F684" s="257">
        <v>14.6975507736206</v>
      </c>
      <c r="G684" s="257">
        <v>14.347893714904799</v>
      </c>
      <c r="H684" s="257">
        <v>14.238919258117701</v>
      </c>
      <c r="I684" s="257">
        <v>14.238542556762701</v>
      </c>
      <c r="J684" s="257">
        <v>14.0666351318359</v>
      </c>
      <c r="K684" s="257">
        <v>14.0516872406006</v>
      </c>
      <c r="L684" s="257">
        <v>14.0139780044556</v>
      </c>
      <c r="M684" s="257">
        <v>13.894681930541999</v>
      </c>
      <c r="N684" s="257">
        <v>13.9225015640259</v>
      </c>
      <c r="O684" s="257">
        <v>13.8080444335938</v>
      </c>
      <c r="P684" s="257">
        <v>13.9091501235962</v>
      </c>
      <c r="Q684" s="257">
        <v>13.810170173645</v>
      </c>
      <c r="R684" s="257">
        <v>13.822598457336399</v>
      </c>
      <c r="S684" s="257">
        <v>13.882239341735801</v>
      </c>
      <c r="T684" s="257">
        <v>13.824323654174799</v>
      </c>
      <c r="U684" s="257">
        <v>14.0693578720093</v>
      </c>
      <c r="V684" s="257">
        <v>14.2271223068237</v>
      </c>
      <c r="W684" s="257">
        <v>14.3637847900391</v>
      </c>
      <c r="X684" s="257">
        <v>14.4981489181519</v>
      </c>
      <c r="Y684" s="257">
        <v>14.5947113037109</v>
      </c>
    </row>
    <row r="685" spans="1:26" x14ac:dyDescent="0.25">
      <c r="A685" s="253" t="s">
        <v>509</v>
      </c>
      <c r="B685" s="257">
        <v>3.9308724403381299</v>
      </c>
      <c r="C685" s="257">
        <v>4.6628575325012198</v>
      </c>
      <c r="D685" s="257">
        <v>5.07232666015625</v>
      </c>
      <c r="E685" s="257">
        <v>5.1433587074279803</v>
      </c>
      <c r="F685" s="257">
        <v>5.4173622131347701</v>
      </c>
      <c r="G685" s="257">
        <v>5.4097323417663601</v>
      </c>
      <c r="H685" s="257">
        <v>5.3977632522582999</v>
      </c>
      <c r="I685" s="257">
        <v>5.3867764472961399</v>
      </c>
      <c r="J685" s="257">
        <v>5.3854241371154803</v>
      </c>
      <c r="K685" s="257">
        <v>5.3919448852539098</v>
      </c>
      <c r="L685" s="257">
        <v>5.3981180191040004</v>
      </c>
      <c r="M685" s="257">
        <v>5.4056487083435103</v>
      </c>
      <c r="N685" s="257">
        <v>5.4104261398315403</v>
      </c>
      <c r="O685" s="257">
        <v>5.4168543815612802</v>
      </c>
      <c r="P685" s="257">
        <v>5.4972262382507298</v>
      </c>
      <c r="Q685" s="257">
        <v>5.5698432922363299</v>
      </c>
      <c r="R685" s="257">
        <v>5.6456804275512704</v>
      </c>
      <c r="S685" s="257">
        <v>5.7250947952270499</v>
      </c>
      <c r="T685" s="257">
        <v>5.8020553588867196</v>
      </c>
      <c r="U685" s="257">
        <v>5.88106393814087</v>
      </c>
      <c r="V685" s="257">
        <v>5.9598326683044398</v>
      </c>
      <c r="W685" s="257">
        <v>6.0394186973571804</v>
      </c>
      <c r="X685" s="257">
        <v>6.11779880523682</v>
      </c>
      <c r="Y685" s="257">
        <v>6.2010583877563503</v>
      </c>
    </row>
    <row r="686" spans="1:26" x14ac:dyDescent="0.25">
      <c r="A686" s="253" t="s">
        <v>510</v>
      </c>
      <c r="B686" s="257">
        <v>5.1461992263793901</v>
      </c>
      <c r="C686" s="257">
        <v>6.8558807373046902</v>
      </c>
      <c r="D686" s="257">
        <v>7.3508062362670898</v>
      </c>
      <c r="E686" s="257">
        <v>7.3840570449829102</v>
      </c>
      <c r="F686" s="257">
        <v>6.7167382240295401</v>
      </c>
      <c r="G686" s="257">
        <v>6.27575588226318</v>
      </c>
      <c r="H686" s="257">
        <v>5.86295366287231</v>
      </c>
      <c r="I686" s="257">
        <v>5.7038016319274902</v>
      </c>
      <c r="J686" s="257">
        <v>5.5520119667053196</v>
      </c>
      <c r="K686" s="257">
        <v>5.5432248115539604</v>
      </c>
      <c r="L686" s="257">
        <v>5.5985813140869096</v>
      </c>
      <c r="M686" s="257">
        <v>5.70459079742432</v>
      </c>
      <c r="N686" s="257">
        <v>5.8318381309509304</v>
      </c>
      <c r="O686" s="257">
        <v>5.9191007614135698</v>
      </c>
      <c r="P686" s="257">
        <v>5.9519534111022896</v>
      </c>
      <c r="Q686" s="257">
        <v>5.8878293037414604</v>
      </c>
      <c r="R686" s="257">
        <v>5.94315385818481</v>
      </c>
      <c r="S686" s="257">
        <v>6.08443307876587</v>
      </c>
      <c r="T686" s="257">
        <v>6.3156557083129901</v>
      </c>
      <c r="U686" s="257">
        <v>6.4281539916992196</v>
      </c>
      <c r="V686" s="257">
        <v>6.4433326721191397</v>
      </c>
      <c r="W686" s="257">
        <v>6.4763746261596697</v>
      </c>
      <c r="X686" s="257">
        <v>6.5396862030029297</v>
      </c>
      <c r="Y686" s="257">
        <v>6.6462817192077601</v>
      </c>
    </row>
    <row r="687" spans="1:26" x14ac:dyDescent="0.25">
      <c r="A687" s="253" t="s">
        <v>511</v>
      </c>
      <c r="B687" s="257">
        <v>1.2938040494918801</v>
      </c>
      <c r="C687" s="257">
        <v>1.29924309253693</v>
      </c>
      <c r="D687" s="257">
        <v>1.3041912317276001</v>
      </c>
      <c r="E687" s="257">
        <v>1.3119194507598899</v>
      </c>
      <c r="F687" s="257">
        <v>1.3187216520309399</v>
      </c>
      <c r="G687" s="257">
        <v>1.3072546720504801</v>
      </c>
      <c r="H687" s="257">
        <v>1.3059933185577399</v>
      </c>
      <c r="I687" s="257">
        <v>1.2971544265747099</v>
      </c>
      <c r="J687" s="257">
        <v>1.2836289405822801</v>
      </c>
      <c r="K687" s="257">
        <v>1.2749706506729099</v>
      </c>
      <c r="L687" s="257">
        <v>1.26953566074371</v>
      </c>
      <c r="M687" s="257">
        <v>1.2652333974838299</v>
      </c>
      <c r="N687" s="257">
        <v>1.2631930112838701</v>
      </c>
      <c r="O687" s="257">
        <v>1.2626041173934901</v>
      </c>
      <c r="P687" s="257">
        <v>1.26433837413788</v>
      </c>
      <c r="Q687" s="257">
        <v>1.26277422904968</v>
      </c>
      <c r="R687" s="257">
        <v>1.2691743373870801</v>
      </c>
      <c r="S687" s="257">
        <v>1.27585673332214</v>
      </c>
      <c r="T687" s="257">
        <v>1.3034254312515301</v>
      </c>
      <c r="U687" s="257">
        <v>1.3139834403991699</v>
      </c>
      <c r="V687" s="257">
        <v>1.32844221591949</v>
      </c>
      <c r="W687" s="257">
        <v>1.3343856334686299</v>
      </c>
      <c r="X687" s="257">
        <v>1.3519768714904801</v>
      </c>
      <c r="Y687" s="257">
        <v>1.3668735027313199</v>
      </c>
    </row>
    <row r="688" spans="1:26" x14ac:dyDescent="0.25">
      <c r="A688" s="253" t="s">
        <v>512</v>
      </c>
      <c r="B688" s="257">
        <v>14.6543264389038</v>
      </c>
      <c r="C688" s="257">
        <v>16.232709884643601</v>
      </c>
      <c r="D688" s="257">
        <v>19.6646022796631</v>
      </c>
      <c r="E688" s="257">
        <v>19.716905593872099</v>
      </c>
      <c r="F688" s="257">
        <v>20.910398483276399</v>
      </c>
      <c r="G688" s="257">
        <v>20.088336944580099</v>
      </c>
      <c r="H688" s="257">
        <v>20.034643173217798</v>
      </c>
      <c r="I688" s="257">
        <v>19.876234054565401</v>
      </c>
      <c r="J688" s="257">
        <v>19.0899848937988</v>
      </c>
      <c r="K688" s="257">
        <v>19.0770473480225</v>
      </c>
      <c r="L688" s="257">
        <v>18.9334907531738</v>
      </c>
      <c r="M688" s="257">
        <v>18.8203315734863</v>
      </c>
      <c r="N688" s="257">
        <v>18.8769016265869</v>
      </c>
      <c r="O688" s="257">
        <v>18.733657836914102</v>
      </c>
      <c r="P688" s="257">
        <v>18.836368560791001</v>
      </c>
      <c r="Q688" s="257">
        <v>18.717578887939499</v>
      </c>
      <c r="R688" s="257">
        <v>18.677961349487301</v>
      </c>
      <c r="S688" s="257">
        <v>18.768825531005898</v>
      </c>
      <c r="T688" s="257">
        <v>18.702945709228501</v>
      </c>
      <c r="U688" s="257">
        <v>19.039726257324201</v>
      </c>
      <c r="V688" s="257">
        <v>19.213029861450199</v>
      </c>
      <c r="W688" s="257">
        <v>19.429216384887699</v>
      </c>
      <c r="X688" s="257">
        <v>19.537574768066399</v>
      </c>
      <c r="Y688" s="257">
        <v>19.6945476531982</v>
      </c>
    </row>
    <row r="689" spans="1:28" x14ac:dyDescent="0.25">
      <c r="A689" s="253" t="s">
        <v>479</v>
      </c>
      <c r="B689" s="257">
        <v>21.599882125854499</v>
      </c>
      <c r="C689" s="257">
        <v>21.735733032226602</v>
      </c>
      <c r="D689" s="257">
        <v>21.731866836547901</v>
      </c>
      <c r="E689" s="257">
        <v>21.659553527831999</v>
      </c>
      <c r="F689" s="257">
        <v>20.918876647949201</v>
      </c>
      <c r="G689" s="257">
        <v>20.055833816528299</v>
      </c>
      <c r="H689" s="257">
        <v>19.596654891967798</v>
      </c>
      <c r="I689" s="257">
        <v>19.579929351806602</v>
      </c>
      <c r="J689" s="257">
        <v>19.517631530761701</v>
      </c>
      <c r="K689" s="257">
        <v>19.486770629882798</v>
      </c>
      <c r="L689" s="257">
        <v>19.702039718627901</v>
      </c>
      <c r="M689" s="257">
        <v>19.955158233642599</v>
      </c>
      <c r="N689" s="257">
        <v>20.317079544067401</v>
      </c>
      <c r="O689" s="257">
        <v>20.442613601684599</v>
      </c>
      <c r="P689" s="257">
        <v>20.578334808349599</v>
      </c>
      <c r="Q689" s="257">
        <v>20.580734252929702</v>
      </c>
      <c r="R689" s="257">
        <v>20.7274265289307</v>
      </c>
      <c r="S689" s="257">
        <v>20.953577041626001</v>
      </c>
      <c r="T689" s="257">
        <v>21.262916564941399</v>
      </c>
      <c r="U689" s="257">
        <v>21.454774856567401</v>
      </c>
      <c r="V689" s="257">
        <v>21.4308891296387</v>
      </c>
      <c r="W689" s="257">
        <v>21.3733520507813</v>
      </c>
      <c r="X689" s="257">
        <v>21.452013015747099</v>
      </c>
      <c r="Y689" s="257">
        <v>21.5757865905762</v>
      </c>
    </row>
    <row r="690" spans="1:28" x14ac:dyDescent="0.25">
      <c r="A690" s="253" t="s">
        <v>440</v>
      </c>
      <c r="B690" s="257" t="s">
        <v>440</v>
      </c>
      <c r="C690" s="257" t="s">
        <v>440</v>
      </c>
      <c r="D690" s="257" t="s">
        <v>440</v>
      </c>
      <c r="E690" s="257" t="s">
        <v>440</v>
      </c>
      <c r="F690" s="257" t="s">
        <v>440</v>
      </c>
      <c r="G690" s="257" t="s">
        <v>440</v>
      </c>
      <c r="H690" s="257" t="s">
        <v>440</v>
      </c>
      <c r="I690" s="257" t="s">
        <v>440</v>
      </c>
      <c r="J690" s="257" t="s">
        <v>440</v>
      </c>
      <c r="K690" s="257" t="s">
        <v>440</v>
      </c>
      <c r="L690" s="257" t="s">
        <v>440</v>
      </c>
      <c r="M690" s="257" t="s">
        <v>440</v>
      </c>
      <c r="N690" s="257" t="s">
        <v>440</v>
      </c>
      <c r="O690" s="257" t="s">
        <v>440</v>
      </c>
      <c r="P690" s="257" t="s">
        <v>440</v>
      </c>
      <c r="Q690" s="257" t="s">
        <v>440</v>
      </c>
      <c r="R690" s="257" t="s">
        <v>440</v>
      </c>
      <c r="S690" s="257" t="s">
        <v>440</v>
      </c>
      <c r="T690" s="257" t="s">
        <v>440</v>
      </c>
      <c r="U690" s="257" t="s">
        <v>440</v>
      </c>
      <c r="V690" s="257" t="s">
        <v>440</v>
      </c>
      <c r="W690" s="257" t="s">
        <v>440</v>
      </c>
      <c r="X690" s="257" t="s">
        <v>440</v>
      </c>
      <c r="Y690" s="257" t="s">
        <v>440</v>
      </c>
    </row>
    <row r="691" spans="1:28" x14ac:dyDescent="0.25">
      <c r="A691" s="253" t="s">
        <v>513</v>
      </c>
      <c r="B691" s="257" t="s">
        <v>440</v>
      </c>
      <c r="C691" s="257" t="s">
        <v>440</v>
      </c>
      <c r="D691" s="257" t="s">
        <v>440</v>
      </c>
      <c r="E691" s="257" t="s">
        <v>440</v>
      </c>
      <c r="F691" s="257" t="s">
        <v>440</v>
      </c>
      <c r="G691" s="257" t="s">
        <v>440</v>
      </c>
      <c r="H691" s="257" t="s">
        <v>440</v>
      </c>
      <c r="I691" s="257" t="s">
        <v>440</v>
      </c>
      <c r="J691" s="257" t="s">
        <v>440</v>
      </c>
      <c r="K691" s="257" t="s">
        <v>440</v>
      </c>
      <c r="L691" s="257" t="s">
        <v>440</v>
      </c>
      <c r="M691" s="257" t="s">
        <v>440</v>
      </c>
      <c r="N691" s="257" t="s">
        <v>440</v>
      </c>
      <c r="O691" s="257" t="s">
        <v>440</v>
      </c>
      <c r="P691" s="257" t="s">
        <v>440</v>
      </c>
      <c r="Q691" s="257" t="s">
        <v>440</v>
      </c>
      <c r="R691" s="257" t="s">
        <v>440</v>
      </c>
      <c r="S691" s="257" t="s">
        <v>440</v>
      </c>
      <c r="T691" s="257" t="s">
        <v>440</v>
      </c>
      <c r="U691" s="257" t="s">
        <v>440</v>
      </c>
      <c r="V691" s="257" t="s">
        <v>440</v>
      </c>
      <c r="W691" s="257" t="s">
        <v>440</v>
      </c>
      <c r="X691" s="257" t="s">
        <v>440</v>
      </c>
      <c r="Y691" s="257" t="s">
        <v>440</v>
      </c>
    </row>
    <row r="692" spans="1:28" x14ac:dyDescent="0.25">
      <c r="A692" s="253" t="s">
        <v>514</v>
      </c>
      <c r="B692" s="257" t="s">
        <v>440</v>
      </c>
      <c r="C692" s="257" t="s">
        <v>440</v>
      </c>
      <c r="D692" s="257" t="s">
        <v>440</v>
      </c>
      <c r="E692" s="257" t="s">
        <v>440</v>
      </c>
      <c r="F692" s="257" t="s">
        <v>440</v>
      </c>
      <c r="G692" s="257" t="s">
        <v>440</v>
      </c>
      <c r="H692" s="257" t="s">
        <v>440</v>
      </c>
      <c r="I692" s="257" t="s">
        <v>440</v>
      </c>
      <c r="J692" s="257" t="s">
        <v>440</v>
      </c>
      <c r="K692" s="257" t="s">
        <v>440</v>
      </c>
      <c r="L692" s="257" t="s">
        <v>440</v>
      </c>
      <c r="M692" s="257" t="s">
        <v>440</v>
      </c>
      <c r="N692" s="257" t="s">
        <v>440</v>
      </c>
      <c r="O692" s="257" t="s">
        <v>440</v>
      </c>
      <c r="P692" s="257" t="s">
        <v>440</v>
      </c>
      <c r="Q692" s="257" t="s">
        <v>440</v>
      </c>
      <c r="R692" s="257" t="s">
        <v>440</v>
      </c>
      <c r="S692" s="257" t="s">
        <v>440</v>
      </c>
      <c r="T692" s="257" t="s">
        <v>440</v>
      </c>
      <c r="U692" s="257" t="s">
        <v>440</v>
      </c>
      <c r="V692" s="257" t="s">
        <v>440</v>
      </c>
      <c r="W692" s="257" t="s">
        <v>440</v>
      </c>
      <c r="X692" s="257" t="s">
        <v>440</v>
      </c>
      <c r="Y692" s="257" t="s">
        <v>440</v>
      </c>
    </row>
    <row r="693" spans="1:28" x14ac:dyDescent="0.25">
      <c r="A693" s="253" t="s">
        <v>473</v>
      </c>
      <c r="B693" s="257">
        <v>163.90481567382801</v>
      </c>
      <c r="C693" s="257">
        <v>177.16523742675801</v>
      </c>
      <c r="D693" s="257">
        <v>181.73590087890599</v>
      </c>
      <c r="E693" s="257">
        <v>185.241622924805</v>
      </c>
      <c r="F693" s="257">
        <v>180.05682373046901</v>
      </c>
      <c r="G693" s="257">
        <v>176.427001953125</v>
      </c>
      <c r="H693" s="257">
        <v>175.07618713378901</v>
      </c>
      <c r="I693" s="257">
        <v>176.51165771484401</v>
      </c>
      <c r="J693" s="257">
        <v>178.08059692382801</v>
      </c>
      <c r="K693" s="257">
        <v>180.014236450195</v>
      </c>
      <c r="L693" s="257">
        <v>183.85498046875</v>
      </c>
      <c r="M693" s="257">
        <v>187.18310546875</v>
      </c>
      <c r="N693" s="257">
        <v>191.43936157226599</v>
      </c>
      <c r="O693" s="257">
        <v>194.37899780273401</v>
      </c>
      <c r="P693" s="257">
        <v>197.52023315429699</v>
      </c>
      <c r="Q693" s="257">
        <v>198.76248168945301</v>
      </c>
      <c r="R693" s="257">
        <v>201.94073486328099</v>
      </c>
      <c r="S693" s="257">
        <v>206.017013549805</v>
      </c>
      <c r="T693" s="257">
        <v>211.20541381835901</v>
      </c>
      <c r="U693" s="257">
        <v>214.41099548339801</v>
      </c>
      <c r="V693" s="257">
        <v>216.40347290039099</v>
      </c>
      <c r="W693" s="257">
        <v>218.64796447753901</v>
      </c>
      <c r="X693" s="257">
        <v>222.25126647949199</v>
      </c>
      <c r="Y693" s="257">
        <v>225.36584472656301</v>
      </c>
      <c r="AA693" s="309"/>
      <c r="AB693" s="309"/>
    </row>
    <row r="694" spans="1:28" x14ac:dyDescent="0.25">
      <c r="A694" s="253" t="s">
        <v>480</v>
      </c>
      <c r="B694" s="257">
        <v>122.690147399902</v>
      </c>
      <c r="C694" s="257">
        <v>128.153732299805</v>
      </c>
      <c r="D694" s="257">
        <v>130.48612976074199</v>
      </c>
      <c r="E694" s="257">
        <v>132.29133605957</v>
      </c>
      <c r="F694" s="257">
        <v>129.27566528320301</v>
      </c>
      <c r="G694" s="257">
        <v>126.887260437012</v>
      </c>
      <c r="H694" s="257">
        <v>126.692184448242</v>
      </c>
      <c r="I694" s="257">
        <v>129.41491699218801</v>
      </c>
      <c r="J694" s="257">
        <v>131.90731811523401</v>
      </c>
      <c r="K694" s="257">
        <v>135.04089355468801</v>
      </c>
      <c r="L694" s="257">
        <v>139.741943359375</v>
      </c>
      <c r="M694" s="257">
        <v>144.63902282714801</v>
      </c>
      <c r="N694" s="257">
        <v>150.53921508789099</v>
      </c>
      <c r="O694" s="257">
        <v>154.864669799805</v>
      </c>
      <c r="P694" s="257">
        <v>159.25378417968801</v>
      </c>
      <c r="Q694" s="257">
        <v>162.59527587890599</v>
      </c>
      <c r="R694" s="257">
        <v>167.29981994628901</v>
      </c>
      <c r="S694" s="257">
        <v>172.854415893555</v>
      </c>
      <c r="T694" s="257">
        <v>179.18412780761699</v>
      </c>
      <c r="U694" s="257">
        <v>184.76553344726599</v>
      </c>
      <c r="V694" s="257">
        <v>188.65592956543</v>
      </c>
      <c r="W694" s="257">
        <v>192.56275939941401</v>
      </c>
      <c r="X694" s="257">
        <v>197.80290222168</v>
      </c>
      <c r="Y694" s="257">
        <v>203.64804077148401</v>
      </c>
    </row>
    <row r="695" spans="1:28" x14ac:dyDescent="0.25">
      <c r="A695" s="253" t="s">
        <v>515</v>
      </c>
      <c r="B695" s="257">
        <v>124.39901733398401</v>
      </c>
      <c r="C695" s="257">
        <v>147.11244201660199</v>
      </c>
      <c r="D695" s="257">
        <v>168.13270568847699</v>
      </c>
      <c r="E695" s="257">
        <v>167.53501892089801</v>
      </c>
      <c r="F695" s="257">
        <v>157.82022094726599</v>
      </c>
      <c r="G695" s="257">
        <v>152.842697143555</v>
      </c>
      <c r="H695" s="257">
        <v>151.28466796875</v>
      </c>
      <c r="I695" s="257">
        <v>151.59564208984401</v>
      </c>
      <c r="J695" s="257">
        <v>151.94683837890599</v>
      </c>
      <c r="K695" s="257">
        <v>152.62234497070301</v>
      </c>
      <c r="L695" s="257">
        <v>154.60144042968801</v>
      </c>
      <c r="M695" s="257">
        <v>156.88139343261699</v>
      </c>
      <c r="N695" s="257">
        <v>159.98997497558599</v>
      </c>
      <c r="O695" s="257">
        <v>162.62356567382801</v>
      </c>
      <c r="P695" s="257">
        <v>164.507247924805</v>
      </c>
      <c r="Q695" s="257">
        <v>166.59835815429699</v>
      </c>
      <c r="R695" s="257">
        <v>170.382568359375</v>
      </c>
      <c r="S695" s="257">
        <v>174.95167541503901</v>
      </c>
      <c r="T695" s="257">
        <v>179.57080078125</v>
      </c>
      <c r="U695" s="257">
        <v>184.12712097168</v>
      </c>
      <c r="V695" s="257">
        <v>186.42012023925801</v>
      </c>
      <c r="W695" s="257">
        <v>189.56260681152301</v>
      </c>
      <c r="X695" s="257">
        <v>192.98284912109401</v>
      </c>
      <c r="Y695" s="257">
        <v>198.25885009765599</v>
      </c>
    </row>
    <row r="696" spans="1:28" x14ac:dyDescent="0.25">
      <c r="A696" s="253" t="s">
        <v>487</v>
      </c>
      <c r="B696" s="257">
        <v>263.72879028320301</v>
      </c>
      <c r="C696" s="257">
        <v>302.59255981445301</v>
      </c>
      <c r="D696" s="257">
        <v>352.23825073242199</v>
      </c>
      <c r="E696" s="257">
        <v>351.13717651367199</v>
      </c>
      <c r="F696" s="257">
        <v>366.34793090820301</v>
      </c>
      <c r="G696" s="257">
        <v>368.76159667968801</v>
      </c>
      <c r="H696" s="257">
        <v>374.76626586914102</v>
      </c>
      <c r="I696" s="257">
        <v>382.39471435546898</v>
      </c>
      <c r="J696" s="257">
        <v>385.90115356445301</v>
      </c>
      <c r="K696" s="257">
        <v>392.12625122070301</v>
      </c>
      <c r="L696" s="257">
        <v>398.68222045898398</v>
      </c>
      <c r="M696" s="257">
        <v>403.06192016601602</v>
      </c>
      <c r="N696" s="257">
        <v>409.94515991210898</v>
      </c>
      <c r="O696" s="257">
        <v>412.30630493164102</v>
      </c>
      <c r="P696" s="257">
        <v>418.64147949218801</v>
      </c>
      <c r="Q696" s="257">
        <v>421.60382080078102</v>
      </c>
      <c r="R696" s="257">
        <v>428.44393920898398</v>
      </c>
      <c r="S696" s="257">
        <v>436.35858154296898</v>
      </c>
      <c r="T696" s="257">
        <v>441.71078491210898</v>
      </c>
      <c r="U696" s="257">
        <v>454.05059814453102</v>
      </c>
      <c r="V696" s="257">
        <v>464.07431030273398</v>
      </c>
      <c r="W696" s="257">
        <v>474.87463378906301</v>
      </c>
      <c r="X696" s="257">
        <v>486.72909545898398</v>
      </c>
      <c r="Y696" s="257">
        <v>501.322265625</v>
      </c>
    </row>
    <row r="697" spans="1:28" x14ac:dyDescent="0.25">
      <c r="A697" s="253" t="s">
        <v>516</v>
      </c>
      <c r="B697" s="257">
        <v>674.72277832031295</v>
      </c>
      <c r="C697" s="257">
        <v>755.02398681640602</v>
      </c>
      <c r="D697" s="257">
        <v>832.593017578125</v>
      </c>
      <c r="E697" s="257">
        <v>836.20513916015602</v>
      </c>
      <c r="F697" s="257">
        <v>833.50061035156295</v>
      </c>
      <c r="G697" s="257">
        <v>824.91857910156295</v>
      </c>
      <c r="H697" s="257">
        <v>827.8193359375</v>
      </c>
      <c r="I697" s="257">
        <v>839.91693115234398</v>
      </c>
      <c r="J697" s="257">
        <v>847.8359375</v>
      </c>
      <c r="K697" s="257">
        <v>859.8037109375</v>
      </c>
      <c r="L697" s="257">
        <v>876.880615234375</v>
      </c>
      <c r="M697" s="257">
        <v>891.76544189453102</v>
      </c>
      <c r="N697" s="257">
        <v>911.91369628906295</v>
      </c>
      <c r="O697" s="257">
        <v>924.17352294921898</v>
      </c>
      <c r="P697" s="257">
        <v>939.92272949218795</v>
      </c>
      <c r="Q697" s="257">
        <v>949.55993652343795</v>
      </c>
      <c r="R697" s="257">
        <v>968.06707763671898</v>
      </c>
      <c r="S697" s="257">
        <v>990.18170166015602</v>
      </c>
      <c r="T697" s="257">
        <v>1011.67114257813</v>
      </c>
      <c r="U697" s="257">
        <v>1037.35424804688</v>
      </c>
      <c r="V697" s="257">
        <v>1055.55383300781</v>
      </c>
      <c r="W697" s="257">
        <v>1075.64794921875</v>
      </c>
      <c r="X697" s="257">
        <v>1099.76611328125</v>
      </c>
      <c r="Y697" s="257">
        <v>1128.59497070313</v>
      </c>
    </row>
    <row r="698" spans="1:28" x14ac:dyDescent="0.25">
      <c r="A698" s="253" t="s">
        <v>517</v>
      </c>
      <c r="B698" s="257">
        <v>1.1704622767865699E-2</v>
      </c>
      <c r="C698" s="257">
        <v>1.72001253813505E-2</v>
      </c>
      <c r="D698" s="257">
        <v>2.0739471539855E-2</v>
      </c>
      <c r="E698" s="257">
        <v>2.2715086117386801E-2</v>
      </c>
      <c r="F698" s="257">
        <v>2.5078095495700801E-2</v>
      </c>
      <c r="G698" s="257">
        <v>2.8324941173195801E-2</v>
      </c>
      <c r="H698" s="257">
        <v>3.1410280615091303E-2</v>
      </c>
      <c r="I698" s="257">
        <v>3.5102743655443198E-2</v>
      </c>
      <c r="J698" s="257">
        <v>3.9645586162805599E-2</v>
      </c>
      <c r="K698" s="257">
        <v>4.3348435312509502E-2</v>
      </c>
      <c r="L698" s="257">
        <v>4.6531450003385502E-2</v>
      </c>
      <c r="M698" s="257">
        <v>4.9735426902771003E-2</v>
      </c>
      <c r="N698" s="257">
        <v>5.3442426025867497E-2</v>
      </c>
      <c r="O698" s="257">
        <v>5.6060969829559298E-2</v>
      </c>
      <c r="P698" s="257">
        <v>6.0336232185363797E-2</v>
      </c>
      <c r="Q698" s="257">
        <v>6.3296250998973805E-2</v>
      </c>
      <c r="R698" s="257">
        <v>6.6096656024455996E-2</v>
      </c>
      <c r="S698" s="257">
        <v>6.9950148463249207E-2</v>
      </c>
      <c r="T698" s="257">
        <v>7.2811737656593295E-2</v>
      </c>
      <c r="U698" s="257">
        <v>7.6670221984386402E-2</v>
      </c>
      <c r="V698" s="257">
        <v>8.0276548862457303E-2</v>
      </c>
      <c r="W698" s="257">
        <v>8.4626309573650402E-2</v>
      </c>
      <c r="X698" s="257">
        <v>8.8446177542209597E-2</v>
      </c>
      <c r="Y698" s="257">
        <v>9.2330038547515897E-2</v>
      </c>
    </row>
    <row r="699" spans="1:28" x14ac:dyDescent="0.25">
      <c r="A699" s="253" t="s">
        <v>518</v>
      </c>
      <c r="B699" s="257">
        <v>674.73449707031295</v>
      </c>
      <c r="C699" s="257">
        <v>755.04119873046898</v>
      </c>
      <c r="D699" s="257">
        <v>832.61376953125</v>
      </c>
      <c r="E699" s="257">
        <v>836.22784423828102</v>
      </c>
      <c r="F699" s="257">
        <v>833.52569580078102</v>
      </c>
      <c r="G699" s="257">
        <v>824.94689941406295</v>
      </c>
      <c r="H699" s="257">
        <v>827.85076904296898</v>
      </c>
      <c r="I699" s="257">
        <v>839.95202636718795</v>
      </c>
      <c r="J699" s="257">
        <v>847.87561035156295</v>
      </c>
      <c r="K699" s="257">
        <v>859.84704589843795</v>
      </c>
      <c r="L699" s="257">
        <v>876.92712402343795</v>
      </c>
      <c r="M699" s="257">
        <v>891.815185546875</v>
      </c>
      <c r="N699" s="257">
        <v>911.96716308593795</v>
      </c>
      <c r="O699" s="257">
        <v>924.22961425781295</v>
      </c>
      <c r="P699" s="257">
        <v>939.98309326171898</v>
      </c>
      <c r="Q699" s="257">
        <v>949.62322998046898</v>
      </c>
      <c r="R699" s="257">
        <v>968.13317871093795</v>
      </c>
      <c r="S699" s="257">
        <v>990.25164794921898</v>
      </c>
      <c r="T699" s="257">
        <v>1011.74395751953</v>
      </c>
      <c r="U699" s="257">
        <v>1037.43090820313</v>
      </c>
      <c r="V699" s="257">
        <v>1055.63415527344</v>
      </c>
      <c r="W699" s="257">
        <v>1075.73254394531</v>
      </c>
      <c r="X699" s="257">
        <v>1099.85461425781</v>
      </c>
      <c r="Y699" s="257">
        <v>1128.68725585938</v>
      </c>
    </row>
    <row r="700" spans="1:28" x14ac:dyDescent="0.25">
      <c r="A700" s="253" t="s">
        <v>592</v>
      </c>
      <c r="B700" s="257"/>
      <c r="C700" s="257"/>
      <c r="D700" s="257"/>
      <c r="E700" s="257"/>
      <c r="F700" s="257"/>
      <c r="G700" s="257"/>
      <c r="H700" s="257"/>
      <c r="I700" s="257"/>
      <c r="J700" s="257"/>
      <c r="K700" s="257"/>
      <c r="L700" s="257"/>
      <c r="M700" s="257"/>
      <c r="N700" s="257"/>
      <c r="O700" s="257"/>
      <c r="P700" s="257"/>
      <c r="Q700" s="257"/>
      <c r="R700" s="257"/>
      <c r="S700" s="257"/>
      <c r="T700" s="257"/>
      <c r="U700" s="257"/>
      <c r="V700" s="257"/>
      <c r="W700" s="257"/>
      <c r="X700" s="257"/>
      <c r="Y700" s="257"/>
    </row>
    <row r="701" spans="1:28" x14ac:dyDescent="0.25">
      <c r="A701" s="306" t="s">
        <v>1081</v>
      </c>
      <c r="B701" s="302">
        <v>1.1960935989170374</v>
      </c>
      <c r="C701" s="302">
        <v>1.1960935989170374</v>
      </c>
      <c r="D701" s="302">
        <v>1.1960935989170374</v>
      </c>
      <c r="E701" s="302">
        <v>1.1960935989170374</v>
      </c>
      <c r="F701" s="302">
        <v>1.1960935989170374</v>
      </c>
      <c r="G701" s="302">
        <v>1.1960935989170374</v>
      </c>
      <c r="H701" s="302">
        <v>1.1960935989170374</v>
      </c>
      <c r="I701" s="302">
        <v>1.1960935989170374</v>
      </c>
      <c r="J701" s="302">
        <v>1.1960935989170374</v>
      </c>
      <c r="K701" s="302">
        <v>1.198027460839296</v>
      </c>
      <c r="L701" s="302">
        <v>1.2067298394894606</v>
      </c>
      <c r="M701" s="302">
        <v>1.2415393540901181</v>
      </c>
      <c r="N701" s="302">
        <v>1.244440146973506</v>
      </c>
      <c r="O701" s="302">
        <v>1.2657126281183524</v>
      </c>
      <c r="P701" s="302">
        <v>1.2686134210017406</v>
      </c>
      <c r="Q701" s="302">
        <v>1.2840843163798106</v>
      </c>
      <c r="R701" s="302">
        <v>1.2792496615741635</v>
      </c>
      <c r="S701" s="302">
        <v>1.3034229356023981</v>
      </c>
      <c r="T701" s="302">
        <v>1.3217946238638563</v>
      </c>
      <c r="U701" s="302">
        <v>1.3759427576871011</v>
      </c>
      <c r="V701" s="302">
        <v>1.3943144459485595</v>
      </c>
      <c r="W701" s="303">
        <v>1.4001160317153356</v>
      </c>
      <c r="X701" s="303">
        <v>1.4242893057435699</v>
      </c>
      <c r="Y701" s="303">
        <v>1.4378263391993813</v>
      </c>
      <c r="Z701" s="300">
        <f>Y701+($AI$531-$Y$701)/10</f>
        <v>1.5542937052794432</v>
      </c>
    </row>
    <row r="702" spans="1:28" x14ac:dyDescent="0.25">
      <c r="A702" s="286" t="s">
        <v>311</v>
      </c>
      <c r="B702" s="302">
        <v>8.7353999999999985</v>
      </c>
      <c r="C702" s="302">
        <v>8.7353999999999985</v>
      </c>
      <c r="D702" s="302">
        <v>8.7353999999999985</v>
      </c>
      <c r="E702" s="302">
        <v>8.7353999999999985</v>
      </c>
      <c r="F702" s="302">
        <v>8.7353999999999985</v>
      </c>
      <c r="G702" s="302">
        <v>8.7353999999999985</v>
      </c>
      <c r="H702" s="302">
        <v>8.7353999999999985</v>
      </c>
      <c r="I702" s="302">
        <v>8.7353999999999985</v>
      </c>
      <c r="J702" s="302">
        <v>8.7353999999999985</v>
      </c>
      <c r="K702" s="302">
        <v>8.7353999999999985</v>
      </c>
      <c r="L702" s="302">
        <v>8.7353999999999985</v>
      </c>
      <c r="M702" s="302">
        <v>8.7353999999999985</v>
      </c>
      <c r="N702" s="302">
        <v>8.7353999999999985</v>
      </c>
      <c r="O702" s="302">
        <v>8.7353999999999985</v>
      </c>
      <c r="P702" s="302">
        <v>8.7353999999999985</v>
      </c>
      <c r="Q702" s="302">
        <v>8.7353999999999985</v>
      </c>
      <c r="R702" s="302">
        <v>8.7353999999999985</v>
      </c>
      <c r="S702" s="302">
        <v>8.7353999999999985</v>
      </c>
      <c r="T702" s="302">
        <v>8.7353999999999985</v>
      </c>
      <c r="U702" s="302">
        <v>8.7353999999999985</v>
      </c>
      <c r="V702" s="302">
        <v>8.7353999999999985</v>
      </c>
      <c r="W702" s="303">
        <v>8.7353999999999985</v>
      </c>
      <c r="X702" s="303">
        <v>8.7353999999999985</v>
      </c>
      <c r="Y702" s="303">
        <v>8.7353999999999985</v>
      </c>
      <c r="Z702" s="303">
        <v>8.7353999999999985</v>
      </c>
    </row>
    <row r="703" spans="1:28" x14ac:dyDescent="0.25">
      <c r="A703" s="307" t="s">
        <v>594</v>
      </c>
      <c r="B703" s="304">
        <v>4.78</v>
      </c>
      <c r="C703" s="304">
        <v>4.78</v>
      </c>
      <c r="D703" s="304">
        <v>4.78</v>
      </c>
      <c r="E703" s="304">
        <v>4.78</v>
      </c>
      <c r="F703" s="304">
        <v>4.78</v>
      </c>
      <c r="G703" s="304">
        <v>4.78</v>
      </c>
      <c r="H703" s="304">
        <v>4.78</v>
      </c>
      <c r="I703" s="304">
        <v>4.78</v>
      </c>
      <c r="J703" s="304">
        <v>4.78</v>
      </c>
      <c r="K703" s="304">
        <v>4.78</v>
      </c>
      <c r="L703" s="304">
        <v>4.78</v>
      </c>
      <c r="M703" s="304">
        <v>4.78</v>
      </c>
      <c r="N703" s="304">
        <v>4.78</v>
      </c>
      <c r="O703" s="304">
        <v>4.78</v>
      </c>
      <c r="P703" s="304">
        <v>4.78</v>
      </c>
      <c r="Q703" s="304">
        <v>4.78</v>
      </c>
      <c r="R703" s="304">
        <v>4.78</v>
      </c>
      <c r="S703" s="304">
        <v>4.78</v>
      </c>
      <c r="T703" s="304">
        <v>4.78</v>
      </c>
      <c r="U703" s="304">
        <v>4.78</v>
      </c>
      <c r="V703" s="304">
        <v>4.78</v>
      </c>
      <c r="W703" s="304">
        <v>4.78</v>
      </c>
      <c r="X703" s="304">
        <v>4.78</v>
      </c>
      <c r="Y703" s="304">
        <v>4.78</v>
      </c>
      <c r="Z703" s="304">
        <v>4.78</v>
      </c>
    </row>
    <row r="704" spans="1:28" x14ac:dyDescent="0.25">
      <c r="A704" s="308" t="s">
        <v>595</v>
      </c>
      <c r="B704" s="303" t="e">
        <f t="shared" ref="B704:Z704" si="81">B703*GJ_p_MMBtu</f>
        <v>#NAME?</v>
      </c>
      <c r="C704" s="303" t="e">
        <f t="shared" si="81"/>
        <v>#NAME?</v>
      </c>
      <c r="D704" s="303" t="e">
        <f t="shared" si="81"/>
        <v>#NAME?</v>
      </c>
      <c r="E704" s="303" t="e">
        <f t="shared" si="81"/>
        <v>#NAME?</v>
      </c>
      <c r="F704" s="303" t="e">
        <f t="shared" si="81"/>
        <v>#NAME?</v>
      </c>
      <c r="G704" s="303" t="e">
        <f t="shared" si="81"/>
        <v>#NAME?</v>
      </c>
      <c r="H704" s="303" t="e">
        <f t="shared" si="81"/>
        <v>#NAME?</v>
      </c>
      <c r="I704" s="303" t="e">
        <f t="shared" si="81"/>
        <v>#NAME?</v>
      </c>
      <c r="J704" s="303" t="e">
        <f t="shared" si="81"/>
        <v>#NAME?</v>
      </c>
      <c r="K704" s="303" t="e">
        <f t="shared" si="81"/>
        <v>#NAME?</v>
      </c>
      <c r="L704" s="303" t="e">
        <f t="shared" si="81"/>
        <v>#NAME?</v>
      </c>
      <c r="M704" s="303" t="e">
        <f t="shared" si="81"/>
        <v>#NAME?</v>
      </c>
      <c r="N704" s="303" t="e">
        <f t="shared" si="81"/>
        <v>#NAME?</v>
      </c>
      <c r="O704" s="303" t="e">
        <f t="shared" si="81"/>
        <v>#NAME?</v>
      </c>
      <c r="P704" s="303" t="e">
        <f t="shared" si="81"/>
        <v>#NAME?</v>
      </c>
      <c r="Q704" s="303" t="e">
        <f t="shared" si="81"/>
        <v>#NAME?</v>
      </c>
      <c r="R704" s="303" t="e">
        <f t="shared" si="81"/>
        <v>#NAME?</v>
      </c>
      <c r="S704" s="303" t="e">
        <f t="shared" si="81"/>
        <v>#NAME?</v>
      </c>
      <c r="T704" s="303" t="e">
        <f t="shared" si="81"/>
        <v>#NAME?</v>
      </c>
      <c r="U704" s="303" t="e">
        <f t="shared" si="81"/>
        <v>#NAME?</v>
      </c>
      <c r="V704" s="303" t="e">
        <f t="shared" si="81"/>
        <v>#NAME?</v>
      </c>
      <c r="W704" s="303" t="e">
        <f t="shared" si="81"/>
        <v>#NAME?</v>
      </c>
      <c r="X704" s="303" t="e">
        <f t="shared" si="81"/>
        <v>#NAME?</v>
      </c>
      <c r="Y704" s="303" t="e">
        <f t="shared" si="81"/>
        <v>#NAME?</v>
      </c>
      <c r="Z704" s="303" t="e">
        <f t="shared" si="81"/>
        <v>#NAME?</v>
      </c>
    </row>
    <row r="705" spans="1:26" x14ac:dyDescent="0.25">
      <c r="A705" s="306" t="s">
        <v>596</v>
      </c>
      <c r="B705" s="257"/>
      <c r="C705" s="257"/>
      <c r="D705" s="257"/>
      <c r="E705" s="257"/>
      <c r="F705" s="257"/>
      <c r="G705" s="257"/>
      <c r="H705" s="257"/>
      <c r="I705" s="257"/>
      <c r="J705" s="257"/>
      <c r="K705" s="257"/>
      <c r="L705" s="257"/>
      <c r="M705" s="257"/>
      <c r="N705" s="257"/>
      <c r="O705" s="257"/>
      <c r="P705" s="257"/>
      <c r="Q705" s="257"/>
      <c r="R705" s="257"/>
      <c r="S705" s="257"/>
      <c r="T705" s="257"/>
      <c r="U705" s="257"/>
      <c r="V705" s="257"/>
      <c r="W705" s="257"/>
      <c r="X705" s="257"/>
      <c r="Y705" s="257"/>
      <c r="Z705" s="257"/>
    </row>
    <row r="706" spans="1:26" x14ac:dyDescent="0.25">
      <c r="A706" s="253" t="s">
        <v>519</v>
      </c>
      <c r="B706" s="257"/>
      <c r="C706" s="257"/>
      <c r="D706" s="257"/>
      <c r="E706" s="257" t="s">
        <v>440</v>
      </c>
      <c r="F706" s="257" t="s">
        <v>440</v>
      </c>
      <c r="G706" s="257" t="s">
        <v>440</v>
      </c>
      <c r="H706" s="257" t="s">
        <v>440</v>
      </c>
      <c r="I706" s="257" t="s">
        <v>440</v>
      </c>
      <c r="J706" s="257" t="s">
        <v>440</v>
      </c>
      <c r="K706" s="257" t="s">
        <v>440</v>
      </c>
      <c r="L706" s="257" t="s">
        <v>440</v>
      </c>
      <c r="M706" s="257" t="s">
        <v>440</v>
      </c>
      <c r="N706" s="257" t="s">
        <v>440</v>
      </c>
      <c r="O706" s="257" t="s">
        <v>440</v>
      </c>
      <c r="P706" s="257" t="s">
        <v>440</v>
      </c>
      <c r="Q706" s="257" t="s">
        <v>440</v>
      </c>
      <c r="R706" s="257" t="s">
        <v>440</v>
      </c>
      <c r="S706" s="257" t="s">
        <v>440</v>
      </c>
      <c r="T706" s="257" t="s">
        <v>440</v>
      </c>
      <c r="U706" s="257" t="s">
        <v>440</v>
      </c>
      <c r="V706" s="257" t="s">
        <v>440</v>
      </c>
      <c r="W706" s="257" t="s">
        <v>440</v>
      </c>
      <c r="X706" s="257" t="s">
        <v>440</v>
      </c>
      <c r="Y706" s="257" t="s">
        <v>440</v>
      </c>
    </row>
    <row r="707" spans="1:26" x14ac:dyDescent="0.25">
      <c r="A707" s="253" t="s">
        <v>520</v>
      </c>
      <c r="B707" s="254"/>
      <c r="C707" s="254"/>
      <c r="D707" s="254"/>
      <c r="E707" s="254"/>
      <c r="F707" s="254"/>
      <c r="G707" s="254"/>
      <c r="H707" s="254"/>
      <c r="I707" s="254"/>
      <c r="J707" s="254"/>
      <c r="K707" s="254"/>
      <c r="L707" s="254"/>
      <c r="M707" s="254"/>
      <c r="N707" s="254"/>
      <c r="O707" s="254"/>
      <c r="P707" s="254"/>
      <c r="Q707" s="254"/>
      <c r="R707" s="254"/>
      <c r="S707" s="254"/>
      <c r="T707" s="254"/>
      <c r="U707" s="254"/>
      <c r="V707" s="254"/>
      <c r="W707" s="254"/>
      <c r="X707" s="254"/>
      <c r="Y707" s="254"/>
    </row>
    <row r="708" spans="1:26" x14ac:dyDescent="0.25">
      <c r="A708" s="253" t="s">
        <v>521</v>
      </c>
      <c r="B708" s="254"/>
      <c r="C708" s="254"/>
      <c r="D708" s="254"/>
      <c r="E708" s="254"/>
      <c r="F708" s="254"/>
      <c r="G708" s="254"/>
      <c r="H708" s="254"/>
      <c r="I708" s="254"/>
      <c r="J708" s="254"/>
      <c r="K708" s="254"/>
      <c r="L708" s="254"/>
      <c r="M708" s="254"/>
      <c r="N708" s="254"/>
      <c r="O708" s="254"/>
      <c r="P708" s="254"/>
      <c r="Q708" s="254"/>
      <c r="R708" s="254"/>
      <c r="S708" s="254"/>
      <c r="T708" s="254"/>
      <c r="U708" s="254"/>
      <c r="V708" s="254"/>
      <c r="W708" s="254"/>
      <c r="X708" s="254"/>
      <c r="Y708" s="254"/>
    </row>
    <row r="709" spans="1:26" x14ac:dyDescent="0.25">
      <c r="A709" s="253" t="s">
        <v>522</v>
      </c>
      <c r="B709" s="254"/>
      <c r="C709" s="254"/>
      <c r="D709" s="254"/>
      <c r="E709" s="254"/>
      <c r="F709" s="254"/>
      <c r="G709" s="254"/>
      <c r="H709" s="254"/>
      <c r="I709" s="254"/>
      <c r="J709" s="254"/>
      <c r="K709" s="254"/>
      <c r="L709" s="254"/>
      <c r="M709" s="254"/>
      <c r="N709" s="254"/>
      <c r="O709" s="254"/>
      <c r="P709" s="254"/>
      <c r="Q709" s="254"/>
      <c r="R709" s="254"/>
      <c r="S709" s="254"/>
      <c r="T709" s="254"/>
      <c r="U709" s="254"/>
      <c r="V709" s="254"/>
      <c r="W709" s="254"/>
      <c r="X709" s="254"/>
      <c r="Y709" s="254"/>
    </row>
    <row r="710" spans="1:26" x14ac:dyDescent="0.25">
      <c r="A710" s="253" t="s">
        <v>523</v>
      </c>
      <c r="B710" s="254"/>
      <c r="C710" s="254"/>
      <c r="D710" s="254"/>
      <c r="E710" s="254"/>
      <c r="F710" s="254"/>
      <c r="G710" s="254"/>
      <c r="H710" s="254"/>
      <c r="I710" s="254"/>
      <c r="J710" s="254"/>
      <c r="K710" s="254"/>
      <c r="L710" s="254"/>
      <c r="M710" s="254"/>
      <c r="N710" s="254"/>
      <c r="O710" s="254"/>
      <c r="P710" s="254"/>
      <c r="Q710" s="254"/>
      <c r="R710" s="254"/>
      <c r="S710" s="254"/>
      <c r="T710" s="254"/>
      <c r="U710" s="254"/>
      <c r="V710" s="254"/>
      <c r="W710" s="254"/>
      <c r="X710" s="254"/>
      <c r="Y710" s="254"/>
    </row>
    <row r="711" spans="1:26" x14ac:dyDescent="0.25">
      <c r="A711" s="253" t="s">
        <v>524</v>
      </c>
      <c r="B711" s="254"/>
      <c r="C711" s="254"/>
      <c r="D711" s="254"/>
      <c r="E711" s="254"/>
      <c r="F711" s="254"/>
      <c r="G711" s="254"/>
      <c r="H711" s="254"/>
      <c r="I711" s="254"/>
      <c r="J711" s="254"/>
      <c r="K711" s="254"/>
      <c r="L711" s="254"/>
      <c r="M711" s="254"/>
      <c r="N711" s="254"/>
      <c r="O711" s="254"/>
      <c r="P711" s="254"/>
      <c r="Q711" s="254"/>
      <c r="R711" s="254"/>
      <c r="S711" s="254"/>
      <c r="T711" s="254"/>
      <c r="U711" s="254"/>
      <c r="V711" s="254"/>
      <c r="W711" s="254"/>
      <c r="X711" s="254"/>
      <c r="Y711" s="254"/>
    </row>
    <row r="712" spans="1:26" x14ac:dyDescent="0.25">
      <c r="A712" s="253" t="s">
        <v>525</v>
      </c>
      <c r="B712" s="254"/>
      <c r="C712" s="254"/>
      <c r="D712" s="254"/>
      <c r="E712" s="254"/>
      <c r="F712" s="254"/>
      <c r="G712" s="254"/>
      <c r="H712" s="254"/>
      <c r="I712" s="254"/>
      <c r="J712" s="254"/>
      <c r="K712" s="254"/>
      <c r="L712" s="254"/>
      <c r="M712" s="254"/>
      <c r="N712" s="254"/>
      <c r="O712" s="254"/>
      <c r="P712" s="254"/>
      <c r="Q712" s="254"/>
      <c r="R712" s="254"/>
      <c r="S712" s="254"/>
      <c r="T712" s="254"/>
      <c r="U712" s="254"/>
      <c r="V712" s="254"/>
      <c r="W712" s="254"/>
      <c r="X712" s="254"/>
      <c r="Y712" s="254"/>
    </row>
    <row r="713" spans="1:26" x14ac:dyDescent="0.25">
      <c r="A713" s="253" t="s">
        <v>526</v>
      </c>
      <c r="B713" s="254"/>
      <c r="C713" s="254"/>
      <c r="D713" s="254"/>
      <c r="E713" s="254"/>
      <c r="F713" s="254"/>
      <c r="G713" s="254"/>
      <c r="H713" s="254"/>
      <c r="I713" s="254"/>
      <c r="J713" s="254"/>
      <c r="K713" s="254"/>
      <c r="L713" s="254"/>
      <c r="M713" s="254"/>
      <c r="N713" s="254"/>
      <c r="O713" s="254"/>
      <c r="P713" s="254"/>
      <c r="Q713" s="254"/>
      <c r="R713" s="254"/>
      <c r="S713" s="254"/>
      <c r="T713" s="254"/>
      <c r="U713" s="254"/>
      <c r="V713" s="254"/>
      <c r="W713" s="254"/>
      <c r="X713" s="254"/>
      <c r="Y713" s="254"/>
    </row>
    <row r="714" spans="1:26" x14ac:dyDescent="0.25">
      <c r="A714" s="253" t="s">
        <v>527</v>
      </c>
      <c r="B714" s="254"/>
      <c r="C714" s="254"/>
      <c r="D714" s="254"/>
      <c r="E714" s="254"/>
      <c r="F714" s="254"/>
      <c r="G714" s="254"/>
      <c r="H714" s="254"/>
      <c r="I714" s="254"/>
      <c r="J714" s="254"/>
      <c r="K714" s="254"/>
      <c r="L714" s="254"/>
      <c r="M714" s="254"/>
      <c r="N714" s="254"/>
      <c r="O714" s="254"/>
      <c r="P714" s="254"/>
      <c r="Q714" s="254"/>
      <c r="R714" s="254"/>
      <c r="S714" s="254"/>
      <c r="T714" s="254"/>
      <c r="U714" s="254"/>
      <c r="V714" s="254"/>
      <c r="W714" s="254"/>
      <c r="X714" s="254"/>
      <c r="Y714" s="254"/>
    </row>
    <row r="715" spans="1:26" x14ac:dyDescent="0.25">
      <c r="A715" s="253" t="s">
        <v>532</v>
      </c>
      <c r="B715" s="254"/>
      <c r="C715" s="254"/>
      <c r="D715" s="254"/>
      <c r="E715" s="254"/>
      <c r="F715" s="254"/>
      <c r="G715" s="254"/>
      <c r="H715" s="254"/>
      <c r="I715" s="254"/>
      <c r="J715" s="254"/>
      <c r="K715" s="254"/>
      <c r="L715" s="254"/>
      <c r="M715" s="254"/>
      <c r="N715" s="254"/>
      <c r="O715" s="254"/>
      <c r="P715" s="254"/>
      <c r="Q715" s="254"/>
      <c r="R715" s="254"/>
      <c r="S715" s="254"/>
      <c r="T715" s="254"/>
      <c r="U715" s="254"/>
      <c r="V715" s="254"/>
      <c r="W715" s="254"/>
      <c r="X715" s="254"/>
      <c r="Y715" s="254"/>
    </row>
    <row r="716" spans="1:26" x14ac:dyDescent="0.25">
      <c r="A716" s="253" t="s">
        <v>542</v>
      </c>
      <c r="B716" s="254"/>
      <c r="C716" s="254"/>
      <c r="D716" s="254"/>
      <c r="E716" s="254"/>
      <c r="F716" s="254"/>
      <c r="G716" s="254"/>
      <c r="H716" s="254"/>
      <c r="I716" s="254"/>
      <c r="J716" s="254"/>
      <c r="K716" s="254"/>
      <c r="L716" s="254"/>
      <c r="M716" s="254"/>
      <c r="N716" s="254"/>
      <c r="O716" s="254"/>
      <c r="P716" s="254"/>
      <c r="Q716" s="254"/>
      <c r="R716" s="254"/>
      <c r="S716" s="254"/>
      <c r="T716" s="254"/>
      <c r="U716" s="254"/>
      <c r="V716" s="254"/>
      <c r="W716" s="254"/>
      <c r="X716" s="254"/>
      <c r="Y716" s="254"/>
    </row>
    <row r="717" spans="1:26" x14ac:dyDescent="0.25">
      <c r="A717" s="253" t="s">
        <v>543</v>
      </c>
      <c r="B717" s="254"/>
      <c r="C717" s="254"/>
      <c r="D717" s="254"/>
      <c r="E717" s="254"/>
      <c r="F717" s="254"/>
      <c r="G717" s="254"/>
      <c r="H717" s="254"/>
      <c r="I717" s="254"/>
      <c r="J717" s="254"/>
      <c r="K717" s="254"/>
      <c r="L717" s="254"/>
      <c r="M717" s="254"/>
      <c r="N717" s="254"/>
      <c r="O717" s="254"/>
      <c r="P717" s="254"/>
      <c r="Q717" s="254"/>
      <c r="R717" s="254"/>
      <c r="S717" s="254"/>
      <c r="T717" s="254"/>
      <c r="U717" s="254"/>
      <c r="V717" s="254"/>
      <c r="W717" s="254"/>
      <c r="X717" s="254"/>
      <c r="Y717" s="254"/>
    </row>
    <row r="718" spans="1:26" x14ac:dyDescent="0.25">
      <c r="A718" s="253" t="s">
        <v>544</v>
      </c>
      <c r="B718" s="254"/>
      <c r="C718" s="254"/>
      <c r="D718" s="254"/>
      <c r="E718" s="254"/>
      <c r="F718" s="254"/>
      <c r="G718" s="254"/>
      <c r="H718" s="254"/>
      <c r="I718" s="254"/>
      <c r="J718" s="254"/>
      <c r="K718" s="254"/>
      <c r="L718" s="254"/>
      <c r="M718" s="254"/>
      <c r="N718" s="254"/>
      <c r="O718" s="254"/>
      <c r="P718" s="254"/>
      <c r="Q718" s="254"/>
      <c r="R718" s="254"/>
      <c r="S718" s="254"/>
      <c r="T718" s="254"/>
      <c r="U718" s="254"/>
      <c r="V718" s="254"/>
      <c r="W718" s="254"/>
      <c r="X718" s="254"/>
      <c r="Y718" s="254"/>
    </row>
    <row r="719" spans="1:26" x14ac:dyDescent="0.25">
      <c r="A719" s="253" t="s">
        <v>545</v>
      </c>
      <c r="B719" s="254"/>
      <c r="C719" s="254"/>
      <c r="D719" s="254"/>
      <c r="E719" s="254"/>
      <c r="F719" s="254"/>
      <c r="G719" s="254"/>
      <c r="H719" s="254"/>
      <c r="I719" s="254"/>
      <c r="J719" s="254"/>
      <c r="K719" s="254"/>
      <c r="L719" s="254"/>
      <c r="M719" s="254"/>
      <c r="N719" s="254"/>
      <c r="O719" s="254"/>
      <c r="P719" s="254"/>
      <c r="Q719" s="254"/>
      <c r="R719" s="254"/>
      <c r="S719" s="254"/>
      <c r="T719" s="254"/>
      <c r="U719" s="254"/>
      <c r="V719" s="254"/>
      <c r="W719" s="254"/>
      <c r="X719" s="254"/>
      <c r="Y719" s="254"/>
    </row>
    <row r="720" spans="1:26" x14ac:dyDescent="0.25">
      <c r="A720" s="253" t="s">
        <v>546</v>
      </c>
      <c r="B720" s="254"/>
      <c r="C720" s="254"/>
      <c r="D720" s="254"/>
      <c r="E720" s="254"/>
      <c r="F720" s="254"/>
      <c r="G720" s="254"/>
      <c r="H720" s="254"/>
      <c r="I720" s="254"/>
      <c r="J720" s="254"/>
      <c r="K720" s="254"/>
      <c r="L720" s="254"/>
      <c r="M720" s="254"/>
      <c r="N720" s="254"/>
      <c r="O720" s="254"/>
      <c r="P720" s="254"/>
      <c r="Q720" s="254"/>
      <c r="R720" s="254"/>
      <c r="S720" s="254"/>
      <c r="T720" s="254"/>
      <c r="U720" s="254"/>
      <c r="V720" s="254"/>
      <c r="W720" s="254"/>
      <c r="X720" s="254"/>
      <c r="Y720" s="254"/>
    </row>
    <row r="721" spans="1:25" x14ac:dyDescent="0.25">
      <c r="A721" s="253" t="s">
        <v>547</v>
      </c>
      <c r="B721" s="254"/>
      <c r="C721" s="254"/>
      <c r="D721" s="254"/>
      <c r="E721" s="254"/>
      <c r="F721" s="254"/>
      <c r="G721" s="254"/>
      <c r="H721" s="254"/>
      <c r="I721" s="254"/>
      <c r="J721" s="254"/>
      <c r="K721" s="254"/>
      <c r="L721" s="254"/>
      <c r="M721" s="254"/>
      <c r="N721" s="254"/>
      <c r="O721" s="254"/>
      <c r="P721" s="254"/>
      <c r="Q721" s="254"/>
      <c r="R721" s="254"/>
      <c r="S721" s="254"/>
      <c r="T721" s="254"/>
      <c r="U721" s="254"/>
      <c r="V721" s="254"/>
      <c r="W721" s="254"/>
      <c r="X721" s="254"/>
      <c r="Y721" s="254"/>
    </row>
    <row r="722" spans="1:25" x14ac:dyDescent="0.25">
      <c r="A722" s="253" t="s">
        <v>548</v>
      </c>
      <c r="B722" s="254"/>
      <c r="C722" s="254"/>
      <c r="D722" s="254"/>
      <c r="E722" s="254"/>
      <c r="F722" s="254"/>
      <c r="G722" s="254"/>
      <c r="H722" s="254"/>
      <c r="I722" s="254"/>
      <c r="J722" s="254"/>
      <c r="K722" s="254"/>
      <c r="L722" s="254"/>
      <c r="M722" s="254"/>
      <c r="N722" s="254"/>
      <c r="O722" s="254"/>
      <c r="P722" s="254"/>
      <c r="Q722" s="254"/>
      <c r="R722" s="254"/>
      <c r="S722" s="254"/>
      <c r="T722" s="254"/>
      <c r="U722" s="254"/>
      <c r="V722" s="254"/>
      <c r="W722" s="254"/>
      <c r="X722" s="254"/>
      <c r="Y722" s="254"/>
    </row>
    <row r="723" spans="1:25" x14ac:dyDescent="0.25">
      <c r="A723" s="253" t="s">
        <v>552</v>
      </c>
      <c r="B723" s="254"/>
      <c r="C723" s="254"/>
      <c r="D723" s="254"/>
      <c r="E723" s="254"/>
      <c r="F723" s="254"/>
      <c r="G723" s="254"/>
      <c r="H723" s="254"/>
      <c r="I723" s="254"/>
      <c r="J723" s="254"/>
      <c r="K723" s="254"/>
      <c r="L723" s="254"/>
      <c r="M723" s="254"/>
      <c r="N723" s="254"/>
      <c r="O723" s="254"/>
      <c r="P723" s="254"/>
      <c r="Q723" s="254"/>
      <c r="R723" s="254"/>
      <c r="S723" s="254"/>
      <c r="T723" s="254"/>
      <c r="U723" s="254"/>
      <c r="V723" s="254"/>
      <c r="W723" s="254"/>
      <c r="X723" s="254"/>
      <c r="Y723" s="254"/>
    </row>
    <row r="724" spans="1:25" x14ac:dyDescent="0.25">
      <c r="A724" s="253" t="s">
        <v>553</v>
      </c>
      <c r="B724" s="254"/>
      <c r="C724" s="254"/>
      <c r="D724" s="254"/>
      <c r="E724" s="254"/>
      <c r="F724" s="254"/>
      <c r="G724" s="254"/>
      <c r="H724" s="254"/>
      <c r="I724" s="254"/>
      <c r="J724" s="254"/>
      <c r="K724" s="254"/>
      <c r="L724" s="254"/>
      <c r="M724" s="254"/>
      <c r="N724" s="254"/>
      <c r="O724" s="254"/>
      <c r="P724" s="254"/>
      <c r="Q724" s="254"/>
      <c r="R724" s="254"/>
      <c r="S724" s="254"/>
      <c r="T724" s="254"/>
      <c r="U724" s="254"/>
      <c r="V724" s="254"/>
      <c r="W724" s="254"/>
      <c r="X724" s="254"/>
      <c r="Y724" s="254"/>
    </row>
    <row r="725" spans="1:25" x14ac:dyDescent="0.25">
      <c r="A725" s="253" t="s">
        <v>554</v>
      </c>
      <c r="B725" s="254"/>
      <c r="C725" s="254"/>
      <c r="D725" s="254"/>
      <c r="E725" s="254"/>
      <c r="F725" s="254"/>
      <c r="G725" s="254"/>
      <c r="H725" s="254"/>
      <c r="I725" s="254"/>
      <c r="J725" s="254"/>
      <c r="K725" s="254"/>
      <c r="L725" s="254"/>
      <c r="M725" s="254"/>
      <c r="N725" s="254"/>
      <c r="O725" s="254"/>
      <c r="P725" s="254"/>
      <c r="Q725" s="254"/>
      <c r="R725" s="254"/>
      <c r="S725" s="254"/>
      <c r="T725" s="254"/>
      <c r="U725" s="254"/>
      <c r="V725" s="254"/>
      <c r="W725" s="254"/>
      <c r="X725" s="254"/>
      <c r="Y725" s="254"/>
    </row>
    <row r="726" spans="1:25" x14ac:dyDescent="0.25">
      <c r="A726" s="253" t="s">
        <v>555</v>
      </c>
      <c r="B726" s="254"/>
      <c r="C726" s="254"/>
      <c r="D726" s="254"/>
      <c r="E726" s="254"/>
      <c r="F726" s="254"/>
      <c r="G726" s="254"/>
      <c r="H726" s="254"/>
      <c r="I726" s="254"/>
      <c r="J726" s="254"/>
      <c r="K726" s="254"/>
      <c r="L726" s="254"/>
      <c r="M726" s="254"/>
      <c r="N726" s="254"/>
      <c r="O726" s="254"/>
      <c r="P726" s="254"/>
      <c r="Q726" s="254"/>
      <c r="R726" s="254"/>
      <c r="S726" s="254"/>
      <c r="T726" s="254"/>
      <c r="U726" s="254"/>
      <c r="V726" s="254"/>
      <c r="W726" s="254"/>
      <c r="X726" s="254"/>
      <c r="Y726" s="254"/>
    </row>
    <row r="727" spans="1:25" x14ac:dyDescent="0.25">
      <c r="A727" s="253" t="s">
        <v>556</v>
      </c>
      <c r="B727" s="254"/>
      <c r="C727" s="254"/>
      <c r="D727" s="254"/>
      <c r="E727" s="254"/>
      <c r="F727" s="254"/>
      <c r="G727" s="254"/>
      <c r="H727" s="254"/>
      <c r="I727" s="254"/>
      <c r="J727" s="254"/>
      <c r="K727" s="254"/>
      <c r="L727" s="254"/>
      <c r="M727" s="254"/>
      <c r="N727" s="254"/>
      <c r="O727" s="254"/>
      <c r="P727" s="254"/>
      <c r="Q727" s="254"/>
      <c r="R727" s="254"/>
      <c r="S727" s="254"/>
      <c r="T727" s="254"/>
      <c r="U727" s="254"/>
      <c r="V727" s="254"/>
      <c r="W727" s="254"/>
      <c r="X727" s="254"/>
      <c r="Y727" s="254"/>
    </row>
    <row r="728" spans="1:25" x14ac:dyDescent="0.25">
      <c r="A728" s="253" t="s">
        <v>557</v>
      </c>
      <c r="B728" s="254"/>
      <c r="C728" s="254"/>
      <c r="D728" s="254"/>
      <c r="E728" s="254"/>
      <c r="F728" s="254"/>
      <c r="G728" s="254"/>
      <c r="H728" s="254"/>
      <c r="I728" s="254"/>
      <c r="J728" s="254"/>
      <c r="K728" s="254"/>
      <c r="L728" s="254"/>
      <c r="M728" s="254"/>
      <c r="N728" s="254"/>
      <c r="O728" s="254"/>
      <c r="P728" s="254"/>
      <c r="Q728" s="254"/>
      <c r="R728" s="254"/>
      <c r="S728" s="254"/>
      <c r="T728" s="254"/>
      <c r="U728" s="254"/>
      <c r="V728" s="254"/>
      <c r="W728" s="254"/>
      <c r="X728" s="254"/>
      <c r="Y728" s="254"/>
    </row>
    <row r="729" spans="1:25" x14ac:dyDescent="0.25">
      <c r="A729" s="253" t="s">
        <v>558</v>
      </c>
      <c r="B729" s="254"/>
      <c r="C729" s="254"/>
      <c r="D729" s="254"/>
      <c r="E729" s="254"/>
      <c r="F729" s="254"/>
      <c r="G729" s="254"/>
      <c r="H729" s="254"/>
      <c r="I729" s="254"/>
      <c r="J729" s="254"/>
      <c r="K729" s="254"/>
      <c r="L729" s="254"/>
      <c r="M729" s="254"/>
      <c r="N729" s="254"/>
      <c r="O729" s="254"/>
      <c r="P729" s="254"/>
      <c r="Q729" s="254"/>
      <c r="R729" s="254"/>
      <c r="S729" s="254"/>
      <c r="T729" s="254"/>
      <c r="U729" s="254"/>
      <c r="V729" s="254"/>
      <c r="W729" s="254"/>
      <c r="X729" s="254"/>
      <c r="Y729" s="254"/>
    </row>
    <row r="730" spans="1:25" x14ac:dyDescent="0.25">
      <c r="A730" s="253" t="s">
        <v>559</v>
      </c>
      <c r="B730" s="254"/>
      <c r="C730" s="254"/>
      <c r="D730" s="254"/>
      <c r="E730" s="254"/>
      <c r="F730" s="254"/>
      <c r="G730" s="254"/>
      <c r="H730" s="254"/>
      <c r="I730" s="254"/>
      <c r="J730" s="254"/>
      <c r="K730" s="254"/>
      <c r="L730" s="254"/>
      <c r="M730" s="254"/>
      <c r="N730" s="254"/>
      <c r="O730" s="254"/>
      <c r="P730" s="254"/>
      <c r="Q730" s="254"/>
      <c r="R730" s="254"/>
      <c r="S730" s="254"/>
      <c r="T730" s="254"/>
      <c r="U730" s="254"/>
      <c r="V730" s="254"/>
      <c r="W730" s="254"/>
      <c r="X730" s="254"/>
      <c r="Y730" s="254"/>
    </row>
    <row r="731" spans="1:25" ht="13" thickBot="1" x14ac:dyDescent="0.3">
      <c r="A731" s="258" t="s">
        <v>564</v>
      </c>
      <c r="B731" s="263"/>
      <c r="C731" s="263"/>
      <c r="D731" s="263"/>
      <c r="E731" s="263"/>
      <c r="F731" s="263"/>
      <c r="G731" s="263"/>
      <c r="H731" s="263"/>
      <c r="I731" s="263"/>
      <c r="J731" s="263"/>
      <c r="K731" s="263"/>
      <c r="L731" s="263"/>
      <c r="M731" s="263"/>
      <c r="N731" s="263"/>
      <c r="O731" s="263"/>
      <c r="P731" s="263"/>
      <c r="Q731" s="263"/>
      <c r="R731" s="263"/>
      <c r="S731" s="263"/>
      <c r="T731" s="263"/>
      <c r="U731" s="263"/>
      <c r="V731" s="263"/>
      <c r="W731" s="263"/>
      <c r="X731" s="263"/>
      <c r="Y731" s="263"/>
    </row>
    <row r="732" spans="1:25" x14ac:dyDescent="0.25">
      <c r="A732" s="1655" t="s">
        <v>437</v>
      </c>
      <c r="B732" s="1655"/>
      <c r="C732" s="1655"/>
      <c r="D732" s="1655"/>
      <c r="E732" s="1655"/>
      <c r="F732" s="1655"/>
      <c r="G732" s="1655"/>
      <c r="H732" s="1655"/>
      <c r="I732" s="1655"/>
      <c r="J732" s="1655"/>
      <c r="K732" s="1655"/>
      <c r="L732" s="1655"/>
      <c r="M732" s="1655"/>
      <c r="N732" s="299"/>
      <c r="O732" s="299"/>
      <c r="P732" s="299"/>
      <c r="Q732" s="299"/>
      <c r="R732" s="299"/>
      <c r="S732" s="299"/>
      <c r="T732" s="299"/>
      <c r="U732" s="299"/>
      <c r="V732" s="299"/>
      <c r="W732" s="299"/>
      <c r="X732" s="299"/>
      <c r="Y732" s="299"/>
    </row>
    <row r="733" spans="1:25" x14ac:dyDescent="0.25">
      <c r="A733" s="299" t="s">
        <v>1089</v>
      </c>
      <c r="B733" s="299"/>
      <c r="C733" s="299"/>
      <c r="D733" s="299"/>
      <c r="E733" s="299"/>
      <c r="F733" s="299"/>
      <c r="G733" s="299"/>
      <c r="H733" s="299"/>
      <c r="I733" s="299"/>
      <c r="J733" s="299"/>
      <c r="K733" s="299"/>
      <c r="L733" s="299"/>
      <c r="M733" s="299"/>
      <c r="N733" s="299"/>
      <c r="O733" s="299"/>
      <c r="P733" s="299"/>
      <c r="Q733" s="299"/>
      <c r="R733" s="299"/>
      <c r="S733" s="299"/>
      <c r="T733" s="299"/>
      <c r="U733" s="299"/>
      <c r="V733" s="299"/>
      <c r="W733" s="299"/>
      <c r="X733" s="299"/>
      <c r="Y733" s="299"/>
    </row>
    <row r="736" spans="1:25" ht="13.5" thickBot="1" x14ac:dyDescent="0.35">
      <c r="A736" s="1653" t="s">
        <v>565</v>
      </c>
      <c r="B736" s="1654"/>
      <c r="C736" s="1654"/>
      <c r="D736" s="264"/>
      <c r="E736" s="264"/>
      <c r="F736" s="264"/>
      <c r="G736" s="264"/>
      <c r="H736" s="264"/>
      <c r="I736" s="264"/>
      <c r="J736" s="264"/>
    </row>
    <row r="737" spans="1:10" ht="50.5" thickTop="1" x14ac:dyDescent="0.25">
      <c r="A737" s="265"/>
      <c r="B737" s="266" t="s">
        <v>566</v>
      </c>
      <c r="C737" s="266" t="s">
        <v>567</v>
      </c>
      <c r="D737" s="266" t="s">
        <v>568</v>
      </c>
      <c r="E737" s="266" t="s">
        <v>590</v>
      </c>
      <c r="F737" s="267"/>
      <c r="G737" s="267"/>
      <c r="H737" s="267"/>
      <c r="I737" s="267"/>
      <c r="J737" s="268"/>
    </row>
    <row r="738" spans="1:10" x14ac:dyDescent="0.25">
      <c r="A738" s="269"/>
      <c r="B738" s="270"/>
      <c r="C738" s="270"/>
      <c r="D738" s="270"/>
      <c r="E738" s="270"/>
      <c r="F738" s="270"/>
      <c r="G738" s="270"/>
      <c r="H738" s="270"/>
      <c r="I738" s="270"/>
      <c r="J738" s="271"/>
    </row>
    <row r="739" spans="1:10" x14ac:dyDescent="0.25">
      <c r="A739" s="269"/>
      <c r="B739" s="270"/>
      <c r="C739" s="270"/>
      <c r="D739" s="270"/>
      <c r="E739" s="270"/>
      <c r="F739" s="270"/>
      <c r="G739" s="270"/>
      <c r="H739" s="270"/>
      <c r="I739" s="270"/>
      <c r="J739" s="271"/>
    </row>
    <row r="740" spans="1:10" x14ac:dyDescent="0.25">
      <c r="A740" s="269" t="s">
        <v>569</v>
      </c>
      <c r="B740" s="281">
        <v>1.0439774739816527</v>
      </c>
      <c r="C740" s="281">
        <v>1.0284486209328481</v>
      </c>
      <c r="D740" s="281">
        <v>1.0094828736442827</v>
      </c>
      <c r="E740" s="281">
        <f t="shared" ref="E740:E747" si="82">F752/E752</f>
        <v>1.0704312355553662</v>
      </c>
      <c r="F740" s="270"/>
      <c r="G740" s="270"/>
      <c r="H740" s="270"/>
      <c r="I740" s="270"/>
      <c r="J740" s="271"/>
    </row>
    <row r="741" spans="1:10" x14ac:dyDescent="0.25">
      <c r="A741" s="269" t="s">
        <v>570</v>
      </c>
      <c r="B741" s="270">
        <v>1.2097805877102306</v>
      </c>
      <c r="C741" s="270">
        <v>1.1729343042703535</v>
      </c>
      <c r="D741" s="270">
        <v>1.0576447680901178</v>
      </c>
      <c r="E741" s="270">
        <f t="shared" si="82"/>
        <v>1.1340871534488071</v>
      </c>
      <c r="F741" s="270"/>
      <c r="G741" s="270"/>
      <c r="H741" s="270"/>
      <c r="I741" s="270"/>
      <c r="J741" s="271"/>
    </row>
    <row r="742" spans="1:10" x14ac:dyDescent="0.25">
      <c r="A742" s="269" t="s">
        <v>571</v>
      </c>
      <c r="B742" s="277">
        <v>1.1697889782905726</v>
      </c>
      <c r="C742" s="277">
        <v>1.1485262991479412</v>
      </c>
      <c r="D742" s="277">
        <v>1.049508766382647</v>
      </c>
      <c r="E742" s="277">
        <f t="shared" si="82"/>
        <v>1.1040561955262993</v>
      </c>
      <c r="F742" s="270"/>
      <c r="G742" s="270"/>
      <c r="H742" s="270"/>
      <c r="I742" s="270"/>
      <c r="J742" s="271"/>
    </row>
    <row r="743" spans="1:10" x14ac:dyDescent="0.25">
      <c r="A743" s="269" t="s">
        <v>572</v>
      </c>
      <c r="B743" s="270">
        <v>1.1587647303602575</v>
      </c>
      <c r="C743" s="270">
        <v>1.0854096786599328</v>
      </c>
      <c r="D743" s="270">
        <v>1.0284698928866443</v>
      </c>
      <c r="E743" s="270">
        <f t="shared" si="82"/>
        <v>1.363594657351775</v>
      </c>
      <c r="F743" s="270"/>
      <c r="G743" s="270"/>
      <c r="H743" s="270"/>
      <c r="I743" s="270"/>
      <c r="J743" s="271"/>
    </row>
    <row r="744" spans="1:10" x14ac:dyDescent="0.25">
      <c r="A744" s="269" t="s">
        <v>573</v>
      </c>
      <c r="B744" s="283">
        <v>1.1587647303602575</v>
      </c>
      <c r="C744" s="283">
        <v>1.0854096786599328</v>
      </c>
      <c r="D744" s="283">
        <v>1.0284698928866443</v>
      </c>
      <c r="E744" s="283">
        <f t="shared" si="82"/>
        <v>1.3635946573517748</v>
      </c>
      <c r="F744" s="270"/>
      <c r="G744" s="270"/>
      <c r="H744" s="270"/>
      <c r="I744" s="270"/>
      <c r="J744" s="271"/>
    </row>
    <row r="745" spans="1:10" x14ac:dyDescent="0.25">
      <c r="A745" s="269" t="s">
        <v>574</v>
      </c>
      <c r="B745" s="279">
        <v>0.99410318905494366</v>
      </c>
      <c r="C745" s="279">
        <v>1.0095287120834378</v>
      </c>
      <c r="D745" s="279">
        <v>1.0031762373611459</v>
      </c>
      <c r="E745" s="279">
        <f t="shared" si="82"/>
        <v>0.97316968165904427</v>
      </c>
      <c r="F745" s="270"/>
      <c r="G745" s="270"/>
      <c r="H745" s="270"/>
      <c r="I745" s="270"/>
      <c r="J745" s="271"/>
    </row>
    <row r="746" spans="1:10" x14ac:dyDescent="0.25">
      <c r="A746" s="269" t="s">
        <v>575</v>
      </c>
      <c r="B746" s="301">
        <v>1.0099752422488564</v>
      </c>
      <c r="C746" s="301">
        <v>1.0050974522479115</v>
      </c>
      <c r="D746" s="301">
        <v>1.0016991507493038</v>
      </c>
      <c r="E746" s="301">
        <f t="shared" si="82"/>
        <v>0.99922998787640482</v>
      </c>
      <c r="F746" s="270"/>
      <c r="G746" s="270"/>
      <c r="H746" s="270"/>
      <c r="I746" s="270"/>
      <c r="J746" s="271"/>
    </row>
    <row r="747" spans="1:10" x14ac:dyDescent="0.25">
      <c r="A747" s="269" t="s">
        <v>312</v>
      </c>
      <c r="B747" s="285">
        <v>1.0099752422488564</v>
      </c>
      <c r="C747" s="285">
        <v>1.0050974522479115</v>
      </c>
      <c r="D747" s="285">
        <v>1.0016991507493038</v>
      </c>
      <c r="E747" s="285">
        <f t="shared" si="82"/>
        <v>0.99922998787640471</v>
      </c>
      <c r="F747" s="270"/>
      <c r="G747" s="270"/>
      <c r="H747" s="270"/>
      <c r="I747" s="270"/>
      <c r="J747" s="271"/>
    </row>
    <row r="748" spans="1:10" x14ac:dyDescent="0.25">
      <c r="A748" s="269"/>
      <c r="B748" s="270"/>
      <c r="C748" s="270"/>
      <c r="D748" s="270"/>
      <c r="E748" s="270"/>
      <c r="F748" s="270"/>
      <c r="G748" s="270"/>
      <c r="H748" s="270"/>
      <c r="I748" s="270"/>
      <c r="J748" s="271"/>
    </row>
    <row r="749" spans="1:10" x14ac:dyDescent="0.25">
      <c r="A749" s="269"/>
      <c r="B749" s="270"/>
      <c r="C749" s="270"/>
      <c r="D749" s="270"/>
      <c r="E749" s="1652" t="s">
        <v>576</v>
      </c>
      <c r="F749" s="1652"/>
      <c r="G749" s="1652"/>
      <c r="H749" s="1652"/>
      <c r="I749" s="1652"/>
      <c r="J749" s="272"/>
    </row>
    <row r="750" spans="1:10" x14ac:dyDescent="0.25">
      <c r="A750" s="269" t="s">
        <v>577</v>
      </c>
      <c r="B750" s="270"/>
      <c r="C750" s="270" t="s">
        <v>578</v>
      </c>
      <c r="D750" s="270" t="s">
        <v>578</v>
      </c>
      <c r="E750" s="270"/>
      <c r="F750" s="270"/>
      <c r="G750" s="270"/>
      <c r="H750" s="270"/>
      <c r="I750" s="270"/>
      <c r="J750" s="271"/>
    </row>
    <row r="751" spans="1:10" x14ac:dyDescent="0.25">
      <c r="A751" s="269"/>
      <c r="B751" s="270" t="s">
        <v>1049</v>
      </c>
      <c r="C751" s="270">
        <v>2000</v>
      </c>
      <c r="D751" s="270">
        <v>2005</v>
      </c>
      <c r="E751" s="270">
        <v>2020</v>
      </c>
      <c r="F751" s="270">
        <v>2035</v>
      </c>
      <c r="G751" s="270">
        <v>2050</v>
      </c>
      <c r="H751" s="270">
        <v>2065</v>
      </c>
      <c r="I751" s="270">
        <v>2080</v>
      </c>
      <c r="J751" s="271"/>
    </row>
    <row r="752" spans="1:10" x14ac:dyDescent="0.25">
      <c r="A752" s="269" t="s">
        <v>569</v>
      </c>
      <c r="B752" s="270" t="s">
        <v>579</v>
      </c>
      <c r="C752" s="270">
        <v>25.276500000000002</v>
      </c>
      <c r="D752" s="270">
        <v>25.071000000000002</v>
      </c>
      <c r="E752" s="270">
        <v>24.427484559</v>
      </c>
      <c r="F752" s="270">
        <v>26.147942478000001</v>
      </c>
      <c r="G752" s="270">
        <v>27.297862937999998</v>
      </c>
      <c r="H752" s="270">
        <v>28.074449492999999</v>
      </c>
      <c r="I752" s="270">
        <v>29.9967939</v>
      </c>
      <c r="J752" s="271"/>
    </row>
    <row r="753" spans="1:10" x14ac:dyDescent="0.25">
      <c r="A753" s="269" t="s">
        <v>570</v>
      </c>
      <c r="B753" s="270" t="s">
        <v>580</v>
      </c>
      <c r="C753" s="270">
        <v>3.83</v>
      </c>
      <c r="D753" s="270">
        <v>2.88</v>
      </c>
      <c r="E753" s="270">
        <v>3.1020351176470586</v>
      </c>
      <c r="F753" s="270">
        <v>3.5179781764705877</v>
      </c>
      <c r="G753" s="270">
        <v>4.2559817058823528</v>
      </c>
      <c r="H753" s="270">
        <v>4.9919869411764699</v>
      </c>
      <c r="I753" s="270">
        <v>5.7211905294117642</v>
      </c>
      <c r="J753" s="271"/>
    </row>
    <row r="754" spans="1:10" x14ac:dyDescent="0.25">
      <c r="A754" s="269" t="s">
        <v>571</v>
      </c>
      <c r="B754" s="270" t="s">
        <v>580</v>
      </c>
      <c r="C754" s="270">
        <v>4.333333333333333</v>
      </c>
      <c r="D754" s="270">
        <v>3.2058823529411766</v>
      </c>
      <c r="E754" s="270">
        <v>4.0727964705882354</v>
      </c>
      <c r="F754" s="270">
        <v>4.4965961764705868</v>
      </c>
      <c r="G754" s="270">
        <v>5.2600686470588229</v>
      </c>
      <c r="H754" s="270">
        <v>6.0413271764705883</v>
      </c>
      <c r="I754" s="270">
        <v>6.8262844117647052</v>
      </c>
      <c r="J754" s="271"/>
    </row>
    <row r="755" spans="1:10" x14ac:dyDescent="0.25">
      <c r="A755" s="269" t="s">
        <v>572</v>
      </c>
      <c r="B755" s="270" t="s">
        <v>581</v>
      </c>
      <c r="C755" s="270">
        <v>28.35</v>
      </c>
      <c r="D755" s="270">
        <v>23.27</v>
      </c>
      <c r="E755" s="270">
        <v>17.294973600000002</v>
      </c>
      <c r="F755" s="270">
        <v>23.583333599999996</v>
      </c>
      <c r="G755" s="270">
        <v>27.327535199999996</v>
      </c>
      <c r="H755" s="270">
        <v>29.661571199999997</v>
      </c>
      <c r="I755" s="270"/>
      <c r="J755" s="271"/>
    </row>
    <row r="756" spans="1:10" x14ac:dyDescent="0.25">
      <c r="A756" s="269" t="s">
        <v>573</v>
      </c>
      <c r="B756" s="270" t="s">
        <v>582</v>
      </c>
      <c r="C756" s="270">
        <v>1.5176666666666667</v>
      </c>
      <c r="D756" s="270">
        <v>1.2925714285714285</v>
      </c>
      <c r="E756" s="270">
        <v>0.93587519480519499</v>
      </c>
      <c r="F756" s="270">
        <v>1.2761544155844153</v>
      </c>
      <c r="G756" s="270">
        <v>1.4787627272727271</v>
      </c>
      <c r="H756" s="270">
        <v>1.6050633766233764</v>
      </c>
      <c r="I756" s="270"/>
      <c r="J756" s="271"/>
    </row>
    <row r="757" spans="1:10" x14ac:dyDescent="0.25">
      <c r="A757" s="269" t="s">
        <v>574</v>
      </c>
      <c r="B757" s="270" t="s">
        <v>583</v>
      </c>
      <c r="C757" s="270">
        <v>6.9</v>
      </c>
      <c r="D757" s="270">
        <v>6.4</v>
      </c>
      <c r="E757" s="270">
        <v>6.9130361604720001</v>
      </c>
      <c r="F757" s="270">
        <v>6.7275571995839982</v>
      </c>
      <c r="G757" s="270">
        <v>6.6878860666559987</v>
      </c>
      <c r="H757" s="270">
        <v>6.7516130074319989</v>
      </c>
      <c r="I757" s="270">
        <v>6.8294477356799987</v>
      </c>
      <c r="J757" s="271"/>
    </row>
    <row r="758" spans="1:10" x14ac:dyDescent="0.25">
      <c r="A758" s="269" t="s">
        <v>575</v>
      </c>
      <c r="B758" s="270" t="s">
        <v>584</v>
      </c>
      <c r="C758" s="270"/>
      <c r="D758" s="270"/>
      <c r="E758" s="270">
        <v>3.8637053999999993</v>
      </c>
      <c r="F758" s="270">
        <v>3.8607302999999993</v>
      </c>
      <c r="G758" s="270">
        <v>3.8992420199999995</v>
      </c>
      <c r="H758" s="270">
        <v>3.9191182199999997</v>
      </c>
      <c r="I758" s="270">
        <v>4.4580291000000001</v>
      </c>
      <c r="J758" s="271"/>
    </row>
    <row r="759" spans="1:10" x14ac:dyDescent="0.25">
      <c r="A759" s="269" t="s">
        <v>312</v>
      </c>
      <c r="B759" s="270" t="s">
        <v>584</v>
      </c>
      <c r="C759" s="270"/>
      <c r="D759" s="270"/>
      <c r="E759" s="270">
        <v>19.318526999999996</v>
      </c>
      <c r="F759" s="270">
        <v>19.303651499999994</v>
      </c>
      <c r="G759" s="270">
        <v>19.496210099999995</v>
      </c>
      <c r="H759" s="270">
        <v>19.595591099999996</v>
      </c>
      <c r="I759" s="270">
        <v>22.290145499999998</v>
      </c>
      <c r="J759" s="271"/>
    </row>
    <row r="760" spans="1:10" x14ac:dyDescent="0.25">
      <c r="A760" s="269"/>
      <c r="B760" s="270"/>
      <c r="C760" s="270"/>
      <c r="D760" s="270"/>
      <c r="E760" s="270"/>
      <c r="F760" s="270"/>
      <c r="G760" s="270"/>
      <c r="H760" s="270"/>
      <c r="I760" s="270"/>
      <c r="J760" s="271"/>
    </row>
    <row r="761" spans="1:10" ht="37.5" x14ac:dyDescent="0.25">
      <c r="A761" s="273" t="s">
        <v>585</v>
      </c>
      <c r="B761" s="270" t="s">
        <v>579</v>
      </c>
      <c r="C761" s="270"/>
      <c r="D761" s="270"/>
      <c r="E761" s="270">
        <v>76.455732879999985</v>
      </c>
      <c r="F761" s="270">
        <v>76.404561159999986</v>
      </c>
      <c r="G761" s="270">
        <v>77.066962743999994</v>
      </c>
      <c r="H761" s="270">
        <v>77.40883338399999</v>
      </c>
      <c r="I761" s="270">
        <v>86.678100520000001</v>
      </c>
      <c r="J761" s="271"/>
    </row>
    <row r="762" spans="1:10" ht="13" thickBot="1" x14ac:dyDescent="0.3">
      <c r="A762" s="274"/>
      <c r="B762" s="275">
        <v>17.2</v>
      </c>
      <c r="C762" s="275" t="s">
        <v>586</v>
      </c>
      <c r="D762" s="275"/>
      <c r="E762" s="275"/>
      <c r="F762" s="275"/>
      <c r="G762" s="275"/>
      <c r="H762" s="275"/>
      <c r="I762" s="275"/>
      <c r="J762" s="276"/>
    </row>
    <row r="763" spans="1:10" ht="13" thickTop="1" x14ac:dyDescent="0.25"/>
    <row r="764" spans="1:10" x14ac:dyDescent="0.25">
      <c r="A764" s="467" t="s">
        <v>813</v>
      </c>
    </row>
    <row r="765" spans="1:10" x14ac:dyDescent="0.25">
      <c r="A765" t="s">
        <v>807</v>
      </c>
    </row>
    <row r="766" spans="1:10" x14ac:dyDescent="0.25">
      <c r="A766" t="s">
        <v>808</v>
      </c>
    </row>
    <row r="767" spans="1:10" x14ac:dyDescent="0.25">
      <c r="A767" t="s">
        <v>809</v>
      </c>
    </row>
    <row r="769" spans="1:27" x14ac:dyDescent="0.25">
      <c r="A769" t="s">
        <v>447</v>
      </c>
    </row>
    <row r="770" spans="1:27" x14ac:dyDescent="0.25">
      <c r="A770" t="s">
        <v>722</v>
      </c>
    </row>
    <row r="773" spans="1:27" x14ac:dyDescent="0.25">
      <c r="AA773" t="s">
        <v>810</v>
      </c>
    </row>
    <row r="774" spans="1:27" x14ac:dyDescent="0.25">
      <c r="B774" t="s">
        <v>453</v>
      </c>
      <c r="C774" t="s">
        <v>454</v>
      </c>
      <c r="D774" t="s">
        <v>455</v>
      </c>
      <c r="E774" t="s">
        <v>456</v>
      </c>
      <c r="F774" t="s">
        <v>457</v>
      </c>
      <c r="G774" t="s">
        <v>458</v>
      </c>
      <c r="H774" t="s">
        <v>459</v>
      </c>
      <c r="I774" t="s">
        <v>460</v>
      </c>
      <c r="J774" t="s">
        <v>461</v>
      </c>
      <c r="K774" t="s">
        <v>462</v>
      </c>
      <c r="L774" t="s">
        <v>463</v>
      </c>
      <c r="M774" t="s">
        <v>464</v>
      </c>
      <c r="N774" t="s">
        <v>465</v>
      </c>
      <c r="O774" t="s">
        <v>466</v>
      </c>
      <c r="P774" t="s">
        <v>467</v>
      </c>
      <c r="Q774" t="s">
        <v>468</v>
      </c>
      <c r="R774" t="s">
        <v>469</v>
      </c>
      <c r="S774" t="s">
        <v>470</v>
      </c>
      <c r="T774" t="s">
        <v>471</v>
      </c>
      <c r="U774" t="s">
        <v>472</v>
      </c>
      <c r="V774" t="s">
        <v>604</v>
      </c>
      <c r="W774" t="s">
        <v>605</v>
      </c>
      <c r="X774" t="s">
        <v>606</v>
      </c>
      <c r="Y774" t="s">
        <v>607</v>
      </c>
      <c r="Z774" t="s">
        <v>608</v>
      </c>
      <c r="AA774" t="s">
        <v>608</v>
      </c>
    </row>
    <row r="777" spans="1:27" x14ac:dyDescent="0.25">
      <c r="A777" t="s">
        <v>473</v>
      </c>
    </row>
    <row r="778" spans="1:27" x14ac:dyDescent="0.25">
      <c r="A778" t="s">
        <v>609</v>
      </c>
      <c r="B778">
        <v>23.883546829223601</v>
      </c>
      <c r="C778">
        <v>24.976987838745099</v>
      </c>
      <c r="D778">
        <v>28.3833827972412</v>
      </c>
      <c r="E778">
        <v>22.3542995452881</v>
      </c>
      <c r="F778">
        <v>27.926952362060501</v>
      </c>
      <c r="G778">
        <v>30.764682769775401</v>
      </c>
      <c r="H778">
        <v>33.661342620849602</v>
      </c>
      <c r="I778">
        <v>36.453559875488303</v>
      </c>
      <c r="J778">
        <v>39.494522094726598</v>
      </c>
      <c r="K778">
        <v>41.980697631835902</v>
      </c>
      <c r="L778">
        <v>43.916378021240199</v>
      </c>
      <c r="M778">
        <v>45.360519409179702</v>
      </c>
      <c r="N778">
        <v>46.395816802978501</v>
      </c>
      <c r="O778">
        <v>47.017768859863303</v>
      </c>
      <c r="P778">
        <v>47.646530151367202</v>
      </c>
      <c r="Q778">
        <v>48.008190155029297</v>
      </c>
      <c r="R778">
        <v>48.261722564697301</v>
      </c>
      <c r="S778">
        <v>48.628421783447301</v>
      </c>
      <c r="T778">
        <v>48.848987579345703</v>
      </c>
      <c r="U778">
        <v>49.201820373535199</v>
      </c>
      <c r="V778">
        <v>49.638439178466797</v>
      </c>
      <c r="W778">
        <v>49.873706817627003</v>
      </c>
      <c r="X778">
        <v>50.123619079589801</v>
      </c>
      <c r="Y778">
        <v>50.456356048583999</v>
      </c>
      <c r="Z778">
        <v>50.7625923156738</v>
      </c>
      <c r="AA778">
        <v>3.13153266906738E-2</v>
      </c>
    </row>
    <row r="779" spans="1:27" x14ac:dyDescent="0.25">
      <c r="A779" t="s">
        <v>610</v>
      </c>
      <c r="B779">
        <v>18.464220046997099</v>
      </c>
      <c r="C779">
        <v>19.6639919281006</v>
      </c>
      <c r="D779">
        <v>23.795093536376999</v>
      </c>
      <c r="E779">
        <v>18.337640762329102</v>
      </c>
      <c r="F779">
        <v>20.694063186645501</v>
      </c>
      <c r="G779">
        <v>23.041601181030298</v>
      </c>
      <c r="H779">
        <v>25.2962837219238</v>
      </c>
      <c r="I779">
        <v>27.2604274749756</v>
      </c>
      <c r="J779">
        <v>30.121095657348601</v>
      </c>
      <c r="K779">
        <v>32.154388427734403</v>
      </c>
      <c r="L779">
        <v>33.5627632141113</v>
      </c>
      <c r="M779">
        <v>34.602504730224602</v>
      </c>
      <c r="N779">
        <v>35.554206848144503</v>
      </c>
      <c r="O779">
        <v>36.023918151855497</v>
      </c>
      <c r="P779">
        <v>36.510219573974602</v>
      </c>
      <c r="Q779">
        <v>36.482681274414098</v>
      </c>
      <c r="R779">
        <v>36.622692108154297</v>
      </c>
      <c r="S779">
        <v>37.053558349609403</v>
      </c>
      <c r="T779">
        <v>37.097206115722699</v>
      </c>
      <c r="U779">
        <v>37.402278900146499</v>
      </c>
      <c r="V779">
        <v>37.843147277832003</v>
      </c>
      <c r="W779">
        <v>38.237148284912102</v>
      </c>
      <c r="X779">
        <v>38.632442474365199</v>
      </c>
      <c r="Y779">
        <v>38.983299255371101</v>
      </c>
      <c r="Z779">
        <v>39.194442749023402</v>
      </c>
      <c r="AA779">
        <v>3.0443191528320299E-2</v>
      </c>
    </row>
    <row r="780" spans="1:27" x14ac:dyDescent="0.25">
      <c r="A780" t="s">
        <v>510</v>
      </c>
      <c r="B780">
        <v>13.7000589370728</v>
      </c>
      <c r="C780">
        <v>12.691158294677701</v>
      </c>
      <c r="D780">
        <v>13.015861511230501</v>
      </c>
      <c r="E780">
        <v>11.686484336853001</v>
      </c>
      <c r="F780">
        <v>12.3283596038818</v>
      </c>
      <c r="G780">
        <v>12.249480247497599</v>
      </c>
      <c r="H780">
        <v>12.273024559021</v>
      </c>
      <c r="I780">
        <v>12.2969045639038</v>
      </c>
      <c r="J780">
        <v>12.4211750030518</v>
      </c>
      <c r="K780">
        <v>12.5907487869263</v>
      </c>
      <c r="L780">
        <v>12.705096244811999</v>
      </c>
      <c r="M780">
        <v>12.9095964431763</v>
      </c>
      <c r="N780">
        <v>13.0879106521606</v>
      </c>
      <c r="O780">
        <v>13.1304607391357</v>
      </c>
      <c r="P780">
        <v>12.9131679534912</v>
      </c>
      <c r="Q780">
        <v>12.562335968017599</v>
      </c>
      <c r="R780">
        <v>12.61110496521</v>
      </c>
      <c r="S780">
        <v>12.871636390686</v>
      </c>
      <c r="T780">
        <v>13.125649452209499</v>
      </c>
      <c r="U780">
        <v>13.3413944244385</v>
      </c>
      <c r="V780">
        <v>13.6169128417969</v>
      </c>
      <c r="W780">
        <v>13.8638000488281</v>
      </c>
      <c r="X780">
        <v>14.1467199325562</v>
      </c>
      <c r="Y780">
        <v>14.4200448989868</v>
      </c>
      <c r="Z780">
        <v>14.611619949340801</v>
      </c>
      <c r="AA780">
        <v>6.1453580856323199E-3</v>
      </c>
    </row>
    <row r="781" spans="1:27" x14ac:dyDescent="0.25">
      <c r="A781" t="s">
        <v>479</v>
      </c>
      <c r="B781">
        <v>31.206779479980501</v>
      </c>
      <c r="C781">
        <v>31.187788009643601</v>
      </c>
      <c r="D781">
        <v>32.338191986083999</v>
      </c>
      <c r="E781">
        <v>32.416282653808601</v>
      </c>
      <c r="F781">
        <v>31.140913009643601</v>
      </c>
      <c r="G781">
        <v>31.8760585784912</v>
      </c>
      <c r="H781">
        <v>31.922065734863299</v>
      </c>
      <c r="I781">
        <v>32.300529479980497</v>
      </c>
      <c r="J781">
        <v>32.352581024169901</v>
      </c>
      <c r="K781">
        <v>32.639389038085902</v>
      </c>
      <c r="L781">
        <v>32.894443511962898</v>
      </c>
      <c r="M781">
        <v>33.117340087890597</v>
      </c>
      <c r="N781">
        <v>33.414459228515597</v>
      </c>
      <c r="O781">
        <v>33.629150390625</v>
      </c>
      <c r="P781">
        <v>33.777111053466797</v>
      </c>
      <c r="Q781">
        <v>33.604824066162102</v>
      </c>
      <c r="R781">
        <v>33.664745330810497</v>
      </c>
      <c r="S781">
        <v>34.025123596191399</v>
      </c>
      <c r="T781">
        <v>34.538562774658203</v>
      </c>
      <c r="U781">
        <v>35.105255126953097</v>
      </c>
      <c r="V781">
        <v>35.529582977294901</v>
      </c>
      <c r="W781">
        <v>35.8877983093262</v>
      </c>
      <c r="X781">
        <v>36.209835052490199</v>
      </c>
      <c r="Y781">
        <v>36.388431549072301</v>
      </c>
      <c r="Z781">
        <v>36.494224548339801</v>
      </c>
      <c r="AA781">
        <v>6.8550109863281302E-3</v>
      </c>
    </row>
    <row r="783" spans="1:27" x14ac:dyDescent="0.25">
      <c r="A783" t="s">
        <v>480</v>
      </c>
    </row>
    <row r="784" spans="1:27" x14ac:dyDescent="0.25">
      <c r="A784" t="s">
        <v>609</v>
      </c>
      <c r="B784">
        <v>21.1974983215332</v>
      </c>
      <c r="C784">
        <v>23.041419982910199</v>
      </c>
      <c r="D784">
        <v>23.604557037353501</v>
      </c>
      <c r="E784">
        <v>18.681890487670898</v>
      </c>
      <c r="F784">
        <v>24.74609375</v>
      </c>
      <c r="G784">
        <v>27.568971633911101</v>
      </c>
      <c r="H784">
        <v>30.4514064788818</v>
      </c>
      <c r="I784">
        <v>33.230876922607401</v>
      </c>
      <c r="J784">
        <v>36.258987426757798</v>
      </c>
      <c r="K784">
        <v>38.733001708984403</v>
      </c>
      <c r="L784">
        <v>40.657176971435497</v>
      </c>
      <c r="M784">
        <v>42.090251922607401</v>
      </c>
      <c r="N784">
        <v>43.1152153015137</v>
      </c>
      <c r="O784">
        <v>43.7275390625</v>
      </c>
      <c r="P784">
        <v>44.347579956054702</v>
      </c>
      <c r="Q784">
        <v>44.701267242431598</v>
      </c>
      <c r="R784">
        <v>44.947372436523402</v>
      </c>
      <c r="S784">
        <v>45.307144165039098</v>
      </c>
      <c r="T784">
        <v>45.5213012695313</v>
      </c>
      <c r="U784">
        <v>45.867866516113303</v>
      </c>
      <c r="V784">
        <v>46.298439025878899</v>
      </c>
      <c r="W784">
        <v>46.528209686279297</v>
      </c>
      <c r="X784">
        <v>46.772487640380902</v>
      </c>
      <c r="Y784">
        <v>47.099220275878899</v>
      </c>
      <c r="Z784">
        <v>47.399448394775398</v>
      </c>
      <c r="AA784">
        <v>3.1858563423156697E-2</v>
      </c>
    </row>
    <row r="785" spans="1:27" x14ac:dyDescent="0.25">
      <c r="A785" t="s">
        <v>610</v>
      </c>
      <c r="B785">
        <v>15.0199489593506</v>
      </c>
      <c r="C785">
        <v>16.054103851318398</v>
      </c>
      <c r="D785">
        <v>20.836805343627901</v>
      </c>
      <c r="E785">
        <v>16.0582466125488</v>
      </c>
      <c r="F785">
        <v>18.1372261047363</v>
      </c>
      <c r="G785">
        <v>20.7669353485107</v>
      </c>
      <c r="H785">
        <v>23.078548431396499</v>
      </c>
      <c r="I785">
        <v>25.270603179931602</v>
      </c>
      <c r="J785">
        <v>28.107904434204102</v>
      </c>
      <c r="K785">
        <v>30.082014083862301</v>
      </c>
      <c r="L785">
        <v>31.343215942382798</v>
      </c>
      <c r="M785">
        <v>32.504638671875</v>
      </c>
      <c r="N785">
        <v>33.3633842468262</v>
      </c>
      <c r="O785">
        <v>33.805187225341797</v>
      </c>
      <c r="P785">
        <v>34.229515075683601</v>
      </c>
      <c r="Q785">
        <v>34.103286743164098</v>
      </c>
      <c r="R785">
        <v>34.2811889648438</v>
      </c>
      <c r="S785">
        <v>34.681198120117202</v>
      </c>
      <c r="T785">
        <v>34.715034484863303</v>
      </c>
      <c r="U785">
        <v>35.0353393554688</v>
      </c>
      <c r="V785">
        <v>35.459774017333999</v>
      </c>
      <c r="W785">
        <v>35.835098266601598</v>
      </c>
      <c r="X785">
        <v>36.246971130371101</v>
      </c>
      <c r="Y785">
        <v>36.616977691650398</v>
      </c>
      <c r="Z785">
        <v>36.9903373718262</v>
      </c>
      <c r="AA785">
        <v>3.6957502365112298E-2</v>
      </c>
    </row>
    <row r="786" spans="1:27" x14ac:dyDescent="0.25">
      <c r="A786" t="s">
        <v>723</v>
      </c>
      <c r="B786">
        <v>8.8815975189209002</v>
      </c>
      <c r="C786">
        <v>10.2142028808594</v>
      </c>
      <c r="D786">
        <v>13.357634544372599</v>
      </c>
      <c r="E786">
        <v>6.7629709243774396</v>
      </c>
      <c r="F786">
        <v>12.823133468627899</v>
      </c>
      <c r="G786">
        <v>15.3392543792725</v>
      </c>
      <c r="H786">
        <v>17.4722385406494</v>
      </c>
      <c r="I786">
        <v>19.700599670410199</v>
      </c>
      <c r="J786">
        <v>21.254331588745099</v>
      </c>
      <c r="K786">
        <v>22.305961608886701</v>
      </c>
      <c r="L786">
        <v>23.786525726318398</v>
      </c>
      <c r="M786">
        <v>25.024957656860401</v>
      </c>
      <c r="N786">
        <v>25.9401969909668</v>
      </c>
      <c r="O786">
        <v>26.507759094238299</v>
      </c>
      <c r="P786">
        <v>27.019905090331999</v>
      </c>
      <c r="Q786">
        <v>27.1827697753906</v>
      </c>
      <c r="R786">
        <v>27.4323539733887</v>
      </c>
      <c r="S786">
        <v>27.776666641235401</v>
      </c>
      <c r="T786">
        <v>28.037864685058601</v>
      </c>
      <c r="U786">
        <v>28.392919540405298</v>
      </c>
      <c r="V786">
        <v>28.7309265136719</v>
      </c>
      <c r="W786">
        <v>28.9971923828125</v>
      </c>
      <c r="X786">
        <v>29.337739944458001</v>
      </c>
      <c r="Y786">
        <v>29.677482604980501</v>
      </c>
      <c r="Z786">
        <v>29.9862384796143</v>
      </c>
      <c r="AA786">
        <v>4.79378700256348E-2</v>
      </c>
    </row>
    <row r="787" spans="1:27" x14ac:dyDescent="0.25">
      <c r="A787" t="s">
        <v>510</v>
      </c>
      <c r="B787">
        <v>11.896094322204601</v>
      </c>
      <c r="C787">
        <v>10.9898433685303</v>
      </c>
      <c r="D787">
        <v>11.522585868835399</v>
      </c>
      <c r="E787">
        <v>10.173228263855</v>
      </c>
      <c r="F787">
        <v>10.782675743103001</v>
      </c>
      <c r="G787">
        <v>10.7339086532593</v>
      </c>
      <c r="H787">
        <v>10.799374580383301</v>
      </c>
      <c r="I787">
        <v>10.8246822357178</v>
      </c>
      <c r="J787">
        <v>10.967120170593301</v>
      </c>
      <c r="K787">
        <v>11.158206939697299</v>
      </c>
      <c r="L787">
        <v>11.2802991867065</v>
      </c>
      <c r="M787">
        <v>11.486307144165</v>
      </c>
      <c r="N787">
        <v>11.6717615127563</v>
      </c>
      <c r="O787">
        <v>11.7226161956787</v>
      </c>
      <c r="P787">
        <v>11.525540351867701</v>
      </c>
      <c r="Q787">
        <v>11.1890621185303</v>
      </c>
      <c r="R787">
        <v>11.2596950531006</v>
      </c>
      <c r="S787">
        <v>11.5338354110718</v>
      </c>
      <c r="T787">
        <v>11.800594329834</v>
      </c>
      <c r="U787">
        <v>12.0026235580444</v>
      </c>
      <c r="V787">
        <v>12.273542404174799</v>
      </c>
      <c r="W787">
        <v>12.5177307128906</v>
      </c>
      <c r="X787">
        <v>12.805614471435501</v>
      </c>
      <c r="Y787">
        <v>13.061990737915</v>
      </c>
      <c r="Z787">
        <v>13.243557929992701</v>
      </c>
      <c r="AA787">
        <v>8.1434249877929705E-3</v>
      </c>
    </row>
    <row r="788" spans="1:27" x14ac:dyDescent="0.25">
      <c r="A788" t="s">
        <v>479</v>
      </c>
      <c r="B788">
        <v>28.3762531280518</v>
      </c>
      <c r="C788">
        <v>28.073511123657202</v>
      </c>
      <c r="D788">
        <v>29.5588493347168</v>
      </c>
      <c r="E788">
        <v>29.575660705566399</v>
      </c>
      <c r="F788">
        <v>27.526445388793899</v>
      </c>
      <c r="G788">
        <v>27.8994140625</v>
      </c>
      <c r="H788">
        <v>27.624683380126999</v>
      </c>
      <c r="I788">
        <v>27.748167037963899</v>
      </c>
      <c r="J788">
        <v>27.707677841186499</v>
      </c>
      <c r="K788">
        <v>28.011663436889599</v>
      </c>
      <c r="L788">
        <v>28.3554382324219</v>
      </c>
      <c r="M788">
        <v>28.5976047515869</v>
      </c>
      <c r="N788">
        <v>28.930782318115199</v>
      </c>
      <c r="O788">
        <v>29.165691375732401</v>
      </c>
      <c r="P788">
        <v>29.300102233886701</v>
      </c>
      <c r="Q788">
        <v>29.014184951782202</v>
      </c>
      <c r="R788">
        <v>29.003173828125</v>
      </c>
      <c r="S788">
        <v>29.329126358032202</v>
      </c>
      <c r="T788">
        <v>29.795009613037099</v>
      </c>
      <c r="U788">
        <v>30.299129486083999</v>
      </c>
      <c r="V788">
        <v>30.6775302886963</v>
      </c>
      <c r="W788">
        <v>31.039953231811499</v>
      </c>
      <c r="X788">
        <v>31.389379501342798</v>
      </c>
      <c r="Y788">
        <v>31.541213989257798</v>
      </c>
      <c r="Z788">
        <v>31.7004203796387</v>
      </c>
      <c r="AA788">
        <v>5.2967071533203099E-3</v>
      </c>
    </row>
    <row r="790" spans="1:27" x14ac:dyDescent="0.25">
      <c r="A790" t="s">
        <v>612</v>
      </c>
    </row>
    <row r="791" spans="1:27" x14ac:dyDescent="0.25">
      <c r="A791" t="s">
        <v>609</v>
      </c>
      <c r="B791">
        <v>21.0410861968994</v>
      </c>
      <c r="C791">
        <v>23.3795356750488</v>
      </c>
      <c r="D791">
        <v>25.519689559936499</v>
      </c>
      <c r="E791">
        <v>18.770734786987301</v>
      </c>
      <c r="F791">
        <v>23.917289733886701</v>
      </c>
      <c r="G791">
        <v>26.7415580749512</v>
      </c>
      <c r="H791">
        <v>29.674488067626999</v>
      </c>
      <c r="I791">
        <v>32.454425811767599</v>
      </c>
      <c r="J791">
        <v>35.485988616943402</v>
      </c>
      <c r="K791">
        <v>37.9550170898438</v>
      </c>
      <c r="L791">
        <v>39.876785278320298</v>
      </c>
      <c r="M791">
        <v>41.308006286621101</v>
      </c>
      <c r="N791">
        <v>42.332942962646499</v>
      </c>
      <c r="O791">
        <v>42.9459419250488</v>
      </c>
      <c r="P791">
        <v>43.565265655517599</v>
      </c>
      <c r="Q791">
        <v>43.919185638427699</v>
      </c>
      <c r="R791">
        <v>44.164951324462898</v>
      </c>
      <c r="S791">
        <v>44.525180816650398</v>
      </c>
      <c r="T791">
        <v>44.739585876464801</v>
      </c>
      <c r="U791">
        <v>45.087501525878899</v>
      </c>
      <c r="V791">
        <v>45.519046783447301</v>
      </c>
      <c r="W791">
        <v>45.747432708740199</v>
      </c>
      <c r="X791">
        <v>45.991909027099602</v>
      </c>
      <c r="Y791">
        <v>46.318729400634801</v>
      </c>
      <c r="Z791">
        <v>46.6203422546387</v>
      </c>
      <c r="AA791">
        <v>3.0462384223937999E-2</v>
      </c>
    </row>
    <row r="792" spans="1:27" x14ac:dyDescent="0.25">
      <c r="A792" t="s">
        <v>610</v>
      </c>
      <c r="B792">
        <v>15.735449790954601</v>
      </c>
      <c r="C792">
        <v>16.821935653686499</v>
      </c>
      <c r="D792">
        <v>21.808429718017599</v>
      </c>
      <c r="E792">
        <v>16.708997726440401</v>
      </c>
      <c r="F792">
        <v>17.9886360168457</v>
      </c>
      <c r="G792">
        <v>21.028125762939499</v>
      </c>
      <c r="H792">
        <v>23.343002319335898</v>
      </c>
      <c r="I792">
        <v>25.786291122436499</v>
      </c>
      <c r="J792">
        <v>28.5029201507568</v>
      </c>
      <c r="K792">
        <v>30.4483127593994</v>
      </c>
      <c r="L792">
        <v>31.613187789916999</v>
      </c>
      <c r="M792">
        <v>32.863849639892599</v>
      </c>
      <c r="N792">
        <v>33.663894653320298</v>
      </c>
      <c r="O792">
        <v>34.092327117919901</v>
      </c>
      <c r="P792">
        <v>34.4815673828125</v>
      </c>
      <c r="Q792">
        <v>34.296230316162102</v>
      </c>
      <c r="R792">
        <v>34.5044975280762</v>
      </c>
      <c r="S792">
        <v>34.907333374023402</v>
      </c>
      <c r="T792">
        <v>34.931465148925803</v>
      </c>
      <c r="U792">
        <v>35.251617431640597</v>
      </c>
      <c r="V792">
        <v>35.650547027587898</v>
      </c>
      <c r="W792">
        <v>36.0166206359863</v>
      </c>
      <c r="X792">
        <v>36.444431304931598</v>
      </c>
      <c r="Y792">
        <v>36.830661773681598</v>
      </c>
      <c r="Z792">
        <v>37.303695678710902</v>
      </c>
      <c r="AA792">
        <v>3.5232901573181201E-2</v>
      </c>
    </row>
    <row r="793" spans="1:27" x14ac:dyDescent="0.25">
      <c r="A793" t="s">
        <v>611</v>
      </c>
      <c r="B793">
        <v>9.2125148773193395</v>
      </c>
      <c r="C793">
        <v>10.494535446166999</v>
      </c>
      <c r="D793">
        <v>13.694963455200201</v>
      </c>
      <c r="E793">
        <v>6.9981408119201696</v>
      </c>
      <c r="F793">
        <v>17.262666702270501</v>
      </c>
      <c r="G793">
        <v>19.511152267456101</v>
      </c>
      <c r="H793">
        <v>21.9067897796631</v>
      </c>
      <c r="I793">
        <v>24.078254699706999</v>
      </c>
      <c r="J793">
        <v>26.237388610839801</v>
      </c>
      <c r="K793">
        <v>27.981674194335898</v>
      </c>
      <c r="L793">
        <v>29.130001068115199</v>
      </c>
      <c r="M793">
        <v>30.3923149108887</v>
      </c>
      <c r="N793">
        <v>31.137657165527301</v>
      </c>
      <c r="O793">
        <v>31.575212478637699</v>
      </c>
      <c r="P793">
        <v>32.042640686035199</v>
      </c>
      <c r="Q793">
        <v>31.994066238403299</v>
      </c>
      <c r="R793">
        <v>32.249111175537102</v>
      </c>
      <c r="S793">
        <v>32.508918762207003</v>
      </c>
      <c r="T793">
        <v>32.660282135009801</v>
      </c>
      <c r="U793">
        <v>32.957084655761697</v>
      </c>
      <c r="V793">
        <v>33.298637390136697</v>
      </c>
      <c r="W793">
        <v>33.551937103271499</v>
      </c>
      <c r="X793">
        <v>33.991706848144503</v>
      </c>
      <c r="Y793">
        <v>34.317066192627003</v>
      </c>
      <c r="Z793">
        <v>34.482418060302699</v>
      </c>
      <c r="AA793">
        <v>5.3082466125488302E-2</v>
      </c>
    </row>
    <row r="794" spans="1:27" x14ac:dyDescent="0.25">
      <c r="A794" t="s">
        <v>613</v>
      </c>
      <c r="B794">
        <v>7.9563031196594203</v>
      </c>
      <c r="C794">
        <v>7.5151352882385298</v>
      </c>
      <c r="D794">
        <v>8.9608917236328107</v>
      </c>
      <c r="E794">
        <v>6.6214537620544398</v>
      </c>
      <c r="F794">
        <v>7.1234536170959499</v>
      </c>
      <c r="G794">
        <v>7.0705270767211896</v>
      </c>
      <c r="H794">
        <v>7.1530704498290998</v>
      </c>
      <c r="I794">
        <v>7.2213044166564897</v>
      </c>
      <c r="J794">
        <v>7.3800201416015598</v>
      </c>
      <c r="K794">
        <v>7.5896773338317898</v>
      </c>
      <c r="L794">
        <v>7.6845889091491699</v>
      </c>
      <c r="M794">
        <v>7.8647842407226598</v>
      </c>
      <c r="N794">
        <v>8.0319690704345703</v>
      </c>
      <c r="O794">
        <v>8.0643510818481392</v>
      </c>
      <c r="P794">
        <v>7.8568081855773899</v>
      </c>
      <c r="Q794">
        <v>7.5151796340942401</v>
      </c>
      <c r="R794">
        <v>7.5926008224487296</v>
      </c>
      <c r="S794">
        <v>7.8076257705688503</v>
      </c>
      <c r="T794">
        <v>8.0573301315307599</v>
      </c>
      <c r="U794">
        <v>8.2859725952148402</v>
      </c>
      <c r="V794">
        <v>8.5280551910400408</v>
      </c>
      <c r="W794">
        <v>8.7343835830688494</v>
      </c>
      <c r="X794">
        <v>8.9821290969848597</v>
      </c>
      <c r="Y794">
        <v>9.2285404205322301</v>
      </c>
      <c r="Z794">
        <v>9.4173421859741193</v>
      </c>
      <c r="AA794">
        <v>9.8584890365600603E-3</v>
      </c>
    </row>
    <row r="795" spans="1:27" x14ac:dyDescent="0.25">
      <c r="A795" t="s">
        <v>614</v>
      </c>
      <c r="B795">
        <v>3.6353600025177002</v>
      </c>
      <c r="C795">
        <v>3.6099998950958301</v>
      </c>
      <c r="D795">
        <v>4.0379996299743697</v>
      </c>
      <c r="E795">
        <v>4.5020823478698704</v>
      </c>
      <c r="F795">
        <v>4.3855228424072301</v>
      </c>
      <c r="G795">
        <v>4.3762397766113299</v>
      </c>
      <c r="H795">
        <v>4.3997368812561</v>
      </c>
      <c r="I795">
        <v>4.4189567565918004</v>
      </c>
      <c r="J795">
        <v>4.4347076416015598</v>
      </c>
      <c r="K795">
        <v>4.4522905349731401</v>
      </c>
      <c r="L795">
        <v>4.4603638648986799</v>
      </c>
      <c r="M795">
        <v>4.4635276794433603</v>
      </c>
      <c r="N795">
        <v>4.4729104042053196</v>
      </c>
      <c r="O795">
        <v>4.4708456993103001</v>
      </c>
      <c r="P795">
        <v>4.4873232841491699</v>
      </c>
      <c r="Q795">
        <v>4.5196957588195801</v>
      </c>
      <c r="R795">
        <v>4.5735583305358896</v>
      </c>
      <c r="S795">
        <v>4.6242790222168004</v>
      </c>
      <c r="T795">
        <v>4.6478152275085396</v>
      </c>
      <c r="U795">
        <v>4.6480631828308097</v>
      </c>
      <c r="V795">
        <v>4.6606159210205096</v>
      </c>
      <c r="W795">
        <v>4.6456594467163104</v>
      </c>
      <c r="X795">
        <v>4.6185407638549796</v>
      </c>
      <c r="Y795">
        <v>4.56589651107788</v>
      </c>
      <c r="Z795">
        <v>4.4889969825744602</v>
      </c>
      <c r="AA795">
        <v>9.5199346542358398E-3</v>
      </c>
    </row>
    <row r="796" spans="1:27" x14ac:dyDescent="0.25">
      <c r="A796" t="s">
        <v>615</v>
      </c>
      <c r="B796">
        <v>2.4029979705810498</v>
      </c>
      <c r="C796">
        <v>2.4299483299255402</v>
      </c>
      <c r="D796">
        <v>2.5571811199188201</v>
      </c>
      <c r="E796">
        <v>2.56162786483765</v>
      </c>
      <c r="F796">
        <v>2.56748747825623</v>
      </c>
      <c r="G796">
        <v>2.60902070999146</v>
      </c>
      <c r="H796">
        <v>2.6235916614532502</v>
      </c>
      <c r="I796">
        <v>2.6379292011261</v>
      </c>
      <c r="J796">
        <v>2.6488504409789999</v>
      </c>
      <c r="K796">
        <v>2.67559719085693</v>
      </c>
      <c r="L796">
        <v>2.6456270217895499</v>
      </c>
      <c r="M796">
        <v>2.6335513591766402</v>
      </c>
      <c r="N796">
        <v>2.63612961769104</v>
      </c>
      <c r="O796">
        <v>2.6347033977508501</v>
      </c>
      <c r="P796">
        <v>2.63350534439087</v>
      </c>
      <c r="Q796">
        <v>2.6284878253936799</v>
      </c>
      <c r="R796">
        <v>2.6334505081176802</v>
      </c>
      <c r="S796">
        <v>2.6471104621887198</v>
      </c>
      <c r="T796">
        <v>2.6563882827758798</v>
      </c>
      <c r="U796">
        <v>2.6693737506866499</v>
      </c>
      <c r="V796">
        <v>2.6800231933593799</v>
      </c>
      <c r="W796">
        <v>2.6932156085968</v>
      </c>
      <c r="X796">
        <v>2.7120738029479998</v>
      </c>
      <c r="Y796">
        <v>2.7318363189697301</v>
      </c>
      <c r="Z796">
        <v>2.7488965988159202</v>
      </c>
      <c r="AA796">
        <v>5.3765773773193403E-3</v>
      </c>
    </row>
    <row r="797" spans="1:27" x14ac:dyDescent="0.25">
      <c r="A797" t="s">
        <v>616</v>
      </c>
      <c r="B797" t="s">
        <v>788</v>
      </c>
      <c r="C797" t="s">
        <v>788</v>
      </c>
      <c r="D797">
        <v>0</v>
      </c>
      <c r="E797">
        <v>0</v>
      </c>
      <c r="F797">
        <v>0</v>
      </c>
      <c r="G797">
        <v>1.41293036937714</v>
      </c>
      <c r="H797">
        <v>1.2184369564056401</v>
      </c>
      <c r="I797">
        <v>1.17754483222961</v>
      </c>
      <c r="J797">
        <v>1.3116322755813601</v>
      </c>
      <c r="K797">
        <v>1.2733211517334</v>
      </c>
      <c r="L797">
        <v>1.2851463556289699</v>
      </c>
      <c r="M797">
        <v>1.28024590015411</v>
      </c>
      <c r="N797">
        <v>1.30277991294861</v>
      </c>
      <c r="O797">
        <v>1.29882299900055</v>
      </c>
      <c r="P797">
        <v>1.29265284538269</v>
      </c>
      <c r="Q797">
        <v>1.32939457893372</v>
      </c>
      <c r="R797">
        <v>1.3688597679138199</v>
      </c>
      <c r="S797">
        <v>1.4024136066436801</v>
      </c>
      <c r="T797">
        <v>1.4137438535690301</v>
      </c>
      <c r="U797">
        <v>1.42857146263123</v>
      </c>
      <c r="V797">
        <v>1.43632352352142</v>
      </c>
      <c r="W797">
        <v>1.44281482696533</v>
      </c>
      <c r="X797">
        <v>1.44536685943604</v>
      </c>
      <c r="Y797">
        <v>1.4501197338104199</v>
      </c>
      <c r="Z797">
        <v>1.4655066728591899</v>
      </c>
      <c r="AA797" t="s">
        <v>788</v>
      </c>
    </row>
    <row r="798" spans="1:27" x14ac:dyDescent="0.25">
      <c r="A798" t="s">
        <v>479</v>
      </c>
      <c r="B798">
        <v>18.411262512206999</v>
      </c>
      <c r="C798">
        <v>18.634252548217798</v>
      </c>
      <c r="D798">
        <v>20.706560134887699</v>
      </c>
      <c r="E798">
        <v>20.639848709106399</v>
      </c>
      <c r="F798">
        <v>18.9005832672119</v>
      </c>
      <c r="G798">
        <v>18.9754123687744</v>
      </c>
      <c r="H798">
        <v>18.748577117919901</v>
      </c>
      <c r="I798">
        <v>18.7451286315918</v>
      </c>
      <c r="J798">
        <v>18.622827529907202</v>
      </c>
      <c r="K798">
        <v>18.823989868164102</v>
      </c>
      <c r="L798">
        <v>19.081008911132798</v>
      </c>
      <c r="M798">
        <v>19.220748901367202</v>
      </c>
      <c r="N798">
        <v>19.446659088134801</v>
      </c>
      <c r="O798">
        <v>19.608354568481399</v>
      </c>
      <c r="P798">
        <v>19.6959743499756</v>
      </c>
      <c r="Q798">
        <v>19.505567550659201</v>
      </c>
      <c r="R798">
        <v>19.549434661865199</v>
      </c>
      <c r="S798">
        <v>19.802045822143601</v>
      </c>
      <c r="T798">
        <v>20.232648849487301</v>
      </c>
      <c r="U798">
        <v>20.693027496337901</v>
      </c>
      <c r="V798">
        <v>21.023696899414102</v>
      </c>
      <c r="W798">
        <v>21.339708328247099</v>
      </c>
      <c r="X798">
        <v>21.629344940185501</v>
      </c>
      <c r="Y798">
        <v>21.733781814575199</v>
      </c>
      <c r="Z798">
        <v>21.762773513793899</v>
      </c>
      <c r="AA798">
        <v>6.7706108093261701E-3</v>
      </c>
    </row>
    <row r="800" spans="1:27" x14ac:dyDescent="0.25">
      <c r="A800" t="s">
        <v>487</v>
      </c>
    </row>
    <row r="801" spans="1:27" x14ac:dyDescent="0.25">
      <c r="A801" t="s">
        <v>617</v>
      </c>
      <c r="B801">
        <v>22.2963676452637</v>
      </c>
      <c r="C801">
        <v>25.0072422027588</v>
      </c>
      <c r="D801">
        <v>28.459692001342798</v>
      </c>
      <c r="E801">
        <v>22.469375610351602</v>
      </c>
      <c r="F801">
        <v>27.7350177764893</v>
      </c>
      <c r="G801">
        <v>30.574182510376001</v>
      </c>
      <c r="H801">
        <v>33.472511291503899</v>
      </c>
      <c r="I801">
        <v>36.259494781494098</v>
      </c>
      <c r="J801">
        <v>39.291736602783203</v>
      </c>
      <c r="K801">
        <v>41.768077850341797</v>
      </c>
      <c r="L801">
        <v>43.697544097900398</v>
      </c>
      <c r="M801">
        <v>45.127403259277301</v>
      </c>
      <c r="N801">
        <v>46.152801513671903</v>
      </c>
      <c r="O801">
        <v>46.761356353759801</v>
      </c>
      <c r="P801">
        <v>47.381011962890597</v>
      </c>
      <c r="Q801">
        <v>47.734935760497997</v>
      </c>
      <c r="R801">
        <v>47.977794647216797</v>
      </c>
      <c r="S801">
        <v>48.333538055419901</v>
      </c>
      <c r="T801">
        <v>48.545326232910199</v>
      </c>
      <c r="U801">
        <v>48.889308929443402</v>
      </c>
      <c r="V801">
        <v>49.317207336425803</v>
      </c>
      <c r="W801">
        <v>49.543441772460902</v>
      </c>
      <c r="X801">
        <v>49.784286499023402</v>
      </c>
      <c r="Y801">
        <v>50.108409881591797</v>
      </c>
      <c r="Z801">
        <v>50.406246185302699</v>
      </c>
      <c r="AA801">
        <v>3.0945181846618701E-2</v>
      </c>
    </row>
    <row r="802" spans="1:27" x14ac:dyDescent="0.25">
      <c r="A802" t="s">
        <v>618</v>
      </c>
      <c r="B802">
        <v>25.5142211914063</v>
      </c>
      <c r="C802">
        <v>26.671012878418001</v>
      </c>
      <c r="D802">
        <v>33.849239349365199</v>
      </c>
      <c r="E802">
        <v>33.586345672607401</v>
      </c>
      <c r="F802">
        <v>27.6864833831787</v>
      </c>
      <c r="G802">
        <v>30.227962493896499</v>
      </c>
      <c r="H802">
        <v>32.657257080078097</v>
      </c>
      <c r="I802">
        <v>32.785953521728501</v>
      </c>
      <c r="J802">
        <v>32.346141815185497</v>
      </c>
      <c r="K802">
        <v>33.964523315429702</v>
      </c>
      <c r="L802">
        <v>35.691123962402301</v>
      </c>
      <c r="M802">
        <v>37.409137725830099</v>
      </c>
      <c r="N802">
        <v>37.7480278015137</v>
      </c>
      <c r="O802">
        <v>37.745933532714801</v>
      </c>
      <c r="P802">
        <v>36.169681549072301</v>
      </c>
      <c r="Q802">
        <v>35.874843597412102</v>
      </c>
      <c r="R802">
        <v>36.162742614746101</v>
      </c>
      <c r="S802">
        <v>36.566848754882798</v>
      </c>
      <c r="T802">
        <v>36.620006561279297</v>
      </c>
      <c r="U802">
        <v>36.971061706542997</v>
      </c>
      <c r="V802">
        <v>37.408500671386697</v>
      </c>
      <c r="W802">
        <v>37.711296081542997</v>
      </c>
      <c r="X802">
        <v>38.137138366699197</v>
      </c>
      <c r="Y802">
        <v>38.524795532226598</v>
      </c>
      <c r="Z802">
        <v>38.908096313476598</v>
      </c>
      <c r="AA802">
        <v>1.65539979934692E-2</v>
      </c>
    </row>
    <row r="803" spans="1:27" x14ac:dyDescent="0.25">
      <c r="A803" t="s">
        <v>619</v>
      </c>
      <c r="B803">
        <v>21.784559249877901</v>
      </c>
      <c r="C803">
        <v>22.982162475585898</v>
      </c>
      <c r="D803">
        <v>26.493778228759801</v>
      </c>
      <c r="E803">
        <v>18.863723754882798</v>
      </c>
      <c r="F803">
        <v>25.437911987304702</v>
      </c>
      <c r="G803">
        <v>27.775495529174801</v>
      </c>
      <c r="H803">
        <v>29.9758186340332</v>
      </c>
      <c r="I803">
        <v>32.350837707519503</v>
      </c>
      <c r="J803">
        <v>35.054023742675803</v>
      </c>
      <c r="K803">
        <v>37.158294677734403</v>
      </c>
      <c r="L803">
        <v>38.482601165771499</v>
      </c>
      <c r="M803">
        <v>39.982501983642599</v>
      </c>
      <c r="N803">
        <v>40.787757873535199</v>
      </c>
      <c r="O803">
        <v>41.354404449462898</v>
      </c>
      <c r="P803">
        <v>41.681800842285199</v>
      </c>
      <c r="Q803">
        <v>41.651054382324197</v>
      </c>
      <c r="R803">
        <v>41.988578796386697</v>
      </c>
      <c r="S803">
        <v>42.463710784912102</v>
      </c>
      <c r="T803">
        <v>42.524349212646499</v>
      </c>
      <c r="U803">
        <v>42.938045501708999</v>
      </c>
      <c r="V803">
        <v>43.455722808837898</v>
      </c>
      <c r="W803">
        <v>43.8155326843262</v>
      </c>
      <c r="X803">
        <v>44.317115783691399</v>
      </c>
      <c r="Y803">
        <v>44.772129058837898</v>
      </c>
      <c r="Z803">
        <v>45.225753784179702</v>
      </c>
      <c r="AA803">
        <v>2.9869914054870599E-2</v>
      </c>
    </row>
    <row r="804" spans="1:27" x14ac:dyDescent="0.25">
      <c r="A804" t="s">
        <v>620</v>
      </c>
      <c r="B804">
        <v>15.2446508407593</v>
      </c>
      <c r="C804">
        <v>16.0964660644531</v>
      </c>
      <c r="D804">
        <v>22.0368041992188</v>
      </c>
      <c r="E804">
        <v>14.6258354187012</v>
      </c>
      <c r="F804">
        <v>18.117679595947301</v>
      </c>
      <c r="G804">
        <v>20.790958404541001</v>
      </c>
      <c r="H804">
        <v>23.098089218139599</v>
      </c>
      <c r="I804">
        <v>25.277437210083001</v>
      </c>
      <c r="J804">
        <v>28.108070373535199</v>
      </c>
      <c r="K804">
        <v>30.063097000122099</v>
      </c>
      <c r="L804">
        <v>31.2007732391357</v>
      </c>
      <c r="M804">
        <v>32.563095092773402</v>
      </c>
      <c r="N804">
        <v>33.216217041015597</v>
      </c>
      <c r="O804">
        <v>33.609565734863303</v>
      </c>
      <c r="P804">
        <v>33.985622406005902</v>
      </c>
      <c r="Q804">
        <v>33.9229927062988</v>
      </c>
      <c r="R804">
        <v>34.1160697937012</v>
      </c>
      <c r="S804">
        <v>34.517745971679702</v>
      </c>
      <c r="T804">
        <v>34.4479789733887</v>
      </c>
      <c r="U804">
        <v>34.882648468017599</v>
      </c>
      <c r="V804">
        <v>35.356975555419901</v>
      </c>
      <c r="W804">
        <v>35.6980171203613</v>
      </c>
      <c r="X804">
        <v>36.117191314697301</v>
      </c>
      <c r="Y804">
        <v>36.502471923828097</v>
      </c>
      <c r="Z804">
        <v>36.943180084228501</v>
      </c>
      <c r="AA804">
        <v>3.6781191825866699E-2</v>
      </c>
    </row>
    <row r="805" spans="1:27" x14ac:dyDescent="0.25">
      <c r="A805" t="s">
        <v>724</v>
      </c>
      <c r="B805">
        <v>20.2724208831787</v>
      </c>
      <c r="C805">
        <v>20.921422958373999</v>
      </c>
      <c r="D805">
        <v>27.137769699096701</v>
      </c>
      <c r="E805">
        <v>19.170770645141602</v>
      </c>
      <c r="F805">
        <v>22.028490066528299</v>
      </c>
      <c r="G805">
        <v>24.713983535766602</v>
      </c>
      <c r="H805">
        <v>27.011182785034201</v>
      </c>
      <c r="I805">
        <v>29.495634078979499</v>
      </c>
      <c r="J805">
        <v>32.183456420898402</v>
      </c>
      <c r="K805">
        <v>34.083713531494098</v>
      </c>
      <c r="L805">
        <v>35.161376953125</v>
      </c>
      <c r="M805">
        <v>36.449062347412102</v>
      </c>
      <c r="N805">
        <v>37.198707580566399</v>
      </c>
      <c r="O805">
        <v>37.612049102783203</v>
      </c>
      <c r="P805">
        <v>37.951786041259801</v>
      </c>
      <c r="Q805">
        <v>37.7472534179688</v>
      </c>
      <c r="R805">
        <v>37.957847595214801</v>
      </c>
      <c r="S805">
        <v>38.353157043457003</v>
      </c>
      <c r="T805">
        <v>38.333263397216797</v>
      </c>
      <c r="U805">
        <v>38.682945251464801</v>
      </c>
      <c r="V805">
        <v>39.052806854247997</v>
      </c>
      <c r="W805">
        <v>39.384151458740199</v>
      </c>
      <c r="X805">
        <v>39.812137603759801</v>
      </c>
      <c r="Y805">
        <v>40.192409515380902</v>
      </c>
      <c r="Z805">
        <v>40.681694030761697</v>
      </c>
      <c r="AA805">
        <v>2.93352603912354E-2</v>
      </c>
    </row>
    <row r="806" spans="1:27" x14ac:dyDescent="0.25">
      <c r="A806" t="s">
        <v>611</v>
      </c>
      <c r="B806">
        <v>8.20648097991943</v>
      </c>
      <c r="C806">
        <v>9.3524312973022496</v>
      </c>
      <c r="D806">
        <v>13.736819267272899</v>
      </c>
      <c r="E806">
        <v>7.9047741889953604</v>
      </c>
      <c r="F806">
        <v>13.998456954956101</v>
      </c>
      <c r="G806">
        <v>16.239332199096701</v>
      </c>
      <c r="H806">
        <v>18.616979598998999</v>
      </c>
      <c r="I806">
        <v>20.834623336791999</v>
      </c>
      <c r="J806">
        <v>23.251203536987301</v>
      </c>
      <c r="K806">
        <v>25.300340652465799</v>
      </c>
      <c r="L806">
        <v>26.520757675170898</v>
      </c>
      <c r="M806">
        <v>27.721658706665</v>
      </c>
      <c r="N806">
        <v>28.4222621917725</v>
      </c>
      <c r="O806">
        <v>28.894708633422901</v>
      </c>
      <c r="P806">
        <v>29.233545303344702</v>
      </c>
      <c r="Q806">
        <v>29.354173660278299</v>
      </c>
      <c r="R806">
        <v>29.542749404907202</v>
      </c>
      <c r="S806">
        <v>29.811567306518601</v>
      </c>
      <c r="T806">
        <v>29.883472442626999</v>
      </c>
      <c r="U806">
        <v>30.208297729492202</v>
      </c>
      <c r="V806">
        <v>30.753358840942401</v>
      </c>
      <c r="W806">
        <v>31.1088161468506</v>
      </c>
      <c r="X806">
        <v>31.5337104797363</v>
      </c>
      <c r="Y806">
        <v>31.915937423706101</v>
      </c>
      <c r="Z806">
        <v>32.455944061279297</v>
      </c>
      <c r="AA806">
        <v>5.55877685546875E-2</v>
      </c>
    </row>
    <row r="807" spans="1:27" x14ac:dyDescent="0.25">
      <c r="A807" t="s">
        <v>622</v>
      </c>
      <c r="B807">
        <v>16.0437107086182</v>
      </c>
      <c r="C807">
        <v>15.4583129882813</v>
      </c>
      <c r="D807">
        <v>17.019536972045898</v>
      </c>
      <c r="E807">
        <v>14.5970249176025</v>
      </c>
      <c r="F807">
        <v>15.1249084472656</v>
      </c>
      <c r="G807">
        <v>15.054651260376</v>
      </c>
      <c r="H807">
        <v>15.074832916259799</v>
      </c>
      <c r="I807">
        <v>15.052045822143601</v>
      </c>
      <c r="J807">
        <v>15.142041206359901</v>
      </c>
      <c r="K807">
        <v>15.2916584014893</v>
      </c>
      <c r="L807">
        <v>15.3377676010132</v>
      </c>
      <c r="M807">
        <v>15.4715919494629</v>
      </c>
      <c r="N807">
        <v>15.583300590515099</v>
      </c>
      <c r="O807">
        <v>15.570981025695801</v>
      </c>
      <c r="P807">
        <v>15.303962707519499</v>
      </c>
      <c r="Q807">
        <v>14.909815788269</v>
      </c>
      <c r="R807">
        <v>14.9584617614746</v>
      </c>
      <c r="S807">
        <v>15.1840562820435</v>
      </c>
      <c r="T807">
        <v>15.399169921875</v>
      </c>
      <c r="U807">
        <v>15.568284988403301</v>
      </c>
      <c r="V807">
        <v>15.7804002761841</v>
      </c>
      <c r="W807">
        <v>15.981484413146999</v>
      </c>
      <c r="X807">
        <v>16.220918655395501</v>
      </c>
      <c r="Y807">
        <v>16.434350967407202</v>
      </c>
      <c r="Z807">
        <v>16.567071914672901</v>
      </c>
      <c r="AA807">
        <v>3.0162334442138698E-3</v>
      </c>
    </row>
    <row r="808" spans="1:27" x14ac:dyDescent="0.25">
      <c r="A808" t="s">
        <v>479</v>
      </c>
      <c r="B808">
        <v>30.389289855956999</v>
      </c>
      <c r="C808">
        <v>30.640342712402301</v>
      </c>
      <c r="D808">
        <v>34.162754058837898</v>
      </c>
      <c r="E808">
        <v>33.815212249755902</v>
      </c>
      <c r="F808">
        <v>30.533897399902301</v>
      </c>
      <c r="G808">
        <v>30.904481887817401</v>
      </c>
      <c r="H808">
        <v>30.761266708373999</v>
      </c>
      <c r="I808">
        <v>30.656822204589801</v>
      </c>
      <c r="J808">
        <v>30.208518981933601</v>
      </c>
      <c r="K808">
        <v>30.091423034668001</v>
      </c>
      <c r="L808">
        <v>30.193696975708001</v>
      </c>
      <c r="M808">
        <v>30.0047798156738</v>
      </c>
      <c r="N808">
        <v>29.991252899169901</v>
      </c>
      <c r="O808">
        <v>30.379962921142599</v>
      </c>
      <c r="P808">
        <v>30.558404922485401</v>
      </c>
      <c r="Q808">
        <v>30.327966690063501</v>
      </c>
      <c r="R808">
        <v>30.564914703369102</v>
      </c>
      <c r="S808">
        <v>31.263238906860401</v>
      </c>
      <c r="T808">
        <v>32.143627166747997</v>
      </c>
      <c r="U808">
        <v>32.985675811767599</v>
      </c>
      <c r="V808">
        <v>33.582263946533203</v>
      </c>
      <c r="W808">
        <v>34.167488098144503</v>
      </c>
      <c r="X808">
        <v>34.703441619872997</v>
      </c>
      <c r="Y808">
        <v>34.847152709960902</v>
      </c>
      <c r="Z808">
        <v>34.984054565429702</v>
      </c>
      <c r="AA808">
        <v>5.7690143585205104E-3</v>
      </c>
    </row>
    <row r="810" spans="1:27" x14ac:dyDescent="0.25">
      <c r="A810" t="s">
        <v>623</v>
      </c>
    </row>
    <row r="811" spans="1:27" x14ac:dyDescent="0.25">
      <c r="A811" t="s">
        <v>610</v>
      </c>
      <c r="B811">
        <v>13.773189544677701</v>
      </c>
      <c r="C811">
        <v>14.7723951339722</v>
      </c>
      <c r="D811">
        <v>19.0520629882813</v>
      </c>
      <c r="E811">
        <v>14.607873916626</v>
      </c>
      <c r="F811">
        <v>17.083803176879901</v>
      </c>
      <c r="G811">
        <v>19.3275451660156</v>
      </c>
      <c r="H811">
        <v>21.593971252441399</v>
      </c>
      <c r="I811">
        <v>23.5840148925781</v>
      </c>
      <c r="J811">
        <v>26.404422760009801</v>
      </c>
      <c r="K811">
        <v>28.420751571655298</v>
      </c>
      <c r="L811">
        <v>29.800575256347699</v>
      </c>
      <c r="M811">
        <v>30.8314094543457</v>
      </c>
      <c r="N811">
        <v>31.78662109375</v>
      </c>
      <c r="O811">
        <v>32.266555786132798</v>
      </c>
      <c r="P811">
        <v>32.755008697509801</v>
      </c>
      <c r="Q811">
        <v>32.748939514160199</v>
      </c>
      <c r="R811">
        <v>32.898239135742202</v>
      </c>
      <c r="S811">
        <v>33.249435424804702</v>
      </c>
      <c r="T811">
        <v>33.280975341796903</v>
      </c>
      <c r="U811">
        <v>33.615665435791001</v>
      </c>
      <c r="V811">
        <v>34.1393432617188</v>
      </c>
      <c r="W811">
        <v>34.519859313964801</v>
      </c>
      <c r="X811">
        <v>34.915023803710902</v>
      </c>
      <c r="Y811">
        <v>35.267223358154297</v>
      </c>
      <c r="Z811">
        <v>35.541374206542997</v>
      </c>
      <c r="AA811">
        <v>3.8909077644348103E-2</v>
      </c>
    </row>
    <row r="812" spans="1:27" x14ac:dyDescent="0.25">
      <c r="A812" t="s">
        <v>611</v>
      </c>
      <c r="B812">
        <v>8.3781757354736293</v>
      </c>
      <c r="C812">
        <v>8.3772602081298793</v>
      </c>
      <c r="D812">
        <v>13.767860412597701</v>
      </c>
      <c r="E812">
        <v>8.0074138641357404</v>
      </c>
      <c r="F812">
        <v>15.1507024765015</v>
      </c>
      <c r="G812">
        <v>17.445198059081999</v>
      </c>
      <c r="H812">
        <v>19.8086948394775</v>
      </c>
      <c r="I812">
        <v>22.028682708740199</v>
      </c>
      <c r="J812">
        <v>24.317232131958001</v>
      </c>
      <c r="K812">
        <v>26.1839485168457</v>
      </c>
      <c r="L812">
        <v>27.423599243164102</v>
      </c>
      <c r="M812">
        <v>28.603431701660199</v>
      </c>
      <c r="N812">
        <v>29.3214435577393</v>
      </c>
      <c r="O812">
        <v>29.774486541748001</v>
      </c>
      <c r="P812">
        <v>30.1320896148682</v>
      </c>
      <c r="Q812">
        <v>30.226545333862301</v>
      </c>
      <c r="R812">
        <v>30.416906356811499</v>
      </c>
      <c r="S812">
        <v>30.663860321044901</v>
      </c>
      <c r="T812">
        <v>30.799253463745099</v>
      </c>
      <c r="U812">
        <v>31.115032196044901</v>
      </c>
      <c r="V812">
        <v>31.5948371887207</v>
      </c>
      <c r="W812">
        <v>31.898286819458001</v>
      </c>
      <c r="X812">
        <v>32.294849395752003</v>
      </c>
      <c r="Y812">
        <v>32.6415824890137</v>
      </c>
      <c r="Z812">
        <v>33.036785125732401</v>
      </c>
      <c r="AA812">
        <v>6.1471939086914097E-2</v>
      </c>
    </row>
    <row r="813" spans="1:27" x14ac:dyDescent="0.25">
      <c r="A813" t="s">
        <v>510</v>
      </c>
      <c r="B813">
        <v>7.0546379089355504</v>
      </c>
      <c r="C813">
        <v>7.0191588401794398</v>
      </c>
      <c r="D813">
        <v>9.1784105300903303</v>
      </c>
      <c r="E813">
        <v>6.3232793807983398</v>
      </c>
      <c r="F813">
        <v>6.7862815856933603</v>
      </c>
      <c r="G813">
        <v>6.7554225921630904</v>
      </c>
      <c r="H813">
        <v>6.8966388702392596</v>
      </c>
      <c r="I813">
        <v>6.9007439613342303</v>
      </c>
      <c r="J813">
        <v>7.0371451377868697</v>
      </c>
      <c r="K813">
        <v>7.2394108772277797</v>
      </c>
      <c r="L813">
        <v>7.3461008071899396</v>
      </c>
      <c r="M813">
        <v>7.5131673812866202</v>
      </c>
      <c r="N813">
        <v>7.6775636672973597</v>
      </c>
      <c r="O813">
        <v>7.7008471488952601</v>
      </c>
      <c r="P813">
        <v>7.47206687927246</v>
      </c>
      <c r="Q813">
        <v>7.1458010673522896</v>
      </c>
      <c r="R813">
        <v>7.2566452026367196</v>
      </c>
      <c r="S813">
        <v>7.4941387176513699</v>
      </c>
      <c r="T813">
        <v>7.74432277679443</v>
      </c>
      <c r="U813">
        <v>7.9791569709777797</v>
      </c>
      <c r="V813">
        <v>8.1962327957153303</v>
      </c>
      <c r="W813">
        <v>8.3967161178588903</v>
      </c>
      <c r="X813">
        <v>8.6154594421386701</v>
      </c>
      <c r="Y813">
        <v>8.8489608764648402</v>
      </c>
      <c r="Z813">
        <v>9.0075101852416992</v>
      </c>
      <c r="AA813">
        <v>1.09031200408936E-2</v>
      </c>
    </row>
    <row r="814" spans="1:27" x14ac:dyDescent="0.25">
      <c r="A814" t="s">
        <v>624</v>
      </c>
      <c r="B814">
        <v>1.7355251312255899</v>
      </c>
      <c r="C814">
        <v>1.78000032901764</v>
      </c>
      <c r="D814">
        <v>1.9430780410766599</v>
      </c>
      <c r="E814">
        <v>1.9159911870956401</v>
      </c>
      <c r="F814">
        <v>1.9215773344039899</v>
      </c>
      <c r="G814">
        <v>1.94381320476532</v>
      </c>
      <c r="H814">
        <v>1.96493256092072</v>
      </c>
      <c r="I814">
        <v>1.9859246015548699</v>
      </c>
      <c r="J814">
        <v>2.01386618614197</v>
      </c>
      <c r="K814">
        <v>2.0425341129303001</v>
      </c>
      <c r="L814">
        <v>2.0265669822692902</v>
      </c>
      <c r="M814">
        <v>2.0264971256256099</v>
      </c>
      <c r="N814">
        <v>2.0284991264343302</v>
      </c>
      <c r="O814">
        <v>2.03088283538818</v>
      </c>
      <c r="P814">
        <v>2.0331871509552002</v>
      </c>
      <c r="Q814">
        <v>2.0308041572570801</v>
      </c>
      <c r="R814">
        <v>2.03707003593445</v>
      </c>
      <c r="S814">
        <v>2.0511178970336901</v>
      </c>
      <c r="T814">
        <v>2.0604875087738002</v>
      </c>
      <c r="U814">
        <v>2.07539582252502</v>
      </c>
      <c r="V814">
        <v>2.08802461624146</v>
      </c>
      <c r="W814">
        <v>2.09706377983093</v>
      </c>
      <c r="X814">
        <v>2.11007905006409</v>
      </c>
      <c r="Y814">
        <v>2.1255011558532702</v>
      </c>
      <c r="Z814">
        <v>2.14128541946411</v>
      </c>
      <c r="AA814">
        <v>8.0668926239013707E-3</v>
      </c>
    </row>
    <row r="816" spans="1:27" x14ac:dyDescent="0.25">
      <c r="A816" t="s">
        <v>625</v>
      </c>
    </row>
    <row r="817" spans="1:27" x14ac:dyDescent="0.25">
      <c r="A817" t="s">
        <v>609</v>
      </c>
      <c r="B817">
        <v>15.6574239730835</v>
      </c>
      <c r="C817">
        <v>18.532711029052699</v>
      </c>
      <c r="D817">
        <v>19.588813781738299</v>
      </c>
      <c r="E817">
        <v>17.695808410644499</v>
      </c>
      <c r="F817">
        <v>22.89772605896</v>
      </c>
      <c r="G817">
        <v>25.525800704956101</v>
      </c>
      <c r="H817">
        <v>28.135374069213899</v>
      </c>
      <c r="I817">
        <v>30.695905685424801</v>
      </c>
      <c r="J817">
        <v>33.5143013000488</v>
      </c>
      <c r="K817">
        <v>35.840816497802699</v>
      </c>
      <c r="L817">
        <v>37.6836967468262</v>
      </c>
      <c r="M817">
        <v>39.047306060791001</v>
      </c>
      <c r="N817">
        <v>40.043754577636697</v>
      </c>
      <c r="O817">
        <v>40.646400451660199</v>
      </c>
      <c r="P817">
        <v>41.227584838867202</v>
      </c>
      <c r="Q817">
        <v>41.557403564453097</v>
      </c>
      <c r="R817">
        <v>41.8039360046387</v>
      </c>
      <c r="S817">
        <v>42.135208129882798</v>
      </c>
      <c r="T817">
        <v>42.369644165039098</v>
      </c>
      <c r="U817">
        <v>42.704635620117202</v>
      </c>
      <c r="V817">
        <v>43.125633239746101</v>
      </c>
      <c r="W817">
        <v>43.351551055908203</v>
      </c>
      <c r="X817">
        <v>43.615390777587898</v>
      </c>
      <c r="Y817">
        <v>43.933467864990199</v>
      </c>
      <c r="Z817">
        <v>44.235824584960902</v>
      </c>
      <c r="AA817">
        <v>3.8550496101379401E-2</v>
      </c>
    </row>
    <row r="818" spans="1:27" x14ac:dyDescent="0.25">
      <c r="A818" t="s">
        <v>618</v>
      </c>
      <c r="B818">
        <v>25.5142211914063</v>
      </c>
      <c r="C818">
        <v>26.671012878418001</v>
      </c>
      <c r="D818">
        <v>33.849239349365199</v>
      </c>
      <c r="E818">
        <v>33.586345672607401</v>
      </c>
      <c r="F818">
        <v>27.6864833831787</v>
      </c>
      <c r="G818">
        <v>30.227962493896499</v>
      </c>
      <c r="H818">
        <v>32.657257080078097</v>
      </c>
      <c r="I818">
        <v>32.785953521728501</v>
      </c>
      <c r="J818">
        <v>32.346141815185497</v>
      </c>
      <c r="K818">
        <v>33.964523315429702</v>
      </c>
      <c r="L818">
        <v>35.691123962402301</v>
      </c>
      <c r="M818">
        <v>37.409137725830099</v>
      </c>
      <c r="N818">
        <v>37.7480278015137</v>
      </c>
      <c r="O818">
        <v>37.745933532714801</v>
      </c>
      <c r="P818">
        <v>36.169681549072301</v>
      </c>
      <c r="Q818">
        <v>35.874843597412102</v>
      </c>
      <c r="R818">
        <v>36.162742614746101</v>
      </c>
      <c r="S818">
        <v>36.566848754882798</v>
      </c>
      <c r="T818">
        <v>36.620006561279297</v>
      </c>
      <c r="U818">
        <v>36.971061706542997</v>
      </c>
      <c r="V818">
        <v>37.408500671386697</v>
      </c>
      <c r="W818">
        <v>37.711296081542997</v>
      </c>
      <c r="X818">
        <v>38.137138366699197</v>
      </c>
      <c r="Y818">
        <v>38.524795532226598</v>
      </c>
      <c r="Z818">
        <v>38.908096313476598</v>
      </c>
      <c r="AA818">
        <v>1.65539979934692E-2</v>
      </c>
    </row>
    <row r="819" spans="1:27" x14ac:dyDescent="0.25">
      <c r="A819" t="s">
        <v>619</v>
      </c>
      <c r="B819">
        <v>21.648998260498001</v>
      </c>
      <c r="C819">
        <v>22.819190979003899</v>
      </c>
      <c r="D819">
        <v>26.322273254394499</v>
      </c>
      <c r="E819">
        <v>18.9177551269531</v>
      </c>
      <c r="F819">
        <v>25.436496734619102</v>
      </c>
      <c r="G819">
        <v>27.772588729858398</v>
      </c>
      <c r="H819">
        <v>29.973018646240199</v>
      </c>
      <c r="I819">
        <v>32.347999572753899</v>
      </c>
      <c r="J819">
        <v>35.050952911377003</v>
      </c>
      <c r="K819">
        <v>37.155685424804702</v>
      </c>
      <c r="L819">
        <v>38.4801635742188</v>
      </c>
      <c r="M819">
        <v>39.979705810546903</v>
      </c>
      <c r="N819">
        <v>40.785068511962898</v>
      </c>
      <c r="O819">
        <v>41.3517036437988</v>
      </c>
      <c r="P819">
        <v>41.679214477539098</v>
      </c>
      <c r="Q819">
        <v>41.648273468017599</v>
      </c>
      <c r="R819">
        <v>41.985744476318402</v>
      </c>
      <c r="S819">
        <v>42.461280822753899</v>
      </c>
      <c r="T819">
        <v>42.522396087646499</v>
      </c>
      <c r="U819">
        <v>42.935802459716797</v>
      </c>
      <c r="V819">
        <v>43.453563690185497</v>
      </c>
      <c r="W819">
        <v>43.8141899108887</v>
      </c>
      <c r="X819">
        <v>44.316211700439503</v>
      </c>
      <c r="Y819">
        <v>44.771690368652301</v>
      </c>
      <c r="Z819">
        <v>45.225814819335902</v>
      </c>
      <c r="AA819">
        <v>3.0188679695129401E-2</v>
      </c>
    </row>
    <row r="820" spans="1:27" x14ac:dyDescent="0.25">
      <c r="A820" t="s">
        <v>626</v>
      </c>
      <c r="B820">
        <v>15.2446508407593</v>
      </c>
      <c r="C820">
        <v>16.0964660644531</v>
      </c>
      <c r="D820">
        <v>22.0368041992188</v>
      </c>
      <c r="E820">
        <v>14.6258354187012</v>
      </c>
      <c r="F820">
        <v>18.117679595947301</v>
      </c>
      <c r="G820">
        <v>20.790958404541001</v>
      </c>
      <c r="H820">
        <v>23.098089218139599</v>
      </c>
      <c r="I820">
        <v>25.277437210083001</v>
      </c>
      <c r="J820">
        <v>28.108070373535199</v>
      </c>
      <c r="K820">
        <v>30.063097000122099</v>
      </c>
      <c r="L820">
        <v>31.2007732391357</v>
      </c>
      <c r="M820">
        <v>32.563095092773402</v>
      </c>
      <c r="N820">
        <v>33.216217041015597</v>
      </c>
      <c r="O820">
        <v>33.609565734863303</v>
      </c>
      <c r="P820">
        <v>33.985622406005902</v>
      </c>
      <c r="Q820">
        <v>33.9229927062988</v>
      </c>
      <c r="R820">
        <v>34.1160697937012</v>
      </c>
      <c r="S820">
        <v>34.517745971679702</v>
      </c>
      <c r="T820">
        <v>34.4479789733887</v>
      </c>
      <c r="U820">
        <v>34.882648468017599</v>
      </c>
      <c r="V820">
        <v>35.356975555419901</v>
      </c>
      <c r="W820">
        <v>35.6980171203613</v>
      </c>
      <c r="X820">
        <v>36.117191314697301</v>
      </c>
      <c r="Y820">
        <v>36.502471923828097</v>
      </c>
      <c r="Z820">
        <v>36.943180084228501</v>
      </c>
      <c r="AA820">
        <v>3.6781191825866699E-2</v>
      </c>
    </row>
    <row r="821" spans="1:27" x14ac:dyDescent="0.25">
      <c r="A821" t="s">
        <v>610</v>
      </c>
      <c r="B821">
        <v>19.1713962554932</v>
      </c>
      <c r="C821">
        <v>19.9431247711182</v>
      </c>
      <c r="D821">
        <v>25.703296661376999</v>
      </c>
      <c r="E821">
        <v>18.5521545410156</v>
      </c>
      <c r="F821">
        <v>20.9619140625</v>
      </c>
      <c r="G821">
        <v>23.6791477203369</v>
      </c>
      <c r="H821">
        <v>26.0628471374512</v>
      </c>
      <c r="I821">
        <v>28.599927902221701</v>
      </c>
      <c r="J821">
        <v>31.3183403015137</v>
      </c>
      <c r="K821">
        <v>33.263851165771499</v>
      </c>
      <c r="L821">
        <v>34.408931732177699</v>
      </c>
      <c r="M821">
        <v>35.652828216552699</v>
      </c>
      <c r="N821">
        <v>36.441574096679702</v>
      </c>
      <c r="O821">
        <v>36.859718322753899</v>
      </c>
      <c r="P821">
        <v>37.242115020752003</v>
      </c>
      <c r="Q821">
        <v>37.054904937744098</v>
      </c>
      <c r="R821">
        <v>37.2623291015625</v>
      </c>
      <c r="S821">
        <v>37.674507141113303</v>
      </c>
      <c r="T821">
        <v>37.684783935546903</v>
      </c>
      <c r="U821">
        <v>38.020187377929702</v>
      </c>
      <c r="V821">
        <v>38.413318634033203</v>
      </c>
      <c r="W821">
        <v>38.774890899658203</v>
      </c>
      <c r="X821">
        <v>39.204498291015597</v>
      </c>
      <c r="Y821">
        <v>39.593456268310497</v>
      </c>
      <c r="Z821">
        <v>40.074676513671903</v>
      </c>
      <c r="AA821">
        <v>3.0806779861450199E-2</v>
      </c>
    </row>
    <row r="822" spans="1:27" x14ac:dyDescent="0.25">
      <c r="A822" t="s">
        <v>611</v>
      </c>
      <c r="B822">
        <v>8.4246597290039098</v>
      </c>
      <c r="C822">
        <v>9.2489309310913104</v>
      </c>
      <c r="D822">
        <v>13.7205715179443</v>
      </c>
      <c r="E822">
        <v>7.74660301208496</v>
      </c>
      <c r="F822">
        <v>14.567358970642101</v>
      </c>
      <c r="G822">
        <v>16.791095733642599</v>
      </c>
      <c r="H822">
        <v>19.158735275268601</v>
      </c>
      <c r="I822">
        <v>21.380689620971701</v>
      </c>
      <c r="J822">
        <v>23.7013645172119</v>
      </c>
      <c r="K822">
        <v>25.618089675903299</v>
      </c>
      <c r="L822">
        <v>26.856208801269499</v>
      </c>
      <c r="M822">
        <v>28.053350448608398</v>
      </c>
      <c r="N822">
        <v>28.769941329956101</v>
      </c>
      <c r="O822">
        <v>29.23703956604</v>
      </c>
      <c r="P822">
        <v>29.5975856781006</v>
      </c>
      <c r="Q822">
        <v>29.6960258483887</v>
      </c>
      <c r="R822">
        <v>29.894676208496101</v>
      </c>
      <c r="S822">
        <v>30.160924911498999</v>
      </c>
      <c r="T822">
        <v>30.265388488769499</v>
      </c>
      <c r="U822">
        <v>30.587467193603501</v>
      </c>
      <c r="V822">
        <v>31.0885925292969</v>
      </c>
      <c r="W822">
        <v>31.417993545532202</v>
      </c>
      <c r="X822">
        <v>31.8338527679443</v>
      </c>
      <c r="Y822">
        <v>32.200790405273402</v>
      </c>
      <c r="Z822">
        <v>32.660762786865199</v>
      </c>
      <c r="AA822">
        <v>5.6387543678283698E-2</v>
      </c>
    </row>
    <row r="823" spans="1:27" x14ac:dyDescent="0.25">
      <c r="A823" t="s">
        <v>510</v>
      </c>
      <c r="B823">
        <v>9.5026035308837908</v>
      </c>
      <c r="C823">
        <v>9.0057582855224592</v>
      </c>
      <c r="D823">
        <v>10.3350286483765</v>
      </c>
      <c r="E823">
        <v>8.2461471557617205</v>
      </c>
      <c r="F823">
        <v>8.7815446853637695</v>
      </c>
      <c r="G823">
        <v>8.7498798370361293</v>
      </c>
      <c r="H823">
        <v>8.8216104507446307</v>
      </c>
      <c r="I823">
        <v>8.8623371124267596</v>
      </c>
      <c r="J823">
        <v>9.0222139358520508</v>
      </c>
      <c r="K823">
        <v>9.1982822418212908</v>
      </c>
      <c r="L823">
        <v>9.3107128143310494</v>
      </c>
      <c r="M823">
        <v>9.4842357635497994</v>
      </c>
      <c r="N823">
        <v>9.6566028594970703</v>
      </c>
      <c r="O823">
        <v>9.6935338973999006</v>
      </c>
      <c r="P823">
        <v>9.4843921661377006</v>
      </c>
      <c r="Q823">
        <v>9.1274719238281303</v>
      </c>
      <c r="R823">
        <v>9.1924381256103498</v>
      </c>
      <c r="S823">
        <v>9.4196281433105504</v>
      </c>
      <c r="T823">
        <v>9.6638069152831996</v>
      </c>
      <c r="U823">
        <v>9.8748388290405291</v>
      </c>
      <c r="V823">
        <v>10.1317024230957</v>
      </c>
      <c r="W823">
        <v>10.353573799133301</v>
      </c>
      <c r="X823">
        <v>10.619698524475099</v>
      </c>
      <c r="Y823">
        <v>10.875740051269499</v>
      </c>
      <c r="Z823">
        <v>11.0649738311768</v>
      </c>
      <c r="AA823">
        <v>8.99326801300049E-3</v>
      </c>
    </row>
    <row r="824" spans="1:27" x14ac:dyDescent="0.25">
      <c r="A824" t="s">
        <v>614</v>
      </c>
      <c r="B824">
        <v>3.6353600025177002</v>
      </c>
      <c r="C824">
        <v>3.6099998950958301</v>
      </c>
      <c r="D824">
        <v>4.0379996299743697</v>
      </c>
      <c r="E824">
        <v>4.5020823478698704</v>
      </c>
      <c r="F824">
        <v>4.3855228424072301</v>
      </c>
      <c r="G824">
        <v>4.3762397766113299</v>
      </c>
      <c r="H824">
        <v>4.3997368812561</v>
      </c>
      <c r="I824">
        <v>4.4189567565918004</v>
      </c>
      <c r="J824">
        <v>4.4347076416015598</v>
      </c>
      <c r="K824">
        <v>4.4522905349731401</v>
      </c>
      <c r="L824">
        <v>4.4603638648986799</v>
      </c>
      <c r="M824">
        <v>4.4635276794433603</v>
      </c>
      <c r="N824">
        <v>4.4729104042053196</v>
      </c>
      <c r="O824">
        <v>4.4708456993103001</v>
      </c>
      <c r="P824">
        <v>4.4873232841491699</v>
      </c>
      <c r="Q824">
        <v>4.5196957588195801</v>
      </c>
      <c r="R824">
        <v>4.5735583305358896</v>
      </c>
      <c r="S824">
        <v>4.6242790222168004</v>
      </c>
      <c r="T824">
        <v>4.6478152275085396</v>
      </c>
      <c r="U824">
        <v>4.6480631828308097</v>
      </c>
      <c r="V824">
        <v>4.6606159210205096</v>
      </c>
      <c r="W824">
        <v>4.6456594467163104</v>
      </c>
      <c r="X824">
        <v>4.6185407638549796</v>
      </c>
      <c r="Y824">
        <v>4.56589651107788</v>
      </c>
      <c r="Z824">
        <v>4.4889969825744602</v>
      </c>
      <c r="AA824">
        <v>9.5199346542358398E-3</v>
      </c>
    </row>
    <row r="825" spans="1:27" x14ac:dyDescent="0.25">
      <c r="A825" t="s">
        <v>627</v>
      </c>
      <c r="B825">
        <v>1.77764248847961</v>
      </c>
      <c r="C825">
        <v>1.81885325908661</v>
      </c>
      <c r="D825">
        <v>1.9807318449020399</v>
      </c>
      <c r="E825">
        <v>1.95691537857056</v>
      </c>
      <c r="F825">
        <v>1.96047616004944</v>
      </c>
      <c r="G825">
        <v>1.9828474521637001</v>
      </c>
      <c r="H825">
        <v>2.0030708312988299</v>
      </c>
      <c r="I825">
        <v>2.0230474472045898</v>
      </c>
      <c r="J825">
        <v>2.04939866065979</v>
      </c>
      <c r="K825">
        <v>2.0778627395629901</v>
      </c>
      <c r="L825">
        <v>2.0609514713287398</v>
      </c>
      <c r="M825">
        <v>2.0600180625915501</v>
      </c>
      <c r="N825">
        <v>2.0618624687194802</v>
      </c>
      <c r="O825">
        <v>2.0638909339904798</v>
      </c>
      <c r="P825">
        <v>2.06605005264282</v>
      </c>
      <c r="Q825">
        <v>2.0636281967163099</v>
      </c>
      <c r="R825">
        <v>2.0698127746582</v>
      </c>
      <c r="S825">
        <v>2.0836849212646502</v>
      </c>
      <c r="T825">
        <v>2.0928261280059801</v>
      </c>
      <c r="U825">
        <v>2.1075301170349099</v>
      </c>
      <c r="V825">
        <v>2.11965775489807</v>
      </c>
      <c r="W825">
        <v>2.12851786613464</v>
      </c>
      <c r="X825">
        <v>2.1413710117340101</v>
      </c>
      <c r="Y825">
        <v>2.1563785076141402</v>
      </c>
      <c r="Z825">
        <v>2.1716537475585902</v>
      </c>
      <c r="AA825">
        <v>7.7377557754516602E-3</v>
      </c>
    </row>
    <row r="826" spans="1:27" x14ac:dyDescent="0.25">
      <c r="A826" t="s">
        <v>616</v>
      </c>
      <c r="B826" t="s">
        <v>788</v>
      </c>
      <c r="C826" t="s">
        <v>788</v>
      </c>
      <c r="D826">
        <v>0</v>
      </c>
      <c r="E826">
        <v>0</v>
      </c>
      <c r="F826">
        <v>0</v>
      </c>
      <c r="G826">
        <v>1.41293036937714</v>
      </c>
      <c r="H826">
        <v>1.2184369564056401</v>
      </c>
      <c r="I826">
        <v>1.17754483222961</v>
      </c>
      <c r="J826">
        <v>1.3116322755813601</v>
      </c>
      <c r="K826">
        <v>1.2733211517334</v>
      </c>
      <c r="L826">
        <v>1.2851463556289699</v>
      </c>
      <c r="M826">
        <v>1.28024590015411</v>
      </c>
      <c r="N826">
        <v>1.30277991294861</v>
      </c>
      <c r="O826">
        <v>1.29882299900055</v>
      </c>
      <c r="P826">
        <v>1.29265284538269</v>
      </c>
      <c r="Q826">
        <v>1.32939457893372</v>
      </c>
      <c r="R826">
        <v>1.3688597679138199</v>
      </c>
      <c r="S826">
        <v>1.4024136066436801</v>
      </c>
      <c r="T826">
        <v>1.4137438535690301</v>
      </c>
      <c r="U826">
        <v>1.42857146263123</v>
      </c>
      <c r="V826">
        <v>1.43632352352142</v>
      </c>
      <c r="W826">
        <v>1.44281482696533</v>
      </c>
      <c r="X826">
        <v>1.44536685943604</v>
      </c>
      <c r="Y826">
        <v>1.4501197338104199</v>
      </c>
      <c r="Z826">
        <v>1.4655066728591899</v>
      </c>
      <c r="AA826" t="s">
        <v>788</v>
      </c>
    </row>
    <row r="827" spans="1:27" x14ac:dyDescent="0.25">
      <c r="A827" t="s">
        <v>479</v>
      </c>
      <c r="B827">
        <v>26.6758422851563</v>
      </c>
      <c r="C827">
        <v>26.701194763183601</v>
      </c>
      <c r="D827">
        <v>28.207727432251001</v>
      </c>
      <c r="E827">
        <v>28.274074554443398</v>
      </c>
      <c r="F827">
        <v>26.651882171630898</v>
      </c>
      <c r="G827">
        <v>27.076250076293899</v>
      </c>
      <c r="H827">
        <v>26.8856010437012</v>
      </c>
      <c r="I827">
        <v>27.034772872924801</v>
      </c>
      <c r="J827">
        <v>27.029661178588899</v>
      </c>
      <c r="K827">
        <v>27.3082084655762</v>
      </c>
      <c r="L827">
        <v>27.613113403320298</v>
      </c>
      <c r="M827">
        <v>27.833410263061499</v>
      </c>
      <c r="N827">
        <v>28.1487426757813</v>
      </c>
      <c r="O827">
        <v>28.391799926757798</v>
      </c>
      <c r="P827">
        <v>28.5583095550537</v>
      </c>
      <c r="Q827">
        <v>28.353569030761701</v>
      </c>
      <c r="R827">
        <v>28.399204254150401</v>
      </c>
      <c r="S827">
        <v>28.738731384277301</v>
      </c>
      <c r="T827">
        <v>29.230339050293001</v>
      </c>
      <c r="U827">
        <v>29.757205963134801</v>
      </c>
      <c r="V827">
        <v>30.155431747436499</v>
      </c>
      <c r="W827">
        <v>30.516889572143601</v>
      </c>
      <c r="X827">
        <v>30.855388641357401</v>
      </c>
      <c r="Y827">
        <v>31.007261276245099</v>
      </c>
      <c r="Z827">
        <v>31.1231689453125</v>
      </c>
      <c r="AA827">
        <v>6.6850185394287101E-3</v>
      </c>
    </row>
    <row r="829" spans="1:27" x14ac:dyDescent="0.25">
      <c r="A829" t="s">
        <v>513</v>
      </c>
    </row>
    <row r="830" spans="1:27" x14ac:dyDescent="0.25">
      <c r="A830" t="s">
        <v>725</v>
      </c>
    </row>
    <row r="831" spans="1:27" x14ac:dyDescent="0.25">
      <c r="A831" t="s">
        <v>473</v>
      </c>
      <c r="B831">
        <v>231.08920288085901</v>
      </c>
      <c r="C831">
        <v>238.37773132324199</v>
      </c>
      <c r="D831">
        <v>252.94381713867199</v>
      </c>
      <c r="E831">
        <v>239.17680358886699</v>
      </c>
      <c r="F831">
        <v>239.69950866699199</v>
      </c>
      <c r="G831">
        <v>245.75201416015599</v>
      </c>
      <c r="H831">
        <v>249.44010925293</v>
      </c>
      <c r="I831">
        <v>251.653884887695</v>
      </c>
      <c r="J831">
        <v>255.77357482910199</v>
      </c>
      <c r="K831">
        <v>260.52627563476602</v>
      </c>
      <c r="L831">
        <v>265.15460205078102</v>
      </c>
      <c r="M831">
        <v>269.22512817382801</v>
      </c>
      <c r="N831">
        <v>274.38430786132801</v>
      </c>
      <c r="O831">
        <v>278.28405761718801</v>
      </c>
      <c r="P831">
        <v>280.47280883789102</v>
      </c>
      <c r="Q831">
        <v>279.25845336914102</v>
      </c>
      <c r="R831">
        <v>282.19268798828102</v>
      </c>
      <c r="S831">
        <v>287.70663452148398</v>
      </c>
      <c r="T831">
        <v>294.26138305664102</v>
      </c>
      <c r="U831">
        <v>299.7646484375</v>
      </c>
      <c r="V831">
        <v>305.77548217773398</v>
      </c>
      <c r="W831">
        <v>311.16711425781301</v>
      </c>
      <c r="X831">
        <v>317.20748901367199</v>
      </c>
      <c r="Y831">
        <v>320.85021972656301</v>
      </c>
      <c r="Z831">
        <v>324.46701049804699</v>
      </c>
      <c r="AA831">
        <v>1.34958028793335E-2</v>
      </c>
    </row>
    <row r="832" spans="1:27" x14ac:dyDescent="0.25">
      <c r="A832" t="s">
        <v>480</v>
      </c>
      <c r="B832">
        <v>170.28286743164099</v>
      </c>
      <c r="C832">
        <v>173.08578491210901</v>
      </c>
      <c r="D832">
        <v>185.76397705078099</v>
      </c>
      <c r="E832">
        <v>178.33143615722699</v>
      </c>
      <c r="F832">
        <v>175.53163146972699</v>
      </c>
      <c r="G832">
        <v>180.70600891113301</v>
      </c>
      <c r="H832">
        <v>182.55152893066401</v>
      </c>
      <c r="I832">
        <v>186.30380249023401</v>
      </c>
      <c r="J832">
        <v>190.25302124023401</v>
      </c>
      <c r="K832">
        <v>195.77976989746099</v>
      </c>
      <c r="L832">
        <v>200.96725463867199</v>
      </c>
      <c r="M832">
        <v>206.10406494140599</v>
      </c>
      <c r="N832">
        <v>211.46237182617199</v>
      </c>
      <c r="O832">
        <v>215.83396911621099</v>
      </c>
      <c r="P832">
        <v>218.91777038574199</v>
      </c>
      <c r="Q832">
        <v>219.36863708496099</v>
      </c>
      <c r="R832">
        <v>222.59973144531301</v>
      </c>
      <c r="S832">
        <v>228.27235412597699</v>
      </c>
      <c r="T832">
        <v>234.30972290039099</v>
      </c>
      <c r="U832">
        <v>240.46255493164099</v>
      </c>
      <c r="V832">
        <v>246.24565124511699</v>
      </c>
      <c r="W832">
        <v>251.95404052734401</v>
      </c>
      <c r="X832">
        <v>257.89071655273398</v>
      </c>
      <c r="Y832">
        <v>262.67080688476602</v>
      </c>
      <c r="Z832">
        <v>267.35046386718801</v>
      </c>
      <c r="AA832">
        <v>1.9083023071289101E-2</v>
      </c>
    </row>
    <row r="833" spans="1:27" x14ac:dyDescent="0.25">
      <c r="A833" t="s">
        <v>515</v>
      </c>
      <c r="B833">
        <v>216.12767028808599</v>
      </c>
      <c r="C833">
        <v>226.84164428710901</v>
      </c>
      <c r="D833">
        <v>256.28231811523398</v>
      </c>
      <c r="E833">
        <v>205.24591064453099</v>
      </c>
      <c r="F833">
        <v>215.22320556640599</v>
      </c>
      <c r="G833">
        <v>231.62438964843801</v>
      </c>
      <c r="H833">
        <v>251.65115356445301</v>
      </c>
      <c r="I833">
        <v>268.80010986328102</v>
      </c>
      <c r="J833">
        <v>283.12625122070301</v>
      </c>
      <c r="K833">
        <v>295.85977172851602</v>
      </c>
      <c r="L833">
        <v>303.21740722656301</v>
      </c>
      <c r="M833">
        <v>310.33920288085898</v>
      </c>
      <c r="N833">
        <v>314.45690917968801</v>
      </c>
      <c r="O833">
        <v>315.63778686523398</v>
      </c>
      <c r="P833">
        <v>314.44158935546898</v>
      </c>
      <c r="Q833">
        <v>311.38638305664102</v>
      </c>
      <c r="R833">
        <v>313.677490234375</v>
      </c>
      <c r="S833">
        <v>317.87069702148398</v>
      </c>
      <c r="T833">
        <v>322.22720336914102</v>
      </c>
      <c r="U833">
        <v>327.49166870117199</v>
      </c>
      <c r="V833">
        <v>332.22317504882801</v>
      </c>
      <c r="W833">
        <v>336.22024536132801</v>
      </c>
      <c r="X833">
        <v>341.05575561523398</v>
      </c>
      <c r="Y833">
        <v>345.55453491210898</v>
      </c>
      <c r="Z833">
        <v>349.17462158203102</v>
      </c>
      <c r="AA833">
        <v>1.8929958343505901E-2</v>
      </c>
    </row>
    <row r="834" spans="1:27" x14ac:dyDescent="0.25">
      <c r="A834" t="s">
        <v>487</v>
      </c>
      <c r="B834">
        <v>564.63043212890602</v>
      </c>
      <c r="C834">
        <v>596.754638671875</v>
      </c>
      <c r="D834">
        <v>694.30163574218795</v>
      </c>
      <c r="E834">
        <v>484.89761352539102</v>
      </c>
      <c r="F834">
        <v>634.28308105468795</v>
      </c>
      <c r="G834">
        <v>713.26568603515602</v>
      </c>
      <c r="H834">
        <v>779.22229003906295</v>
      </c>
      <c r="I834">
        <v>844.09631347656295</v>
      </c>
      <c r="J834">
        <v>905.84466552734398</v>
      </c>
      <c r="K834">
        <v>934.9755859375</v>
      </c>
      <c r="L834">
        <v>954.39727783203102</v>
      </c>
      <c r="M834">
        <v>974.517578125</v>
      </c>
      <c r="N834">
        <v>987.50305175781295</v>
      </c>
      <c r="O834">
        <v>994.324462890625</v>
      </c>
      <c r="P834">
        <v>995.15118408203102</v>
      </c>
      <c r="Q834">
        <v>988.80041503906295</v>
      </c>
      <c r="R834">
        <v>994.07275390625</v>
      </c>
      <c r="S834">
        <v>1004.81390380859</v>
      </c>
      <c r="T834">
        <v>1007.67785644531</v>
      </c>
      <c r="U834">
        <v>1021.18786621094</v>
      </c>
      <c r="V834">
        <v>1038.30029296875</v>
      </c>
      <c r="W834">
        <v>1054.15161132813</v>
      </c>
      <c r="X834">
        <v>1073.83544921875</v>
      </c>
      <c r="Y834">
        <v>1093.56530761719</v>
      </c>
      <c r="Z834">
        <v>1116.07727050781</v>
      </c>
      <c r="AA834">
        <v>2.7594208717346198E-2</v>
      </c>
    </row>
    <row r="835" spans="1:27" x14ac:dyDescent="0.25">
      <c r="A835" t="s">
        <v>516</v>
      </c>
      <c r="B835">
        <v>1182.13012695313</v>
      </c>
      <c r="C835">
        <v>1235.05981445313</v>
      </c>
      <c r="D835">
        <v>1389.29174804688</v>
      </c>
      <c r="E835">
        <v>1107.65173339844</v>
      </c>
      <c r="F835">
        <v>1264.73742675781</v>
      </c>
      <c r="G835">
        <v>1371.34814453125</v>
      </c>
      <c r="H835">
        <v>1462.86511230469</v>
      </c>
      <c r="I835">
        <v>1550.85412597656</v>
      </c>
      <c r="J835">
        <v>1634.99755859375</v>
      </c>
      <c r="K835">
        <v>1687.14135742188</v>
      </c>
      <c r="L835">
        <v>1723.73657226563</v>
      </c>
      <c r="M835">
        <v>1760.18603515625</v>
      </c>
      <c r="N835">
        <v>1787.806640625</v>
      </c>
      <c r="O835">
        <v>1804.08032226563</v>
      </c>
      <c r="P835">
        <v>1808.9833984375</v>
      </c>
      <c r="Q835">
        <v>1798.81384277344</v>
      </c>
      <c r="R835">
        <v>1812.54272460938</v>
      </c>
      <c r="S835">
        <v>1838.66357421875</v>
      </c>
      <c r="T835">
        <v>1858.47619628906</v>
      </c>
      <c r="U835">
        <v>1888.90673828125</v>
      </c>
      <c r="V835">
        <v>1922.54455566406</v>
      </c>
      <c r="W835">
        <v>1953.49304199219</v>
      </c>
      <c r="X835">
        <v>1989.98937988281</v>
      </c>
      <c r="Y835">
        <v>2022.64086914063</v>
      </c>
      <c r="Z835">
        <v>2057.0693359375</v>
      </c>
      <c r="AA835">
        <v>2.2428870201110802E-2</v>
      </c>
    </row>
    <row r="836" spans="1:27" x14ac:dyDescent="0.25">
      <c r="A836" t="s">
        <v>629</v>
      </c>
      <c r="B836">
        <v>3.2134380191564602E-2</v>
      </c>
      <c r="C836">
        <v>4.0766973048448597E-2</v>
      </c>
      <c r="D836">
        <v>3.9758257567882503E-2</v>
      </c>
      <c r="E836">
        <v>2.0912932232022299E-2</v>
      </c>
      <c r="F836">
        <v>6.9471828639507294E-2</v>
      </c>
      <c r="G836">
        <v>8.6778029799461406E-2</v>
      </c>
      <c r="H836">
        <v>0.106363005936146</v>
      </c>
      <c r="I836">
        <v>0.55913984775543202</v>
      </c>
      <c r="J836">
        <v>7.9643964767456099</v>
      </c>
      <c r="K836">
        <v>27.973939895629901</v>
      </c>
      <c r="L836">
        <v>38.499557495117202</v>
      </c>
      <c r="M836">
        <v>49.285560607910199</v>
      </c>
      <c r="N836">
        <v>55.498867034912102</v>
      </c>
      <c r="O836">
        <v>59.983543395996101</v>
      </c>
      <c r="P836">
        <v>63.057430267333999</v>
      </c>
      <c r="Q836">
        <v>67.662658691406307</v>
      </c>
      <c r="R836">
        <v>73.058197021484403</v>
      </c>
      <c r="S836">
        <v>78.445304870605497</v>
      </c>
      <c r="T836">
        <v>82.808517456054702</v>
      </c>
      <c r="U836">
        <v>87.534194946289105</v>
      </c>
      <c r="V836">
        <v>92.150848388671903</v>
      </c>
      <c r="W836">
        <v>96.100090026855497</v>
      </c>
      <c r="X836">
        <v>99.981544494628906</v>
      </c>
      <c r="Y836">
        <v>103.37892150878901</v>
      </c>
      <c r="Z836">
        <v>106.394973754883</v>
      </c>
      <c r="AA836">
        <v>0.407824020385742</v>
      </c>
    </row>
    <row r="837" spans="1:27" x14ac:dyDescent="0.25">
      <c r="A837" t="s">
        <v>518</v>
      </c>
      <c r="B837">
        <v>1182.16223144531</v>
      </c>
      <c r="C837">
        <v>1235.1005859375</v>
      </c>
      <c r="D837">
        <v>1389.33154296875</v>
      </c>
      <c r="E837">
        <v>1107.67260742188</v>
      </c>
      <c r="F837">
        <v>1264.80688476563</v>
      </c>
      <c r="G837">
        <v>1371.43493652344</v>
      </c>
      <c r="H837">
        <v>1462.97143554688</v>
      </c>
      <c r="I837">
        <v>1551.41320800781</v>
      </c>
      <c r="J837">
        <v>1642.9619140625</v>
      </c>
      <c r="K837">
        <v>1715.11535644531</v>
      </c>
      <c r="L837">
        <v>1762.23608398438</v>
      </c>
      <c r="M837">
        <v>1809.47155761719</v>
      </c>
      <c r="N837">
        <v>1843.30554199219</v>
      </c>
      <c r="O837">
        <v>1864.06384277344</v>
      </c>
      <c r="P837">
        <v>1872.04077148438</v>
      </c>
      <c r="Q837">
        <v>1866.4765625</v>
      </c>
      <c r="R837">
        <v>1885.60095214844</v>
      </c>
      <c r="S837">
        <v>1917.10888671875</v>
      </c>
      <c r="T837">
        <v>1941.28466796875</v>
      </c>
      <c r="U837">
        <v>1976.44091796875</v>
      </c>
      <c r="V837">
        <v>2014.69543457031</v>
      </c>
      <c r="W837">
        <v>2049.59301757813</v>
      </c>
      <c r="X837">
        <v>2089.97094726563</v>
      </c>
      <c r="Y837">
        <v>2126.01977539063</v>
      </c>
      <c r="Z837">
        <v>2163.46435546875</v>
      </c>
      <c r="AA837">
        <v>2.4671554565429701E-2</v>
      </c>
    </row>
    <row r="840" spans="1:27" x14ac:dyDescent="0.25">
      <c r="A840" t="s">
        <v>726</v>
      </c>
    </row>
    <row r="841" spans="1:27" x14ac:dyDescent="0.25">
      <c r="A841" t="s">
        <v>473</v>
      </c>
    </row>
    <row r="842" spans="1:27" x14ac:dyDescent="0.25">
      <c r="A842" t="s">
        <v>609</v>
      </c>
      <c r="B842">
        <v>23.257051467895501</v>
      </c>
      <c r="C842">
        <v>24.976987838745099</v>
      </c>
      <c r="D842">
        <v>29.065778732299801</v>
      </c>
      <c r="E842">
        <v>23.2960910797119</v>
      </c>
      <c r="F842">
        <v>29.4280681610107</v>
      </c>
      <c r="G842">
        <v>32.889183044433601</v>
      </c>
      <c r="H842">
        <v>36.6288871765137</v>
      </c>
      <c r="I842">
        <v>40.505104064941399</v>
      </c>
      <c r="J842">
        <v>44.8352661132813</v>
      </c>
      <c r="K842">
        <v>48.719963073730497</v>
      </c>
      <c r="L842">
        <v>52.086635589599602</v>
      </c>
      <c r="M842">
        <v>54.978519439697301</v>
      </c>
      <c r="N842">
        <v>57.4362182617188</v>
      </c>
      <c r="O842">
        <v>59.445770263671903</v>
      </c>
      <c r="P842">
        <v>61.391433715820298</v>
      </c>
      <c r="Q842">
        <v>62.804817199707003</v>
      </c>
      <c r="R842">
        <v>63.970870971679702</v>
      </c>
      <c r="S842">
        <v>65.233825683593807</v>
      </c>
      <c r="T842">
        <v>66.208908081054702</v>
      </c>
      <c r="U842">
        <v>67.332000732421903</v>
      </c>
      <c r="V842">
        <v>68.596176147460895</v>
      </c>
      <c r="W842">
        <v>69.652244567871094</v>
      </c>
      <c r="X842">
        <v>70.7481689453125</v>
      </c>
      <c r="Y842">
        <v>71.979537963867202</v>
      </c>
      <c r="Z842">
        <v>73.22802734375</v>
      </c>
      <c r="AA842">
        <v>4.7877073287963902E-2</v>
      </c>
    </row>
    <row r="843" spans="1:27" x14ac:dyDescent="0.25">
      <c r="A843" t="s">
        <v>610</v>
      </c>
      <c r="B843">
        <v>17.9798793792725</v>
      </c>
      <c r="C843">
        <v>19.6639919281006</v>
      </c>
      <c r="D843">
        <v>24.3671779632568</v>
      </c>
      <c r="E843">
        <v>19.1102085113525</v>
      </c>
      <c r="F843">
        <v>21.806400299072301</v>
      </c>
      <c r="G843">
        <v>24.6327724456787</v>
      </c>
      <c r="H843">
        <v>27.526374816894499</v>
      </c>
      <c r="I843">
        <v>30.2902221679688</v>
      </c>
      <c r="J843">
        <v>34.194293975830099</v>
      </c>
      <c r="K843">
        <v>37.316211700439503</v>
      </c>
      <c r="L843">
        <v>39.8068237304688</v>
      </c>
      <c r="M843">
        <v>41.9394340515137</v>
      </c>
      <c r="N843">
        <v>44.014728546142599</v>
      </c>
      <c r="O843">
        <v>45.545963287353501</v>
      </c>
      <c r="P843">
        <v>47.042560577392599</v>
      </c>
      <c r="Q843">
        <v>47.727027893066399</v>
      </c>
      <c r="R843">
        <v>48.543346405029297</v>
      </c>
      <c r="S843">
        <v>49.706432342529297</v>
      </c>
      <c r="T843">
        <v>50.280788421630902</v>
      </c>
      <c r="U843">
        <v>51.184494018554702</v>
      </c>
      <c r="V843">
        <v>52.296066284179702</v>
      </c>
      <c r="W843">
        <v>53.400947570800803</v>
      </c>
      <c r="X843">
        <v>54.528671264648402</v>
      </c>
      <c r="Y843">
        <v>55.612415313720703</v>
      </c>
      <c r="Z843">
        <v>56.540290832519503</v>
      </c>
      <c r="AA843">
        <v>4.6990871429443401E-2</v>
      </c>
    </row>
    <row r="844" spans="1:27" x14ac:dyDescent="0.25">
      <c r="A844" t="s">
        <v>510</v>
      </c>
      <c r="B844">
        <v>13.3406887054443</v>
      </c>
      <c r="C844">
        <v>12.691158294677701</v>
      </c>
      <c r="D844">
        <v>13.3287906646729</v>
      </c>
      <c r="E844">
        <v>12.1788377761841</v>
      </c>
      <c r="F844">
        <v>12.9910278320313</v>
      </c>
      <c r="G844">
        <v>13.095386505126999</v>
      </c>
      <c r="H844">
        <v>13.3549995422363</v>
      </c>
      <c r="I844">
        <v>13.6636142730713</v>
      </c>
      <c r="J844">
        <v>14.100858688354499</v>
      </c>
      <c r="K844">
        <v>14.6119728088379</v>
      </c>
      <c r="L844">
        <v>15.068768501281699</v>
      </c>
      <c r="M844">
        <v>15.646878242492701</v>
      </c>
      <c r="N844">
        <v>16.202325820922901</v>
      </c>
      <c r="O844">
        <v>16.6011772155762</v>
      </c>
      <c r="P844">
        <v>16.638313293456999</v>
      </c>
      <c r="Q844">
        <v>16.434179306030298</v>
      </c>
      <c r="R844">
        <v>16.716007232666001</v>
      </c>
      <c r="S844">
        <v>17.266981124877901</v>
      </c>
      <c r="T844">
        <v>17.790235519409201</v>
      </c>
      <c r="U844">
        <v>18.257511138916001</v>
      </c>
      <c r="V844">
        <v>18.8174343109131</v>
      </c>
      <c r="W844">
        <v>19.361801147460898</v>
      </c>
      <c r="X844">
        <v>19.9677219390869</v>
      </c>
      <c r="Y844">
        <v>20.5712070465088</v>
      </c>
      <c r="Z844">
        <v>21.078121185302699</v>
      </c>
      <c r="AA844">
        <v>2.2302865982055699E-2</v>
      </c>
    </row>
    <row r="845" spans="1:27" x14ac:dyDescent="0.25">
      <c r="A845" t="s">
        <v>479</v>
      </c>
      <c r="B845">
        <v>30.388185501098601</v>
      </c>
      <c r="C845">
        <v>31.187788009643601</v>
      </c>
      <c r="D845">
        <v>33.115669250488303</v>
      </c>
      <c r="E845">
        <v>33.781986236572301</v>
      </c>
      <c r="F845">
        <v>32.814785003662102</v>
      </c>
      <c r="G845">
        <v>34.077308654785199</v>
      </c>
      <c r="H845">
        <v>34.736278533935497</v>
      </c>
      <c r="I845">
        <v>35.890495300292997</v>
      </c>
      <c r="J845">
        <v>36.7275390625</v>
      </c>
      <c r="K845">
        <v>37.879070281982401</v>
      </c>
      <c r="L845">
        <v>39.014167785644503</v>
      </c>
      <c r="M845">
        <v>40.139362335205099</v>
      </c>
      <c r="N845">
        <v>41.365802764892599</v>
      </c>
      <c r="O845">
        <v>42.518196105957003</v>
      </c>
      <c r="P845">
        <v>43.5210151672363</v>
      </c>
      <c r="Q845">
        <v>43.962184906005902</v>
      </c>
      <c r="R845">
        <v>44.622589111328097</v>
      </c>
      <c r="S845">
        <v>45.6438598632813</v>
      </c>
      <c r="T845">
        <v>46.812854766845703</v>
      </c>
      <c r="U845">
        <v>48.041049957275398</v>
      </c>
      <c r="V845">
        <v>49.098915100097699</v>
      </c>
      <c r="W845">
        <v>50.119911193847699</v>
      </c>
      <c r="X845">
        <v>51.109226226806598</v>
      </c>
      <c r="Y845">
        <v>51.910655975341797</v>
      </c>
      <c r="Z845">
        <v>52.645065307617202</v>
      </c>
      <c r="AA845">
        <v>2.3023962974548302E-2</v>
      </c>
    </row>
    <row r="847" spans="1:27" x14ac:dyDescent="0.25">
      <c r="A847" t="s">
        <v>480</v>
      </c>
    </row>
    <row r="848" spans="1:27" x14ac:dyDescent="0.25">
      <c r="A848" t="s">
        <v>609</v>
      </c>
      <c r="B848">
        <v>20.6414604187012</v>
      </c>
      <c r="C848">
        <v>23.041419982910199</v>
      </c>
      <c r="D848">
        <v>24.172060012817401</v>
      </c>
      <c r="E848">
        <v>19.4689617156982</v>
      </c>
      <c r="F848">
        <v>26.076234817504901</v>
      </c>
      <c r="G848">
        <v>29.4727878570557</v>
      </c>
      <c r="H848">
        <v>33.1359672546387</v>
      </c>
      <c r="I848">
        <v>36.924243927002003</v>
      </c>
      <c r="J848">
        <v>41.162197113037102</v>
      </c>
      <c r="K848">
        <v>44.950904846191399</v>
      </c>
      <c r="L848">
        <v>48.2210884094238</v>
      </c>
      <c r="M848">
        <v>51.014842987060497</v>
      </c>
      <c r="N848">
        <v>53.374961853027301</v>
      </c>
      <c r="O848">
        <v>55.285846710205099</v>
      </c>
      <c r="P848">
        <v>57.140815734863303</v>
      </c>
      <c r="Q848">
        <v>58.478668212890597</v>
      </c>
      <c r="R848">
        <v>59.577701568603501</v>
      </c>
      <c r="S848">
        <v>60.778411865234403</v>
      </c>
      <c r="T848">
        <v>61.698631286621101</v>
      </c>
      <c r="U848">
        <v>62.76953125</v>
      </c>
      <c r="V848">
        <v>63.9805717468262</v>
      </c>
      <c r="W848">
        <v>64.980018615722699</v>
      </c>
      <c r="X848">
        <v>66.018135070800795</v>
      </c>
      <c r="Y848">
        <v>67.190345764160199</v>
      </c>
      <c r="Z848">
        <v>68.376495361328097</v>
      </c>
      <c r="AA848">
        <v>4.8429012298583998E-2</v>
      </c>
    </row>
    <row r="849" spans="1:27" x14ac:dyDescent="0.25">
      <c r="A849" t="s">
        <v>610</v>
      </c>
      <c r="B849">
        <v>14.6259565353394</v>
      </c>
      <c r="C849">
        <v>16.054103851318398</v>
      </c>
      <c r="D849">
        <v>21.337766647338899</v>
      </c>
      <c r="E849">
        <v>16.734783172607401</v>
      </c>
      <c r="F849">
        <v>19.112129211425799</v>
      </c>
      <c r="G849">
        <v>22.201026916503899</v>
      </c>
      <c r="H849">
        <v>25.113124847412099</v>
      </c>
      <c r="I849">
        <v>28.0792446136475</v>
      </c>
      <c r="J849">
        <v>31.9088649749756</v>
      </c>
      <c r="K849">
        <v>34.911155700683601</v>
      </c>
      <c r="L849">
        <v>37.174346923828097</v>
      </c>
      <c r="M849">
        <v>39.3967475891113</v>
      </c>
      <c r="N849">
        <v>41.302574157714801</v>
      </c>
      <c r="O849">
        <v>42.740764617919901</v>
      </c>
      <c r="P849">
        <v>44.103927612304702</v>
      </c>
      <c r="Q849">
        <v>44.6142768859863</v>
      </c>
      <c r="R849">
        <v>45.439685821533203</v>
      </c>
      <c r="S849">
        <v>46.523967742919901</v>
      </c>
      <c r="T849">
        <v>47.052040100097699</v>
      </c>
      <c r="U849">
        <v>47.945369720458999</v>
      </c>
      <c r="V849">
        <v>49.002445220947301</v>
      </c>
      <c r="W849">
        <v>50.046310424804702</v>
      </c>
      <c r="X849">
        <v>51.161643981933601</v>
      </c>
      <c r="Y849">
        <v>52.236690521240199</v>
      </c>
      <c r="Z849">
        <v>53.3607368469238</v>
      </c>
      <c r="AA849">
        <v>5.3609848022460903E-2</v>
      </c>
    </row>
    <row r="850" spans="1:27" x14ac:dyDescent="0.25">
      <c r="A850" t="s">
        <v>723</v>
      </c>
      <c r="B850">
        <v>8.64862155914307</v>
      </c>
      <c r="C850">
        <v>10.2142028808594</v>
      </c>
      <c r="D850">
        <v>13.678780555725099</v>
      </c>
      <c r="E850">
        <v>7.0478959083557102</v>
      </c>
      <c r="F850">
        <v>13.512396812439</v>
      </c>
      <c r="G850">
        <v>16.3985290527344</v>
      </c>
      <c r="H850">
        <v>19.012569427490199</v>
      </c>
      <c r="I850">
        <v>21.890174865722699</v>
      </c>
      <c r="J850">
        <v>24.128501892089801</v>
      </c>
      <c r="K850">
        <v>25.886793136596701</v>
      </c>
      <c r="L850">
        <v>28.2118015289307</v>
      </c>
      <c r="M850">
        <v>30.3311157226563</v>
      </c>
      <c r="N850">
        <v>32.112957000732401</v>
      </c>
      <c r="O850">
        <v>33.514438629150398</v>
      </c>
      <c r="P850">
        <v>34.8145141601563</v>
      </c>
      <c r="Q850">
        <v>35.560783386230497</v>
      </c>
      <c r="R850">
        <v>36.361560821533203</v>
      </c>
      <c r="S850">
        <v>37.261711120605497</v>
      </c>
      <c r="T850">
        <v>38.001945495605497</v>
      </c>
      <c r="U850">
        <v>38.855312347412102</v>
      </c>
      <c r="V850">
        <v>39.703739166259801</v>
      </c>
      <c r="W850">
        <v>40.496681213378899</v>
      </c>
      <c r="X850">
        <v>41.409446716308601</v>
      </c>
      <c r="Y850">
        <v>42.337013244628899</v>
      </c>
      <c r="Z850">
        <v>43.256912231445298</v>
      </c>
      <c r="AA850">
        <v>6.4766526222229004E-2</v>
      </c>
    </row>
    <row r="851" spans="1:27" x14ac:dyDescent="0.25">
      <c r="A851" t="s">
        <v>510</v>
      </c>
      <c r="B851">
        <v>11.5840444564819</v>
      </c>
      <c r="C851">
        <v>10.9898433685303</v>
      </c>
      <c r="D851">
        <v>11.799612998962401</v>
      </c>
      <c r="E851">
        <v>10.6018285751343</v>
      </c>
      <c r="F851">
        <v>11.362260818481399</v>
      </c>
      <c r="G851">
        <v>11.475154876709</v>
      </c>
      <c r="H851">
        <v>11.7514343261719</v>
      </c>
      <c r="I851">
        <v>12.0277652740479</v>
      </c>
      <c r="J851">
        <v>12.4501762390137</v>
      </c>
      <c r="K851">
        <v>12.9494619369507</v>
      </c>
      <c r="L851">
        <v>13.3789005279541</v>
      </c>
      <c r="M851">
        <v>13.921801567077599</v>
      </c>
      <c r="N851">
        <v>14.449187278747599</v>
      </c>
      <c r="O851">
        <v>14.8212032318115</v>
      </c>
      <c r="P851">
        <v>14.8503885269165</v>
      </c>
      <c r="Q851">
        <v>14.6376485824585</v>
      </c>
      <c r="R851">
        <v>14.924715995788601</v>
      </c>
      <c r="S851">
        <v>15.472354888916</v>
      </c>
      <c r="T851">
        <v>15.9942817687988</v>
      </c>
      <c r="U851">
        <v>16.425422668456999</v>
      </c>
      <c r="V851">
        <v>16.961009979248001</v>
      </c>
      <c r="W851">
        <v>17.481918334960898</v>
      </c>
      <c r="X851">
        <v>18.074787139892599</v>
      </c>
      <c r="Y851">
        <v>18.633848190307599</v>
      </c>
      <c r="Z851">
        <v>19.104610443115199</v>
      </c>
      <c r="AA851">
        <v>2.43330001831055E-2</v>
      </c>
    </row>
    <row r="852" spans="1:27" x14ac:dyDescent="0.25">
      <c r="A852" t="s">
        <v>479</v>
      </c>
      <c r="B852">
        <v>27.631908416748001</v>
      </c>
      <c r="C852">
        <v>28.073511123657202</v>
      </c>
      <c r="D852">
        <v>30.269506454467798</v>
      </c>
      <c r="E852">
        <v>30.8216876983643</v>
      </c>
      <c r="F852">
        <v>29.006034851074201</v>
      </c>
      <c r="G852">
        <v>29.8260498046875</v>
      </c>
      <c r="H852">
        <v>30.060043334960898</v>
      </c>
      <c r="I852">
        <v>30.832170486450199</v>
      </c>
      <c r="J852">
        <v>31.454517364501999</v>
      </c>
      <c r="K852">
        <v>32.508445739746101</v>
      </c>
      <c r="L852">
        <v>33.630722045898402</v>
      </c>
      <c r="M852">
        <v>34.661285400390597</v>
      </c>
      <c r="N852">
        <v>35.815185546875</v>
      </c>
      <c r="O852">
        <v>36.874931335449197</v>
      </c>
      <c r="P852">
        <v>37.752494812011697</v>
      </c>
      <c r="Q852">
        <v>37.956661224365199</v>
      </c>
      <c r="R852">
        <v>38.443679809570298</v>
      </c>
      <c r="S852">
        <v>39.3442993164063</v>
      </c>
      <c r="T852">
        <v>40.383541107177699</v>
      </c>
      <c r="U852">
        <v>41.463935852050803</v>
      </c>
      <c r="V852">
        <v>42.393783569335902</v>
      </c>
      <c r="W852">
        <v>43.349544525146499</v>
      </c>
      <c r="X852">
        <v>44.305282592773402</v>
      </c>
      <c r="Y852">
        <v>44.995758056640597</v>
      </c>
      <c r="Z852">
        <v>45.729721069335902</v>
      </c>
      <c r="AA852">
        <v>2.1440625190734901E-2</v>
      </c>
    </row>
    <row r="854" spans="1:27" x14ac:dyDescent="0.25">
      <c r="A854" t="s">
        <v>612</v>
      </c>
    </row>
    <row r="855" spans="1:27" x14ac:dyDescent="0.25">
      <c r="A855" t="s">
        <v>609</v>
      </c>
      <c r="B855">
        <v>20.489151000976602</v>
      </c>
      <c r="C855">
        <v>23.3795356750488</v>
      </c>
      <c r="D855">
        <v>26.133235931396499</v>
      </c>
      <c r="E855">
        <v>19.561550140380898</v>
      </c>
      <c r="F855">
        <v>25.202880859375</v>
      </c>
      <c r="G855">
        <v>28.5882358551025</v>
      </c>
      <c r="H855">
        <v>32.290554046630902</v>
      </c>
      <c r="I855">
        <v>36.061496734619098</v>
      </c>
      <c r="J855">
        <v>40.28466796875</v>
      </c>
      <c r="K855">
        <v>44.048030853271499</v>
      </c>
      <c r="L855">
        <v>47.2955131530762</v>
      </c>
      <c r="M855">
        <v>50.066734313964801</v>
      </c>
      <c r="N855">
        <v>52.406539916992202</v>
      </c>
      <c r="O855">
        <v>54.297653198242202</v>
      </c>
      <c r="P855">
        <v>56.132820129394503</v>
      </c>
      <c r="Q855">
        <v>57.455539703369098</v>
      </c>
      <c r="R855">
        <v>58.540603637695298</v>
      </c>
      <c r="S855">
        <v>59.729427337646499</v>
      </c>
      <c r="T855">
        <v>60.639110565185497</v>
      </c>
      <c r="U855">
        <v>61.701614379882798</v>
      </c>
      <c r="V855">
        <v>62.903518676757798</v>
      </c>
      <c r="W855">
        <v>63.889602661132798</v>
      </c>
      <c r="X855">
        <v>64.916366577148395</v>
      </c>
      <c r="Y855">
        <v>66.076919555664105</v>
      </c>
      <c r="Z855">
        <v>67.252586364746094</v>
      </c>
      <c r="AA855">
        <v>4.7010421752929701E-2</v>
      </c>
    </row>
    <row r="856" spans="1:27" x14ac:dyDescent="0.25">
      <c r="A856" t="s">
        <v>610</v>
      </c>
      <c r="B856">
        <v>15.3226890563965</v>
      </c>
      <c r="C856">
        <v>16.821935653686499</v>
      </c>
      <c r="D856">
        <v>22.332750320434599</v>
      </c>
      <c r="E856">
        <v>17.412950515747099</v>
      </c>
      <c r="F856">
        <v>18.955553054809599</v>
      </c>
      <c r="G856">
        <v>22.4802551269531</v>
      </c>
      <c r="H856">
        <v>25.400894165039102</v>
      </c>
      <c r="I856">
        <v>28.652246475219702</v>
      </c>
      <c r="J856">
        <v>32.3572998046875</v>
      </c>
      <c r="K856">
        <v>35.336254119872997</v>
      </c>
      <c r="L856">
        <v>37.494544982910199</v>
      </c>
      <c r="M856">
        <v>39.832122802734403</v>
      </c>
      <c r="N856">
        <v>41.674594879150398</v>
      </c>
      <c r="O856">
        <v>43.103801727294901</v>
      </c>
      <c r="P856">
        <v>44.428688049316399</v>
      </c>
      <c r="Q856">
        <v>44.866687774658203</v>
      </c>
      <c r="R856">
        <v>45.735679626464801</v>
      </c>
      <c r="S856">
        <v>46.827323913574197</v>
      </c>
      <c r="T856">
        <v>47.345386505127003</v>
      </c>
      <c r="U856">
        <v>48.241344451904297</v>
      </c>
      <c r="V856">
        <v>49.266075134277301</v>
      </c>
      <c r="W856">
        <v>50.299819946289098</v>
      </c>
      <c r="X856">
        <v>51.440353393554702</v>
      </c>
      <c r="Y856">
        <v>52.541526794433601</v>
      </c>
      <c r="Z856">
        <v>53.812774658203097</v>
      </c>
      <c r="AA856">
        <v>5.1857590675353997E-2</v>
      </c>
    </row>
    <row r="857" spans="1:27" x14ac:dyDescent="0.25">
      <c r="A857" t="s">
        <v>611</v>
      </c>
      <c r="B857">
        <v>8.9708585739135707</v>
      </c>
      <c r="C857">
        <v>10.494535446166999</v>
      </c>
      <c r="D857">
        <v>14.024219512939499</v>
      </c>
      <c r="E857">
        <v>7.2929735183715803</v>
      </c>
      <c r="F857">
        <v>18.1905612945557</v>
      </c>
      <c r="G857">
        <v>20.858524322509801</v>
      </c>
      <c r="H857">
        <v>23.838066101074201</v>
      </c>
      <c r="I857">
        <v>26.7543754577637</v>
      </c>
      <c r="J857">
        <v>29.785404205322301</v>
      </c>
      <c r="K857">
        <v>32.473640441894503</v>
      </c>
      <c r="L857">
        <v>34.549385070800803</v>
      </c>
      <c r="M857">
        <v>36.836536407470703</v>
      </c>
      <c r="N857">
        <v>38.547210693359403</v>
      </c>
      <c r="O857">
        <v>39.921348571777301</v>
      </c>
      <c r="P857">
        <v>41.286190032958999</v>
      </c>
      <c r="Q857">
        <v>41.854972839355497</v>
      </c>
      <c r="R857">
        <v>42.746166229247997</v>
      </c>
      <c r="S857">
        <v>43.609909057617202</v>
      </c>
      <c r="T857">
        <v>44.267074584960902</v>
      </c>
      <c r="U857">
        <v>45.101306915283203</v>
      </c>
      <c r="V857">
        <v>46.015933990478501</v>
      </c>
      <c r="W857">
        <v>46.857711791992202</v>
      </c>
      <c r="X857">
        <v>47.978397369384801</v>
      </c>
      <c r="Y857">
        <v>48.9557075500488</v>
      </c>
      <c r="Z857">
        <v>49.742916107177699</v>
      </c>
      <c r="AA857">
        <v>6.9993734359741197E-2</v>
      </c>
    </row>
    <row r="858" spans="1:27" x14ac:dyDescent="0.25">
      <c r="A858" t="s">
        <v>613</v>
      </c>
      <c r="B858">
        <v>7.7475991249084499</v>
      </c>
      <c r="C858">
        <v>7.5151352882385298</v>
      </c>
      <c r="D858">
        <v>9.17633056640625</v>
      </c>
      <c r="E858">
        <v>6.9004168510437003</v>
      </c>
      <c r="F858">
        <v>7.5063500404357901</v>
      </c>
      <c r="G858">
        <v>7.5587930679321298</v>
      </c>
      <c r="H858">
        <v>7.7836766242981001</v>
      </c>
      <c r="I858">
        <v>8.0238990783691406</v>
      </c>
      <c r="J858">
        <v>8.3780012130737305</v>
      </c>
      <c r="K858">
        <v>8.8080673217773402</v>
      </c>
      <c r="L858">
        <v>9.1142396926879901</v>
      </c>
      <c r="M858">
        <v>9.5323905944824201</v>
      </c>
      <c r="N858">
        <v>9.9432659149169904</v>
      </c>
      <c r="O858">
        <v>10.195965766906699</v>
      </c>
      <c r="P858">
        <v>10.1233129501343</v>
      </c>
      <c r="Q858">
        <v>9.8314371109008807</v>
      </c>
      <c r="R858">
        <v>10.063985824585</v>
      </c>
      <c r="S858">
        <v>10.473736763000501</v>
      </c>
      <c r="T858">
        <v>10.920739173889199</v>
      </c>
      <c r="U858">
        <v>11.339237213134799</v>
      </c>
      <c r="V858">
        <v>11.7850589752197</v>
      </c>
      <c r="W858">
        <v>12.198199272155801</v>
      </c>
      <c r="X858">
        <v>12.6780385971069</v>
      </c>
      <c r="Y858">
        <v>13.1651611328125</v>
      </c>
      <c r="Z858">
        <v>13.585069656372101</v>
      </c>
      <c r="AA858">
        <v>2.6075601577758799E-2</v>
      </c>
    </row>
    <row r="859" spans="1:27" x14ac:dyDescent="0.25">
      <c r="A859" t="s">
        <v>614</v>
      </c>
      <c r="B859">
        <v>3.53999996185303</v>
      </c>
      <c r="C859">
        <v>3.6099998950958301</v>
      </c>
      <c r="D859">
        <v>4.1350817680358896</v>
      </c>
      <c r="E859">
        <v>4.6917557716369602</v>
      </c>
      <c r="F859">
        <v>4.6212515830993697</v>
      </c>
      <c r="G859">
        <v>4.6784477233886701</v>
      </c>
      <c r="H859">
        <v>4.7876124382018999</v>
      </c>
      <c r="I859">
        <v>4.9100909233093297</v>
      </c>
      <c r="J859">
        <v>5.03440189361572</v>
      </c>
      <c r="K859">
        <v>5.1670279502868697</v>
      </c>
      <c r="L859">
        <v>5.2901754379272496</v>
      </c>
      <c r="M859">
        <v>5.4099502563476598</v>
      </c>
      <c r="N859">
        <v>5.5372896194457999</v>
      </c>
      <c r="O859">
        <v>5.6526045799255398</v>
      </c>
      <c r="P859">
        <v>5.7818107604980504</v>
      </c>
      <c r="Q859">
        <v>5.9127135276794398</v>
      </c>
      <c r="R859">
        <v>6.0622472763061497</v>
      </c>
      <c r="S859">
        <v>6.2033557891845703</v>
      </c>
      <c r="T859">
        <v>6.2995529174804696</v>
      </c>
      <c r="U859">
        <v>6.3608093261718803</v>
      </c>
      <c r="V859">
        <v>6.4405817985534703</v>
      </c>
      <c r="W859">
        <v>6.4879999160766602</v>
      </c>
      <c r="X859">
        <v>6.5189485549926802</v>
      </c>
      <c r="Y859">
        <v>6.51357221603394</v>
      </c>
      <c r="Z859">
        <v>6.4756422042846697</v>
      </c>
      <c r="AA859">
        <v>2.57315635681152E-2</v>
      </c>
    </row>
    <row r="860" spans="1:27" x14ac:dyDescent="0.25">
      <c r="A860" t="s">
        <v>615</v>
      </c>
      <c r="B860">
        <v>2.3399641513824498</v>
      </c>
      <c r="C860">
        <v>2.4299483299255402</v>
      </c>
      <c r="D860">
        <v>2.6186611652374299</v>
      </c>
      <c r="E860">
        <v>2.6695497035980198</v>
      </c>
      <c r="F860">
        <v>2.70549392700195</v>
      </c>
      <c r="G860">
        <v>2.7891905307769802</v>
      </c>
      <c r="H860">
        <v>2.8548843860626198</v>
      </c>
      <c r="I860">
        <v>2.9311156272888201</v>
      </c>
      <c r="J860">
        <v>3.00704789161682</v>
      </c>
      <c r="K860">
        <v>3.1051175594329798</v>
      </c>
      <c r="L860">
        <v>3.1378228664398198</v>
      </c>
      <c r="M860">
        <v>3.19195532798767</v>
      </c>
      <c r="N860">
        <v>3.2634260654449498</v>
      </c>
      <c r="O860">
        <v>3.3311228752136199</v>
      </c>
      <c r="P860">
        <v>3.39320969581604</v>
      </c>
      <c r="Q860">
        <v>3.4386153221130402</v>
      </c>
      <c r="R860">
        <v>3.4906363487243701</v>
      </c>
      <c r="S860">
        <v>3.5510332584381099</v>
      </c>
      <c r="T860">
        <v>3.60041379928589</v>
      </c>
      <c r="U860">
        <v>3.6530005931854199</v>
      </c>
      <c r="V860">
        <v>3.7035679817199698</v>
      </c>
      <c r="W860">
        <v>3.7612707614898699</v>
      </c>
      <c r="X860">
        <v>3.82802057266235</v>
      </c>
      <c r="Y860">
        <v>3.89715647697449</v>
      </c>
      <c r="Z860">
        <v>3.9654450416564901</v>
      </c>
      <c r="AA860">
        <v>2.1521687507629401E-2</v>
      </c>
    </row>
    <row r="861" spans="1:27" x14ac:dyDescent="0.25">
      <c r="A861" t="s">
        <v>616</v>
      </c>
      <c r="B861" t="s">
        <v>788</v>
      </c>
      <c r="C861" t="s">
        <v>788</v>
      </c>
      <c r="D861">
        <v>0</v>
      </c>
      <c r="E861">
        <v>0</v>
      </c>
      <c r="F861">
        <v>0</v>
      </c>
      <c r="G861">
        <v>1.5105023384094201</v>
      </c>
      <c r="H861">
        <v>1.3258528709411599</v>
      </c>
      <c r="I861">
        <v>1.3084201812744101</v>
      </c>
      <c r="J861">
        <v>1.4890010356903101</v>
      </c>
      <c r="K861">
        <v>1.4777305126190201</v>
      </c>
      <c r="L861">
        <v>1.52423667907715</v>
      </c>
      <c r="M861">
        <v>1.55170238018036</v>
      </c>
      <c r="N861">
        <v>1.6127909421920801</v>
      </c>
      <c r="O861">
        <v>1.64213514328003</v>
      </c>
      <c r="P861">
        <v>1.6655528545379601</v>
      </c>
      <c r="Q861">
        <v>1.7391279935836801</v>
      </c>
      <c r="R861">
        <v>1.8144223690032999</v>
      </c>
      <c r="S861">
        <v>1.881303191185</v>
      </c>
      <c r="T861">
        <v>1.91615927219391</v>
      </c>
      <c r="U861">
        <v>1.9549800157546999</v>
      </c>
      <c r="V861">
        <v>1.98487901687622</v>
      </c>
      <c r="W861">
        <v>2.0149953365325901</v>
      </c>
      <c r="X861">
        <v>2.0400972366332999</v>
      </c>
      <c r="Y861">
        <v>2.06869769096375</v>
      </c>
      <c r="Z861">
        <v>2.1140794754028298</v>
      </c>
      <c r="AA861" t="s">
        <v>788</v>
      </c>
    </row>
    <row r="862" spans="1:27" x14ac:dyDescent="0.25">
      <c r="A862" t="s">
        <v>479</v>
      </c>
      <c r="B862">
        <v>17.9283123016357</v>
      </c>
      <c r="C862">
        <v>18.634252548217798</v>
      </c>
      <c r="D862">
        <v>21.204389572143601</v>
      </c>
      <c r="E862">
        <v>21.5094089508057</v>
      </c>
      <c r="F862">
        <v>19.916519165039102</v>
      </c>
      <c r="G862">
        <v>20.2857875823975</v>
      </c>
      <c r="H862">
        <v>20.401430130004901</v>
      </c>
      <c r="I862">
        <v>20.8285102844238</v>
      </c>
      <c r="J862">
        <v>21.1411457061768</v>
      </c>
      <c r="K862">
        <v>21.845851898193398</v>
      </c>
      <c r="L862">
        <v>22.630865097045898</v>
      </c>
      <c r="M862">
        <v>23.2962131500244</v>
      </c>
      <c r="N862">
        <v>24.0742092132568</v>
      </c>
      <c r="O862">
        <v>24.791343688964801</v>
      </c>
      <c r="P862">
        <v>25.377799987793001</v>
      </c>
      <c r="Q862">
        <v>25.517387390136701</v>
      </c>
      <c r="R862">
        <v>25.912757873535199</v>
      </c>
      <c r="S862">
        <v>26.5639553070068</v>
      </c>
      <c r="T862">
        <v>27.422914505004901</v>
      </c>
      <c r="U862">
        <v>28.318119049072301</v>
      </c>
      <c r="V862">
        <v>29.052991867065401</v>
      </c>
      <c r="W862">
        <v>29.802448272705099</v>
      </c>
      <c r="X862">
        <v>30.529249191284201</v>
      </c>
      <c r="Y862">
        <v>31.004766464233398</v>
      </c>
      <c r="Z862">
        <v>31.394081115722699</v>
      </c>
      <c r="AA862">
        <v>2.29382514953613E-2</v>
      </c>
    </row>
    <row r="864" spans="1:27" x14ac:dyDescent="0.25">
      <c r="A864" s="309" t="s">
        <v>487</v>
      </c>
      <c r="B864" s="309"/>
      <c r="C864" s="309"/>
      <c r="D864" s="309"/>
      <c r="E864" s="309"/>
      <c r="F864" s="309"/>
      <c r="G864" s="309"/>
      <c r="H864" s="309"/>
      <c r="I864" s="309"/>
      <c r="J864" s="309"/>
      <c r="K864" s="309"/>
      <c r="L864" s="309"/>
      <c r="M864" s="309"/>
      <c r="N864" s="309"/>
      <c r="O864" s="309"/>
      <c r="P864" s="309"/>
      <c r="Q864" s="309"/>
      <c r="R864" s="309"/>
      <c r="S864" s="309"/>
      <c r="T864" s="309"/>
      <c r="U864" s="309"/>
      <c r="V864" s="309"/>
      <c r="W864" s="309"/>
      <c r="X864" s="309"/>
      <c r="Y864" s="309"/>
      <c r="Z864" s="309"/>
    </row>
    <row r="865" spans="1:27" x14ac:dyDescent="0.25">
      <c r="A865" t="s">
        <v>617</v>
      </c>
      <c r="B865">
        <v>21.711505889892599</v>
      </c>
      <c r="C865">
        <v>25.0072422027588</v>
      </c>
      <c r="D865">
        <v>29.143922805786101</v>
      </c>
      <c r="E865">
        <v>23.416013717651399</v>
      </c>
      <c r="F865">
        <v>29.225816726684599</v>
      </c>
      <c r="G865">
        <v>32.6855278015137</v>
      </c>
      <c r="H865">
        <v>36.423408508300803</v>
      </c>
      <c r="I865">
        <v>40.289470672607401</v>
      </c>
      <c r="J865">
        <v>44.605060577392599</v>
      </c>
      <c r="K865">
        <v>48.473209381103501</v>
      </c>
      <c r="L865">
        <v>51.827091217041001</v>
      </c>
      <c r="M865">
        <v>54.695976257324197</v>
      </c>
      <c r="N865">
        <v>57.1353759765625</v>
      </c>
      <c r="O865">
        <v>59.121578216552699</v>
      </c>
      <c r="P865">
        <v>61.049320220947301</v>
      </c>
      <c r="Q865">
        <v>62.447345733642599</v>
      </c>
      <c r="R865">
        <v>63.594524383544901</v>
      </c>
      <c r="S865">
        <v>64.838249206542997</v>
      </c>
      <c r="T865">
        <v>65.797332763671903</v>
      </c>
      <c r="U865">
        <v>66.904335021972699</v>
      </c>
      <c r="V865">
        <v>68.152259826660199</v>
      </c>
      <c r="W865">
        <v>69.191001892089801</v>
      </c>
      <c r="X865">
        <v>70.269203186035199</v>
      </c>
      <c r="Y865">
        <v>71.483169555664105</v>
      </c>
      <c r="Z865">
        <v>72.713973999023395</v>
      </c>
      <c r="AA865">
        <v>4.7500967979431201E-2</v>
      </c>
    </row>
    <row r="866" spans="1:27" x14ac:dyDescent="0.25">
      <c r="A866" t="s">
        <v>618</v>
      </c>
      <c r="B866">
        <v>24.84494972229</v>
      </c>
      <c r="C866">
        <v>26.671012878418001</v>
      </c>
      <c r="D866">
        <v>34.663047790527301</v>
      </c>
      <c r="E866">
        <v>35.0013427734375</v>
      </c>
      <c r="F866">
        <v>29.174674987793001</v>
      </c>
      <c r="G866">
        <v>32.315399169921903</v>
      </c>
      <c r="H866">
        <v>35.536281585693402</v>
      </c>
      <c r="I866">
        <v>36.4298706054688</v>
      </c>
      <c r="J866">
        <v>36.720230102539098</v>
      </c>
      <c r="K866">
        <v>39.4169311523438</v>
      </c>
      <c r="L866">
        <v>42.331146240234403</v>
      </c>
      <c r="M866">
        <v>45.341171264648402</v>
      </c>
      <c r="N866">
        <v>46.730594635009801</v>
      </c>
      <c r="O866">
        <v>47.723148345947301</v>
      </c>
      <c r="P866">
        <v>46.603786468505902</v>
      </c>
      <c r="Q866">
        <v>46.931846618652301</v>
      </c>
      <c r="R866">
        <v>47.933681488037102</v>
      </c>
      <c r="S866">
        <v>49.053524017333999</v>
      </c>
      <c r="T866">
        <v>49.634002685546903</v>
      </c>
      <c r="U866">
        <v>50.5943794250488</v>
      </c>
      <c r="V866">
        <v>51.695419311523402</v>
      </c>
      <c r="W866">
        <v>52.666557312011697</v>
      </c>
      <c r="X866">
        <v>53.829563140869098</v>
      </c>
      <c r="Y866">
        <v>54.958328247070298</v>
      </c>
      <c r="Z866">
        <v>56.1272163391113</v>
      </c>
      <c r="AA866">
        <v>3.2878637313842801E-2</v>
      </c>
    </row>
    <row r="867" spans="1:27" x14ac:dyDescent="0.25">
      <c r="A867" t="s">
        <v>619</v>
      </c>
      <c r="B867">
        <v>21.213121414184599</v>
      </c>
      <c r="C867">
        <v>22.982162475585898</v>
      </c>
      <c r="D867">
        <v>27.130744934081999</v>
      </c>
      <c r="E867">
        <v>19.658454895019499</v>
      </c>
      <c r="F867">
        <v>26.805238723754901</v>
      </c>
      <c r="G867">
        <v>29.6935729980469</v>
      </c>
      <c r="H867">
        <v>32.618450164794901</v>
      </c>
      <c r="I867">
        <v>35.946395874023402</v>
      </c>
      <c r="J867">
        <v>39.7942924499512</v>
      </c>
      <c r="K867">
        <v>43.123409271240199</v>
      </c>
      <c r="L867">
        <v>45.641952514648402</v>
      </c>
      <c r="M867">
        <v>48.460178375244098</v>
      </c>
      <c r="N867">
        <v>50.493659973144503</v>
      </c>
      <c r="O867">
        <v>52.285430908203097</v>
      </c>
      <c r="P867">
        <v>53.706020355224602</v>
      </c>
      <c r="Q867">
        <v>54.488346099853501</v>
      </c>
      <c r="R867">
        <v>55.6558227539063</v>
      </c>
      <c r="S867">
        <v>56.964015960693402</v>
      </c>
      <c r="T867">
        <v>57.636627197265597</v>
      </c>
      <c r="U867">
        <v>58.7601127624512</v>
      </c>
      <c r="V867">
        <v>60.052177429199197</v>
      </c>
      <c r="W867">
        <v>61.191566467285199</v>
      </c>
      <c r="X867">
        <v>62.552440643310497</v>
      </c>
      <c r="Y867">
        <v>63.8705863952637</v>
      </c>
      <c r="Z867">
        <v>65.240806579589801</v>
      </c>
      <c r="AA867">
        <v>4.6408414840698201E-2</v>
      </c>
    </row>
    <row r="868" spans="1:27" x14ac:dyDescent="0.25">
      <c r="A868" t="s">
        <v>620</v>
      </c>
      <c r="B868">
        <v>14.844763755798301</v>
      </c>
      <c r="C868">
        <v>16.0964660644531</v>
      </c>
      <c r="D868">
        <v>22.566616058349599</v>
      </c>
      <c r="E868">
        <v>15.2420244216919</v>
      </c>
      <c r="F868">
        <v>19.09153175354</v>
      </c>
      <c r="G868">
        <v>22.226709365844702</v>
      </c>
      <c r="H868">
        <v>25.1343898773193</v>
      </c>
      <c r="I868">
        <v>28.086837768554702</v>
      </c>
      <c r="J868">
        <v>31.909053802490199</v>
      </c>
      <c r="K868">
        <v>34.889202117919901</v>
      </c>
      <c r="L868">
        <v>37.005405426025398</v>
      </c>
      <c r="M868">
        <v>39.467597961425803</v>
      </c>
      <c r="N868">
        <v>41.120388031005902</v>
      </c>
      <c r="O868">
        <v>42.493434906005902</v>
      </c>
      <c r="P868">
        <v>43.789676666259801</v>
      </c>
      <c r="Q868">
        <v>44.378414154052699</v>
      </c>
      <c r="R868">
        <v>45.220821380615199</v>
      </c>
      <c r="S868">
        <v>46.304702758789098</v>
      </c>
      <c r="T868">
        <v>46.690078735351598</v>
      </c>
      <c r="U868">
        <v>47.736415863037102</v>
      </c>
      <c r="V868">
        <v>48.860385894775398</v>
      </c>
      <c r="W868">
        <v>49.854866027832003</v>
      </c>
      <c r="X868">
        <v>50.978462219238303</v>
      </c>
      <c r="Y868">
        <v>52.073341369628899</v>
      </c>
      <c r="Z868">
        <v>53.292709350585902</v>
      </c>
      <c r="AA868">
        <v>5.3430676460266099E-2</v>
      </c>
    </row>
    <row r="869" spans="1:27" x14ac:dyDescent="0.25">
      <c r="A869" t="s">
        <v>724</v>
      </c>
      <c r="B869">
        <v>19.740650177001999</v>
      </c>
      <c r="C869">
        <v>20.921422958373999</v>
      </c>
      <c r="D869">
        <v>27.790218353271499</v>
      </c>
      <c r="E869">
        <v>19.978439331054702</v>
      </c>
      <c r="F869">
        <v>23.2125549316406</v>
      </c>
      <c r="G869">
        <v>26.4206447601318</v>
      </c>
      <c r="H869">
        <v>29.3924560546875</v>
      </c>
      <c r="I869">
        <v>32.773857116699197</v>
      </c>
      <c r="J869">
        <v>36.535545349121101</v>
      </c>
      <c r="K869">
        <v>39.555255889892599</v>
      </c>
      <c r="L869">
        <v>41.702842712402301</v>
      </c>
      <c r="M869">
        <v>44.177524566650398</v>
      </c>
      <c r="N869">
        <v>46.0505561828613</v>
      </c>
      <c r="O869">
        <v>47.553874969482401</v>
      </c>
      <c r="P869">
        <v>48.899986267089801</v>
      </c>
      <c r="Q869">
        <v>49.381351470947301</v>
      </c>
      <c r="R869">
        <v>50.3130912780762</v>
      </c>
      <c r="S869">
        <v>51.4498100280762</v>
      </c>
      <c r="T869">
        <v>51.9561157226563</v>
      </c>
      <c r="U869">
        <v>52.937068939208999</v>
      </c>
      <c r="V869">
        <v>53.967716217041001</v>
      </c>
      <c r="W869">
        <v>55.002819061279297</v>
      </c>
      <c r="X869">
        <v>56.193782806396499</v>
      </c>
      <c r="Y869">
        <v>57.337295532226598</v>
      </c>
      <c r="Z869">
        <v>58.685737609863303</v>
      </c>
      <c r="AA869">
        <v>4.5865178108215297E-2</v>
      </c>
    </row>
    <row r="870" spans="1:27" x14ac:dyDescent="0.25">
      <c r="A870" t="s">
        <v>611</v>
      </c>
      <c r="B870">
        <v>7.9912142753601101</v>
      </c>
      <c r="C870">
        <v>9.3524312973022496</v>
      </c>
      <c r="D870">
        <v>14.067081451416</v>
      </c>
      <c r="E870">
        <v>8.2378034591674805</v>
      </c>
      <c r="F870">
        <v>14.7508955001831</v>
      </c>
      <c r="G870">
        <v>17.360763549804702</v>
      </c>
      <c r="H870">
        <v>20.2582302093506</v>
      </c>
      <c r="I870">
        <v>23.1502380371094</v>
      </c>
      <c r="J870">
        <v>26.3954048156738</v>
      </c>
      <c r="K870">
        <v>29.3618679046631</v>
      </c>
      <c r="L870">
        <v>31.454713821411101</v>
      </c>
      <c r="M870">
        <v>33.599609375</v>
      </c>
      <c r="N870">
        <v>35.185657501220703</v>
      </c>
      <c r="O870">
        <v>36.532318115234403</v>
      </c>
      <c r="P870">
        <v>37.666736602783203</v>
      </c>
      <c r="Q870">
        <v>38.401439666747997</v>
      </c>
      <c r="R870">
        <v>39.158885955810497</v>
      </c>
      <c r="S870">
        <v>39.991481781005902</v>
      </c>
      <c r="T870">
        <v>40.503440856933601</v>
      </c>
      <c r="U870">
        <v>41.339633941650398</v>
      </c>
      <c r="V870">
        <v>42.498569488525398</v>
      </c>
      <c r="W870">
        <v>43.445716857910199</v>
      </c>
      <c r="X870">
        <v>44.508998870849602</v>
      </c>
      <c r="Y870">
        <v>45.530326843261697</v>
      </c>
      <c r="Z870">
        <v>46.819606781005902</v>
      </c>
      <c r="AA870">
        <v>7.2539210319519001E-2</v>
      </c>
    </row>
    <row r="871" spans="1:27" x14ac:dyDescent="0.25">
      <c r="A871" t="s">
        <v>622</v>
      </c>
      <c r="B871">
        <v>15.6228637695313</v>
      </c>
      <c r="C871">
        <v>15.4583129882813</v>
      </c>
      <c r="D871">
        <v>17.4287223815918</v>
      </c>
      <c r="E871">
        <v>15.2119998931885</v>
      </c>
      <c r="F871">
        <v>15.9378957748413</v>
      </c>
      <c r="G871">
        <v>16.094272613525401</v>
      </c>
      <c r="H871">
        <v>16.403812408447301</v>
      </c>
      <c r="I871">
        <v>16.724969863891602</v>
      </c>
      <c r="J871">
        <v>17.189661026001001</v>
      </c>
      <c r="K871">
        <v>17.746465682983398</v>
      </c>
      <c r="L871">
        <v>18.191225051879901</v>
      </c>
      <c r="M871">
        <v>18.7521057128906</v>
      </c>
      <c r="N871">
        <v>19.291521072387699</v>
      </c>
      <c r="O871">
        <v>19.686790466308601</v>
      </c>
      <c r="P871">
        <v>19.718795776367202</v>
      </c>
      <c r="Q871">
        <v>19.5051784515381</v>
      </c>
      <c r="R871">
        <v>19.827426910400401</v>
      </c>
      <c r="S871">
        <v>20.369035720825199</v>
      </c>
      <c r="T871">
        <v>20.871717453002901</v>
      </c>
      <c r="U871">
        <v>21.304979324340799</v>
      </c>
      <c r="V871">
        <v>21.807193756103501</v>
      </c>
      <c r="W871">
        <v>22.319299697876001</v>
      </c>
      <c r="X871">
        <v>22.895399093627901</v>
      </c>
      <c r="Y871">
        <v>23.444755554199201</v>
      </c>
      <c r="Z871">
        <v>23.898975372314499</v>
      </c>
      <c r="AA871">
        <v>1.91235542297363E-2</v>
      </c>
    </row>
    <row r="872" spans="1:27" x14ac:dyDescent="0.25">
      <c r="A872" t="s">
        <v>479</v>
      </c>
      <c r="B872">
        <v>29.592140197753899</v>
      </c>
      <c r="C872">
        <v>30.640342712402301</v>
      </c>
      <c r="D872">
        <v>34.984100341796903</v>
      </c>
      <c r="E872">
        <v>35.239852905273402</v>
      </c>
      <c r="F872">
        <v>32.175140380859403</v>
      </c>
      <c r="G872">
        <v>33.0386352539063</v>
      </c>
      <c r="H872">
        <v>33.47314453125</v>
      </c>
      <c r="I872">
        <v>34.064102172851598</v>
      </c>
      <c r="J872">
        <v>34.293540954589801</v>
      </c>
      <c r="K872">
        <v>34.922073364257798</v>
      </c>
      <c r="L872">
        <v>35.810970306396499</v>
      </c>
      <c r="M872">
        <v>36.366832733154297</v>
      </c>
      <c r="N872">
        <v>37.128005981445298</v>
      </c>
      <c r="O872">
        <v>38.410163879394503</v>
      </c>
      <c r="P872">
        <v>39.373786926269503</v>
      </c>
      <c r="Q872">
        <v>39.675365447997997</v>
      </c>
      <c r="R872">
        <v>40.513767242431598</v>
      </c>
      <c r="S872">
        <v>41.9388618469238</v>
      </c>
      <c r="T872">
        <v>43.566810607910199</v>
      </c>
      <c r="U872">
        <v>45.140434265136697</v>
      </c>
      <c r="V872">
        <v>46.407882690429702</v>
      </c>
      <c r="W872">
        <v>47.717372894287102</v>
      </c>
      <c r="X872">
        <v>48.982990264892599</v>
      </c>
      <c r="Y872">
        <v>49.711910247802699</v>
      </c>
      <c r="Z872">
        <v>50.466556549072301</v>
      </c>
      <c r="AA872">
        <v>2.1920561790466302E-2</v>
      </c>
    </row>
    <row r="874" spans="1:27" x14ac:dyDescent="0.25">
      <c r="A874" t="s">
        <v>623</v>
      </c>
    </row>
    <row r="875" spans="1:27" x14ac:dyDescent="0.25">
      <c r="A875" t="s">
        <v>610</v>
      </c>
      <c r="B875">
        <v>13.411901473999</v>
      </c>
      <c r="C875">
        <v>14.7723951339722</v>
      </c>
      <c r="D875">
        <v>19.510114669799801</v>
      </c>
      <c r="E875">
        <v>15.2233066558838</v>
      </c>
      <c r="F875">
        <v>18.0020847320557</v>
      </c>
      <c r="G875">
        <v>20.662237167358398</v>
      </c>
      <c r="H875">
        <v>23.4976692199707</v>
      </c>
      <c r="I875">
        <v>26.205204010009801</v>
      </c>
      <c r="J875">
        <v>29.975025177001999</v>
      </c>
      <c r="K875">
        <v>32.983203887939503</v>
      </c>
      <c r="L875">
        <v>35.344711303710902</v>
      </c>
      <c r="M875">
        <v>37.368736267089801</v>
      </c>
      <c r="N875">
        <v>39.350601196289098</v>
      </c>
      <c r="O875">
        <v>40.795433044433601</v>
      </c>
      <c r="P875">
        <v>42.204059600830099</v>
      </c>
      <c r="Q875">
        <v>42.842506408691399</v>
      </c>
      <c r="R875">
        <v>43.6065864562988</v>
      </c>
      <c r="S875">
        <v>44.603294372558601</v>
      </c>
      <c r="T875">
        <v>45.108348846435497</v>
      </c>
      <c r="U875">
        <v>46.002567291259801</v>
      </c>
      <c r="V875">
        <v>47.177719116210902</v>
      </c>
      <c r="W875">
        <v>48.209484100341797</v>
      </c>
      <c r="X875">
        <v>49.2816352844238</v>
      </c>
      <c r="Y875">
        <v>50.311172485351598</v>
      </c>
      <c r="Z875">
        <v>51.270523071289098</v>
      </c>
      <c r="AA875">
        <v>5.5592775344848598E-2</v>
      </c>
    </row>
    <row r="876" spans="1:27" x14ac:dyDescent="0.25">
      <c r="A876" t="s">
        <v>611</v>
      </c>
      <c r="B876">
        <v>8.1584053039550799</v>
      </c>
      <c r="C876">
        <v>8.3772602081298793</v>
      </c>
      <c r="D876">
        <v>14.098869323730501</v>
      </c>
      <c r="E876">
        <v>8.3447675704956108</v>
      </c>
      <c r="F876">
        <v>15.9650764465332</v>
      </c>
      <c r="G876">
        <v>18.64990234375</v>
      </c>
      <c r="H876">
        <v>21.555006027221701</v>
      </c>
      <c r="I876">
        <v>24.477008819580099</v>
      </c>
      <c r="J876">
        <v>27.6055908203125</v>
      </c>
      <c r="K876">
        <v>30.387323379516602</v>
      </c>
      <c r="L876">
        <v>32.525520324707003</v>
      </c>
      <c r="M876">
        <v>34.668350219726598</v>
      </c>
      <c r="N876">
        <v>36.2988090515137</v>
      </c>
      <c r="O876">
        <v>37.644645690917997</v>
      </c>
      <c r="P876">
        <v>38.824489593505902</v>
      </c>
      <c r="Q876">
        <v>39.542682647705099</v>
      </c>
      <c r="R876">
        <v>40.317581176757798</v>
      </c>
      <c r="S876">
        <v>41.134811401367202</v>
      </c>
      <c r="T876">
        <v>41.744674682617202</v>
      </c>
      <c r="U876">
        <v>42.580486297607401</v>
      </c>
      <c r="V876">
        <v>43.661422729492202</v>
      </c>
      <c r="W876">
        <v>44.548267364502003</v>
      </c>
      <c r="X876">
        <v>45.583328247070298</v>
      </c>
      <c r="Y876">
        <v>46.565509796142599</v>
      </c>
      <c r="Z876">
        <v>47.657505035400398</v>
      </c>
      <c r="AA876">
        <v>7.8517913818359403E-2</v>
      </c>
    </row>
    <row r="877" spans="1:27" x14ac:dyDescent="0.25">
      <c r="A877" t="s">
        <v>510</v>
      </c>
      <c r="B877">
        <v>6.8695855140686</v>
      </c>
      <c r="C877">
        <v>7.0191588401794398</v>
      </c>
      <c r="D877">
        <v>9.3990793228149396</v>
      </c>
      <c r="E877">
        <v>6.5896801948547399</v>
      </c>
      <c r="F877">
        <v>7.1510548591613796</v>
      </c>
      <c r="G877">
        <v>7.2219285964965803</v>
      </c>
      <c r="H877">
        <v>7.50463819503784</v>
      </c>
      <c r="I877">
        <v>7.6677107810974103</v>
      </c>
      <c r="J877">
        <v>7.9887604713439897</v>
      </c>
      <c r="K877">
        <v>8.4015712738037092</v>
      </c>
      <c r="L877">
        <v>8.7127790451049805</v>
      </c>
      <c r="M877">
        <v>9.1062192916870099</v>
      </c>
      <c r="N877">
        <v>9.5045261383056605</v>
      </c>
      <c r="O877">
        <v>9.7363777160644496</v>
      </c>
      <c r="P877">
        <v>9.6275825500488299</v>
      </c>
      <c r="Q877">
        <v>9.3482122421264595</v>
      </c>
      <c r="R877">
        <v>9.6186761856079102</v>
      </c>
      <c r="S877">
        <v>10.053201675415</v>
      </c>
      <c r="T877">
        <v>10.4964952468872</v>
      </c>
      <c r="U877">
        <v>10.919364929199199</v>
      </c>
      <c r="V877">
        <v>11.3265085220337</v>
      </c>
      <c r="W877">
        <v>11.7266225814819</v>
      </c>
      <c r="X877">
        <v>12.160493850708001</v>
      </c>
      <c r="Y877">
        <v>12.623664855956999</v>
      </c>
      <c r="Z877">
        <v>12.993863105773899</v>
      </c>
      <c r="AA877">
        <v>2.71370410919189E-2</v>
      </c>
    </row>
    <row r="878" spans="1:27" x14ac:dyDescent="0.25">
      <c r="A878" t="s">
        <v>624</v>
      </c>
      <c r="B878">
        <v>1.6900000572204601</v>
      </c>
      <c r="C878">
        <v>1.78000032901764</v>
      </c>
      <c r="D878">
        <v>1.9897937774658201</v>
      </c>
      <c r="E878">
        <v>1.9967122077941899</v>
      </c>
      <c r="F878">
        <v>2.0248651504516602</v>
      </c>
      <c r="G878">
        <v>2.07804608345032</v>
      </c>
      <c r="H878">
        <v>2.1381585597991899</v>
      </c>
      <c r="I878">
        <v>2.2066454887390101</v>
      </c>
      <c r="J878">
        <v>2.2861962318420401</v>
      </c>
      <c r="K878">
        <v>2.3704271316528298</v>
      </c>
      <c r="L878">
        <v>2.4035921096801802</v>
      </c>
      <c r="M878">
        <v>2.4561846256256099</v>
      </c>
      <c r="N878">
        <v>2.5112030506134002</v>
      </c>
      <c r="O878">
        <v>2.5676970481872599</v>
      </c>
      <c r="P878">
        <v>2.6197137832641602</v>
      </c>
      <c r="Q878">
        <v>2.6567192077636701</v>
      </c>
      <c r="R878">
        <v>2.70013451576233</v>
      </c>
      <c r="S878">
        <v>2.7515239715576199</v>
      </c>
      <c r="T878">
        <v>2.79274225234985</v>
      </c>
      <c r="U878">
        <v>2.8401501178741499</v>
      </c>
      <c r="V878">
        <v>2.8854753971099898</v>
      </c>
      <c r="W878">
        <v>2.9287014007568399</v>
      </c>
      <c r="X878">
        <v>2.97832083702087</v>
      </c>
      <c r="Y878">
        <v>3.03217673301697</v>
      </c>
      <c r="Z878">
        <v>3.0889301300048801</v>
      </c>
      <c r="AA878">
        <v>2.4255156517028802E-2</v>
      </c>
    </row>
    <row r="880" spans="1:27" x14ac:dyDescent="0.25">
      <c r="A880" t="s">
        <v>625</v>
      </c>
    </row>
    <row r="881" spans="1:27" x14ac:dyDescent="0.25">
      <c r="A881" t="s">
        <v>609</v>
      </c>
      <c r="B881">
        <v>15.2467098236084</v>
      </c>
      <c r="C881">
        <v>18.532711029052699</v>
      </c>
      <c r="D881">
        <v>20.059770584106399</v>
      </c>
      <c r="E881">
        <v>18.4413356781006</v>
      </c>
      <c r="F881">
        <v>24.128513336181602</v>
      </c>
      <c r="G881">
        <v>27.2885227203369</v>
      </c>
      <c r="H881">
        <v>30.6157550811768</v>
      </c>
      <c r="I881">
        <v>34.107528686523402</v>
      </c>
      <c r="J881">
        <v>38.046356201171903</v>
      </c>
      <c r="K881">
        <v>41.594432830810497</v>
      </c>
      <c r="L881">
        <v>44.694419860839801</v>
      </c>
      <c r="M881">
        <v>47.326686859130902</v>
      </c>
      <c r="N881">
        <v>49.5726127624512</v>
      </c>
      <c r="O881">
        <v>51.390285491943402</v>
      </c>
      <c r="P881">
        <v>53.120773315429702</v>
      </c>
      <c r="Q881">
        <v>54.365833282470703</v>
      </c>
      <c r="R881">
        <v>55.411079406738303</v>
      </c>
      <c r="S881">
        <v>56.523338317871101</v>
      </c>
      <c r="T881">
        <v>57.4269409179688</v>
      </c>
      <c r="U881">
        <v>58.440696716308601</v>
      </c>
      <c r="V881">
        <v>59.596019744872997</v>
      </c>
      <c r="W881">
        <v>60.543582916259801</v>
      </c>
      <c r="X881">
        <v>61.561973571777301</v>
      </c>
      <c r="Y881">
        <v>62.674179077148402</v>
      </c>
      <c r="Z881">
        <v>63.812778472900398</v>
      </c>
      <c r="AA881">
        <v>5.5228352546691901E-2</v>
      </c>
    </row>
    <row r="882" spans="1:27" x14ac:dyDescent="0.25">
      <c r="A882" t="s">
        <v>618</v>
      </c>
      <c r="B882">
        <v>24.84494972229</v>
      </c>
      <c r="C882">
        <v>26.671012878418001</v>
      </c>
      <c r="D882">
        <v>34.663047790527301</v>
      </c>
      <c r="E882">
        <v>35.0013427734375</v>
      </c>
      <c r="F882">
        <v>29.174674987793001</v>
      </c>
      <c r="G882">
        <v>32.315399169921903</v>
      </c>
      <c r="H882">
        <v>35.536281585693402</v>
      </c>
      <c r="I882">
        <v>36.4298706054688</v>
      </c>
      <c r="J882">
        <v>36.720230102539098</v>
      </c>
      <c r="K882">
        <v>39.4169311523438</v>
      </c>
      <c r="L882">
        <v>42.331146240234403</v>
      </c>
      <c r="M882">
        <v>45.341171264648402</v>
      </c>
      <c r="N882">
        <v>46.730594635009801</v>
      </c>
      <c r="O882">
        <v>47.723148345947301</v>
      </c>
      <c r="P882">
        <v>46.603786468505902</v>
      </c>
      <c r="Q882">
        <v>46.931846618652301</v>
      </c>
      <c r="R882">
        <v>47.933681488037102</v>
      </c>
      <c r="S882">
        <v>49.053524017333999</v>
      </c>
      <c r="T882">
        <v>49.634002685546903</v>
      </c>
      <c r="U882">
        <v>50.5943794250488</v>
      </c>
      <c r="V882">
        <v>51.695419311523402</v>
      </c>
      <c r="W882">
        <v>52.666557312011697</v>
      </c>
      <c r="X882">
        <v>53.829563140869098</v>
      </c>
      <c r="Y882">
        <v>54.958328247070298</v>
      </c>
      <c r="Z882">
        <v>56.1272163391113</v>
      </c>
      <c r="AA882">
        <v>3.2878637313842801E-2</v>
      </c>
    </row>
    <row r="883" spans="1:27" x14ac:dyDescent="0.25">
      <c r="A883" t="s">
        <v>619</v>
      </c>
      <c r="B883">
        <v>21.081117630004901</v>
      </c>
      <c r="C883">
        <v>22.819190979003899</v>
      </c>
      <c r="D883">
        <v>26.955116271972699</v>
      </c>
      <c r="E883">
        <v>19.714763641357401</v>
      </c>
      <c r="F883">
        <v>26.803747177123999</v>
      </c>
      <c r="G883">
        <v>29.690465927123999</v>
      </c>
      <c r="H883">
        <v>32.615406036377003</v>
      </c>
      <c r="I883">
        <v>35.943241119384801</v>
      </c>
      <c r="J883">
        <v>39.790805816650398</v>
      </c>
      <c r="K883">
        <v>43.1203804016113</v>
      </c>
      <c r="L883">
        <v>45.639060974121101</v>
      </c>
      <c r="M883">
        <v>48.456787109375</v>
      </c>
      <c r="N883">
        <v>50.490329742431598</v>
      </c>
      <c r="O883">
        <v>52.282016754150398</v>
      </c>
      <c r="P883">
        <v>53.702690124511697</v>
      </c>
      <c r="Q883">
        <v>54.484706878662102</v>
      </c>
      <c r="R883">
        <v>55.652065277099602</v>
      </c>
      <c r="S883">
        <v>56.960758209228501</v>
      </c>
      <c r="T883">
        <v>57.633979797363303</v>
      </c>
      <c r="U883">
        <v>58.757045745849602</v>
      </c>
      <c r="V883">
        <v>60.0491943359375</v>
      </c>
      <c r="W883">
        <v>61.189689636230497</v>
      </c>
      <c r="X883">
        <v>62.551162719726598</v>
      </c>
      <c r="Y883">
        <v>63.869960784912102</v>
      </c>
      <c r="Z883">
        <v>65.240898132324205</v>
      </c>
      <c r="AA883">
        <v>4.6732306480407701E-2</v>
      </c>
    </row>
    <row r="884" spans="1:27" x14ac:dyDescent="0.25">
      <c r="A884" t="s">
        <v>626</v>
      </c>
      <c r="B884">
        <v>14.844763755798301</v>
      </c>
      <c r="C884">
        <v>16.0964660644531</v>
      </c>
      <c r="D884">
        <v>22.566616058349599</v>
      </c>
      <c r="E884">
        <v>15.2420244216919</v>
      </c>
      <c r="F884">
        <v>19.09153175354</v>
      </c>
      <c r="G884">
        <v>22.226709365844702</v>
      </c>
      <c r="H884">
        <v>25.1343898773193</v>
      </c>
      <c r="I884">
        <v>28.086837768554702</v>
      </c>
      <c r="J884">
        <v>31.909053802490199</v>
      </c>
      <c r="K884">
        <v>34.889202117919901</v>
      </c>
      <c r="L884">
        <v>37.005405426025398</v>
      </c>
      <c r="M884">
        <v>39.467597961425803</v>
      </c>
      <c r="N884">
        <v>41.120388031005902</v>
      </c>
      <c r="O884">
        <v>42.493434906005902</v>
      </c>
      <c r="P884">
        <v>43.789676666259801</v>
      </c>
      <c r="Q884">
        <v>44.378414154052699</v>
      </c>
      <c r="R884">
        <v>45.220821380615199</v>
      </c>
      <c r="S884">
        <v>46.304702758789098</v>
      </c>
      <c r="T884">
        <v>46.690078735351598</v>
      </c>
      <c r="U884">
        <v>47.736415863037102</v>
      </c>
      <c r="V884">
        <v>48.860385894775398</v>
      </c>
      <c r="W884">
        <v>49.854866027832003</v>
      </c>
      <c r="X884">
        <v>50.978462219238303</v>
      </c>
      <c r="Y884">
        <v>52.073341369628899</v>
      </c>
      <c r="Z884">
        <v>53.292709350585902</v>
      </c>
      <c r="AA884">
        <v>5.3430676460266099E-2</v>
      </c>
    </row>
    <row r="885" spans="1:27" x14ac:dyDescent="0.25">
      <c r="A885" t="s">
        <v>610</v>
      </c>
      <c r="B885">
        <v>18.668506622314499</v>
      </c>
      <c r="C885">
        <v>19.9431247711182</v>
      </c>
      <c r="D885">
        <v>26.3212585449219</v>
      </c>
      <c r="E885">
        <v>19.3337593078613</v>
      </c>
      <c r="F885">
        <v>22.088649749755898</v>
      </c>
      <c r="G885">
        <v>25.314346313476602</v>
      </c>
      <c r="H885">
        <v>28.360517501831101</v>
      </c>
      <c r="I885">
        <v>31.778598785400401</v>
      </c>
      <c r="J885">
        <v>35.553440093994098</v>
      </c>
      <c r="K885">
        <v>38.6037788391113</v>
      </c>
      <c r="L885">
        <v>40.810413360595703</v>
      </c>
      <c r="M885">
        <v>43.2124633789063</v>
      </c>
      <c r="N885">
        <v>45.113254547119098</v>
      </c>
      <c r="O885">
        <v>46.602684020996101</v>
      </c>
      <c r="P885">
        <v>47.985591888427699</v>
      </c>
      <c r="Q885">
        <v>48.475616455078097</v>
      </c>
      <c r="R885">
        <v>49.391181945800803</v>
      </c>
      <c r="S885">
        <v>50.539421081542997</v>
      </c>
      <c r="T885">
        <v>51.077178955078097</v>
      </c>
      <c r="U885">
        <v>52.030094146728501</v>
      </c>
      <c r="V885">
        <v>53.083995819091797</v>
      </c>
      <c r="W885">
        <v>54.151943206787102</v>
      </c>
      <c r="X885">
        <v>55.336112976074197</v>
      </c>
      <c r="Y885">
        <v>56.4828491210938</v>
      </c>
      <c r="Z885">
        <v>57.8100776672363</v>
      </c>
      <c r="AA885">
        <v>4.7360301017761203E-2</v>
      </c>
    </row>
    <row r="886" spans="1:27" x14ac:dyDescent="0.25">
      <c r="A886" t="s">
        <v>611</v>
      </c>
      <c r="B886">
        <v>8.2036705017089808</v>
      </c>
      <c r="C886">
        <v>9.2489309310913104</v>
      </c>
      <c r="D886">
        <v>14.050442695617701</v>
      </c>
      <c r="E886">
        <v>8.0729684829711896</v>
      </c>
      <c r="F886">
        <v>15.3503770828247</v>
      </c>
      <c r="G886">
        <v>17.950630187988299</v>
      </c>
      <c r="H886">
        <v>20.8477458953857</v>
      </c>
      <c r="I886">
        <v>23.756994247436499</v>
      </c>
      <c r="J886">
        <v>26.906440734863299</v>
      </c>
      <c r="K886">
        <v>29.730625152587901</v>
      </c>
      <c r="L886">
        <v>31.8525714874268</v>
      </c>
      <c r="M886">
        <v>34.001632690429702</v>
      </c>
      <c r="N886">
        <v>35.6160697937012</v>
      </c>
      <c r="O886">
        <v>36.965137481689503</v>
      </c>
      <c r="P886">
        <v>38.135795593261697</v>
      </c>
      <c r="Q886">
        <v>38.8486518859863</v>
      </c>
      <c r="R886">
        <v>39.6253662109375</v>
      </c>
      <c r="S886">
        <v>40.460136413574197</v>
      </c>
      <c r="T886">
        <v>41.021083831787102</v>
      </c>
      <c r="U886">
        <v>41.8585205078125</v>
      </c>
      <c r="V886">
        <v>42.961837768554702</v>
      </c>
      <c r="W886">
        <v>43.8775024414063</v>
      </c>
      <c r="X886">
        <v>44.932643890380902</v>
      </c>
      <c r="Y886">
        <v>45.936691284179702</v>
      </c>
      <c r="Z886">
        <v>47.115070343017599</v>
      </c>
      <c r="AA886">
        <v>7.3351860046386705E-2</v>
      </c>
    </row>
    <row r="887" spans="1:27" x14ac:dyDescent="0.25">
      <c r="A887" t="s">
        <v>510</v>
      </c>
      <c r="B887">
        <v>9.2533378601074201</v>
      </c>
      <c r="C887">
        <v>9.0057582855224592</v>
      </c>
      <c r="D887">
        <v>10.5835046768188</v>
      </c>
      <c r="E887">
        <v>8.5935592651367205</v>
      </c>
      <c r="F887">
        <v>9.2535657882690394</v>
      </c>
      <c r="G887">
        <v>9.3541154861450195</v>
      </c>
      <c r="H887">
        <v>9.5993127822875994</v>
      </c>
      <c r="I887">
        <v>9.8473205566406303</v>
      </c>
      <c r="J887">
        <v>10.2422647476196</v>
      </c>
      <c r="K887">
        <v>10.6749057769775</v>
      </c>
      <c r="L887">
        <v>11.042889595031699</v>
      </c>
      <c r="M887">
        <v>11.495222091674799</v>
      </c>
      <c r="N887">
        <v>11.954499244689901</v>
      </c>
      <c r="O887">
        <v>12.2557830810547</v>
      </c>
      <c r="P887">
        <v>12.220417022705099</v>
      </c>
      <c r="Q887">
        <v>11.9406547546387</v>
      </c>
      <c r="R887">
        <v>12.184568405151399</v>
      </c>
      <c r="S887">
        <v>12.6361980438232</v>
      </c>
      <c r="T887">
        <v>13.0981245040894</v>
      </c>
      <c r="U887">
        <v>13.513578414916999</v>
      </c>
      <c r="V887">
        <v>14.0011653900146</v>
      </c>
      <c r="W887">
        <v>14.459515571594199</v>
      </c>
      <c r="X887">
        <v>14.989423751831101</v>
      </c>
      <c r="Y887">
        <v>15.515007019043001</v>
      </c>
      <c r="Z887">
        <v>15.961875915527299</v>
      </c>
      <c r="AA887">
        <v>2.51965522766113E-2</v>
      </c>
    </row>
    <row r="888" spans="1:27" x14ac:dyDescent="0.25">
      <c r="A888" t="s">
        <v>614</v>
      </c>
      <c r="B888">
        <v>3.53999996185303</v>
      </c>
      <c r="C888">
        <v>3.6099998950958301</v>
      </c>
      <c r="D888">
        <v>4.1350817680358896</v>
      </c>
      <c r="E888">
        <v>4.6917557716369602</v>
      </c>
      <c r="F888">
        <v>4.6212515830993697</v>
      </c>
      <c r="G888">
        <v>4.6784477233886701</v>
      </c>
      <c r="H888">
        <v>4.7876124382018999</v>
      </c>
      <c r="I888">
        <v>4.9100909233093297</v>
      </c>
      <c r="J888">
        <v>5.03440189361572</v>
      </c>
      <c r="K888">
        <v>5.1670279502868697</v>
      </c>
      <c r="L888">
        <v>5.2901754379272496</v>
      </c>
      <c r="M888">
        <v>5.4099502563476598</v>
      </c>
      <c r="N888">
        <v>5.5372896194457999</v>
      </c>
      <c r="O888">
        <v>5.6526045799255398</v>
      </c>
      <c r="P888">
        <v>5.7818107604980504</v>
      </c>
      <c r="Q888">
        <v>5.9127135276794398</v>
      </c>
      <c r="R888">
        <v>6.0622472763061497</v>
      </c>
      <c r="S888">
        <v>6.2033557891845703</v>
      </c>
      <c r="T888">
        <v>6.2995529174804696</v>
      </c>
      <c r="U888">
        <v>6.3608093261718803</v>
      </c>
      <c r="V888">
        <v>6.4405817985534703</v>
      </c>
      <c r="W888">
        <v>6.4879999160766602</v>
      </c>
      <c r="X888">
        <v>6.5189485549926802</v>
      </c>
      <c r="Y888">
        <v>6.51357221603394</v>
      </c>
      <c r="Z888">
        <v>6.4756422042846697</v>
      </c>
      <c r="AA888">
        <v>2.57315635681152E-2</v>
      </c>
    </row>
    <row r="889" spans="1:27" x14ac:dyDescent="0.25">
      <c r="A889" t="s">
        <v>627</v>
      </c>
      <c r="B889">
        <v>1.73101270198822</v>
      </c>
      <c r="C889">
        <v>1.81885325908661</v>
      </c>
      <c r="D889">
        <v>2.02835273742676</v>
      </c>
      <c r="E889">
        <v>2.0393605232238801</v>
      </c>
      <c r="F889">
        <v>2.0658547878265399</v>
      </c>
      <c r="G889">
        <v>2.1197760105133101</v>
      </c>
      <c r="H889">
        <v>2.17965912818909</v>
      </c>
      <c r="I889">
        <v>2.2478942871093799</v>
      </c>
      <c r="J889">
        <v>2.3265335559845002</v>
      </c>
      <c r="K889">
        <v>2.41142725944519</v>
      </c>
      <c r="L889">
        <v>2.4443736076354998</v>
      </c>
      <c r="M889">
        <v>2.4968132972717298</v>
      </c>
      <c r="N889">
        <v>2.5525057315826398</v>
      </c>
      <c r="O889">
        <v>2.6094300746917698</v>
      </c>
      <c r="P889">
        <v>2.6620569229125999</v>
      </c>
      <c r="Q889">
        <v>2.6996600627899201</v>
      </c>
      <c r="R889">
        <v>2.7435350418090798</v>
      </c>
      <c r="S889">
        <v>2.7952117919921902</v>
      </c>
      <c r="T889">
        <v>2.8365733623504599</v>
      </c>
      <c r="U889">
        <v>2.8841254711151101</v>
      </c>
      <c r="V889">
        <v>2.9291899204254199</v>
      </c>
      <c r="W889">
        <v>2.9726293087005602</v>
      </c>
      <c r="X889">
        <v>3.0224885940551802</v>
      </c>
      <c r="Y889">
        <v>3.0762255191803001</v>
      </c>
      <c r="Z889">
        <v>3.1327383518218999</v>
      </c>
      <c r="AA889">
        <v>2.3920774459838898E-2</v>
      </c>
    </row>
    <row r="890" spans="1:27" x14ac:dyDescent="0.25">
      <c r="A890" t="s">
        <v>616</v>
      </c>
      <c r="B890" t="s">
        <v>788</v>
      </c>
      <c r="C890" t="s">
        <v>788</v>
      </c>
      <c r="D890">
        <v>0</v>
      </c>
      <c r="E890">
        <v>0</v>
      </c>
      <c r="F890">
        <v>0</v>
      </c>
      <c r="G890">
        <v>1.5105023384094201</v>
      </c>
      <c r="H890">
        <v>1.3258528709411599</v>
      </c>
      <c r="I890">
        <v>1.3084201812744101</v>
      </c>
      <c r="J890">
        <v>1.4890010356903101</v>
      </c>
      <c r="K890">
        <v>1.4777305126190201</v>
      </c>
      <c r="L890">
        <v>1.52423667907715</v>
      </c>
      <c r="M890">
        <v>1.55170238018036</v>
      </c>
      <c r="N890">
        <v>1.6127909421920801</v>
      </c>
      <c r="O890">
        <v>1.64213514328003</v>
      </c>
      <c r="P890">
        <v>1.6655528545379601</v>
      </c>
      <c r="Q890">
        <v>1.7391279935836801</v>
      </c>
      <c r="R890">
        <v>1.8144223690032999</v>
      </c>
      <c r="S890">
        <v>1.881303191185</v>
      </c>
      <c r="T890">
        <v>1.91615927219391</v>
      </c>
      <c r="U890">
        <v>1.9549800157546999</v>
      </c>
      <c r="V890">
        <v>1.98487901687622</v>
      </c>
      <c r="W890">
        <v>2.0149953365325901</v>
      </c>
      <c r="X890">
        <v>2.0400972366332999</v>
      </c>
      <c r="Y890">
        <v>2.06869769096375</v>
      </c>
      <c r="Z890">
        <v>2.1140794754028298</v>
      </c>
      <c r="AA890" t="s">
        <v>788</v>
      </c>
    </row>
    <row r="891" spans="1:27" x14ac:dyDescent="0.25">
      <c r="A891" t="s">
        <v>479</v>
      </c>
      <c r="B891">
        <v>25.976100921630898</v>
      </c>
      <c r="C891">
        <v>26.701194763183601</v>
      </c>
      <c r="D891">
        <v>28.885900497436499</v>
      </c>
      <c r="E891">
        <v>29.465267181396499</v>
      </c>
      <c r="F891">
        <v>28.0844612121582</v>
      </c>
      <c r="G891">
        <v>28.946041107177699</v>
      </c>
      <c r="H891">
        <v>29.255804061889599</v>
      </c>
      <c r="I891">
        <v>30.039487838745099</v>
      </c>
      <c r="J891">
        <v>30.684814453125</v>
      </c>
      <c r="K891">
        <v>31.692062377929702</v>
      </c>
      <c r="L891">
        <v>32.750293731689503</v>
      </c>
      <c r="M891">
        <v>33.735057830810497</v>
      </c>
      <c r="N891">
        <v>34.847049713134801</v>
      </c>
      <c r="O891">
        <v>35.896480560302699</v>
      </c>
      <c r="P891">
        <v>36.796710968017599</v>
      </c>
      <c r="Q891">
        <v>37.092437744140597</v>
      </c>
      <c r="R891">
        <v>37.643119812011697</v>
      </c>
      <c r="S891">
        <v>38.552295684814503</v>
      </c>
      <c r="T891">
        <v>39.618198394775398</v>
      </c>
      <c r="U891">
        <v>40.722320556640597</v>
      </c>
      <c r="V891">
        <v>41.672286987304702</v>
      </c>
      <c r="W891">
        <v>42.619045257568402</v>
      </c>
      <c r="X891">
        <v>43.551567077636697</v>
      </c>
      <c r="Y891">
        <v>44.234035491943402</v>
      </c>
      <c r="Z891">
        <v>44.897003173828097</v>
      </c>
      <c r="AA891">
        <v>2.2851228713989299E-2</v>
      </c>
    </row>
    <row r="893" spans="1:27" x14ac:dyDescent="0.25">
      <c r="A893" t="s">
        <v>513</v>
      </c>
    </row>
    <row r="894" spans="1:27" x14ac:dyDescent="0.25">
      <c r="A894" t="s">
        <v>727</v>
      </c>
    </row>
    <row r="895" spans="1:27" x14ac:dyDescent="0.25">
      <c r="A895" t="s">
        <v>473</v>
      </c>
      <c r="B895">
        <v>225.02744706750701</v>
      </c>
      <c r="C895">
        <v>238.37773132324199</v>
      </c>
      <c r="D895">
        <v>259.02512631031902</v>
      </c>
      <c r="E895">
        <v>249.25337512780601</v>
      </c>
      <c r="F895">
        <v>252.583736500312</v>
      </c>
      <c r="G895">
        <v>262.72278901234898</v>
      </c>
      <c r="H895">
        <v>271.43045070142699</v>
      </c>
      <c r="I895">
        <v>279.62336448741098</v>
      </c>
      <c r="J895">
        <v>290.36118712182201</v>
      </c>
      <c r="K895">
        <v>302.34922046937697</v>
      </c>
      <c r="L895">
        <v>314.484301838607</v>
      </c>
      <c r="M895">
        <v>326.31017799182001</v>
      </c>
      <c r="N895">
        <v>339.67713347638499</v>
      </c>
      <c r="O895">
        <v>351.841652659175</v>
      </c>
      <c r="P895">
        <v>361.38263928723802</v>
      </c>
      <c r="Q895">
        <v>365.32884829527302</v>
      </c>
      <c r="R895">
        <v>374.04615460167003</v>
      </c>
      <c r="S895">
        <v>385.95134111753299</v>
      </c>
      <c r="T895">
        <v>398.835809936602</v>
      </c>
      <c r="U895">
        <v>410.22373705988099</v>
      </c>
      <c r="V895">
        <v>422.55616886606703</v>
      </c>
      <c r="W895">
        <v>434.56743167122602</v>
      </c>
      <c r="X895">
        <v>447.73002080536401</v>
      </c>
      <c r="Y895">
        <v>457.71538257287102</v>
      </c>
      <c r="Z895">
        <v>468.062769957282</v>
      </c>
      <c r="AA895">
        <v>2.9771340183983201E-2</v>
      </c>
    </row>
    <row r="896" spans="1:27" x14ac:dyDescent="0.25">
      <c r="A896" t="s">
        <v>480</v>
      </c>
      <c r="B896">
        <v>165.816137057829</v>
      </c>
      <c r="C896">
        <v>173.08578491210901</v>
      </c>
      <c r="D896">
        <v>190.230139498157</v>
      </c>
      <c r="E896">
        <v>185.844578933267</v>
      </c>
      <c r="F896">
        <v>184.96673437998101</v>
      </c>
      <c r="G896">
        <v>193.184934067249</v>
      </c>
      <c r="H896">
        <v>198.64505320450101</v>
      </c>
      <c r="I896">
        <v>207.01010076743199</v>
      </c>
      <c r="J896">
        <v>215.98045512613399</v>
      </c>
      <c r="K896">
        <v>227.20879369248601</v>
      </c>
      <c r="L896">
        <v>238.355458583971</v>
      </c>
      <c r="M896">
        <v>249.80526361731199</v>
      </c>
      <c r="N896">
        <v>261.78221655566898</v>
      </c>
      <c r="O896">
        <v>272.88440826998601</v>
      </c>
      <c r="P896">
        <v>282.07041522732101</v>
      </c>
      <c r="Q896">
        <v>286.98036020566298</v>
      </c>
      <c r="R896">
        <v>295.05574420107399</v>
      </c>
      <c r="S896">
        <v>306.22172255954098</v>
      </c>
      <c r="T896">
        <v>317.57856616547701</v>
      </c>
      <c r="U896">
        <v>329.069649877649</v>
      </c>
      <c r="V896">
        <v>340.29091622717101</v>
      </c>
      <c r="W896">
        <v>351.87208183072499</v>
      </c>
      <c r="X896">
        <v>364.00595788799001</v>
      </c>
      <c r="Y896">
        <v>374.718362251543</v>
      </c>
      <c r="Z896">
        <v>385.668787945372</v>
      </c>
      <c r="AA896">
        <v>3.54482424126734E-2</v>
      </c>
    </row>
    <row r="897" spans="1:27" x14ac:dyDescent="0.25">
      <c r="A897" t="s">
        <v>515</v>
      </c>
      <c r="B897">
        <v>210.45837399270499</v>
      </c>
      <c r="C897">
        <v>226.84164428710901</v>
      </c>
      <c r="D897">
        <v>262.44389197505598</v>
      </c>
      <c r="E897">
        <v>213.892966172706</v>
      </c>
      <c r="F897">
        <v>226.79179338269401</v>
      </c>
      <c r="G897">
        <v>247.619560147584</v>
      </c>
      <c r="H897">
        <v>273.83641803280398</v>
      </c>
      <c r="I897">
        <v>298.67526634090802</v>
      </c>
      <c r="J897">
        <v>321.41269661935701</v>
      </c>
      <c r="K897">
        <v>343.35489244766001</v>
      </c>
      <c r="L897">
        <v>359.62835975479601</v>
      </c>
      <c r="M897">
        <v>376.14186022230598</v>
      </c>
      <c r="N897">
        <v>389.28546003433701</v>
      </c>
      <c r="O897">
        <v>399.06892807031301</v>
      </c>
      <c r="P897">
        <v>405.15061668110599</v>
      </c>
      <c r="Q897">
        <v>407.35894410523099</v>
      </c>
      <c r="R897">
        <v>415.77923171469001</v>
      </c>
      <c r="S897">
        <v>426.41568562175598</v>
      </c>
      <c r="T897">
        <v>436.74010603899097</v>
      </c>
      <c r="U897">
        <v>448.16777725737001</v>
      </c>
      <c r="V897">
        <v>459.10467071246399</v>
      </c>
      <c r="W897">
        <v>469.55594536729899</v>
      </c>
      <c r="X897">
        <v>481.39122134917898</v>
      </c>
      <c r="Y897">
        <v>492.95782400236197</v>
      </c>
      <c r="Z897">
        <v>503.70495393538602</v>
      </c>
      <c r="AA897">
        <v>3.5292797975979E-2</v>
      </c>
    </row>
    <row r="898" spans="1:27" x14ac:dyDescent="0.25">
      <c r="A898" t="s">
        <v>487</v>
      </c>
      <c r="B898">
        <v>549.81947704453</v>
      </c>
      <c r="C898">
        <v>596.754638671875</v>
      </c>
      <c r="D898">
        <v>710.99412877519103</v>
      </c>
      <c r="E898">
        <v>505.32645703543398</v>
      </c>
      <c r="F898">
        <v>668.37680019736001</v>
      </c>
      <c r="G898">
        <v>762.52132045534597</v>
      </c>
      <c r="H898">
        <v>847.91759438910901</v>
      </c>
      <c r="I898">
        <v>937.91141444555603</v>
      </c>
      <c r="J898">
        <v>1028.33974387788</v>
      </c>
      <c r="K898">
        <v>1085.06959183805</v>
      </c>
      <c r="L898">
        <v>1131.9545626373499</v>
      </c>
      <c r="M898">
        <v>1181.14904998321</v>
      </c>
      <c r="N898">
        <v>1222.4904861899099</v>
      </c>
      <c r="O898">
        <v>1257.1498536367301</v>
      </c>
      <c r="P898">
        <v>1282.2289721541099</v>
      </c>
      <c r="Q898">
        <v>1293.5591115037901</v>
      </c>
      <c r="R898">
        <v>1317.64254291509</v>
      </c>
      <c r="S898">
        <v>1347.93302348928</v>
      </c>
      <c r="T898">
        <v>1365.7857849230099</v>
      </c>
      <c r="U898">
        <v>1397.4813404476599</v>
      </c>
      <c r="V898">
        <v>1434.8442550222801</v>
      </c>
      <c r="W898">
        <v>1472.1991410293999</v>
      </c>
      <c r="X898">
        <v>1515.6904697150001</v>
      </c>
      <c r="Y898">
        <v>1560.0477492924799</v>
      </c>
      <c r="Z898">
        <v>1610.00718661163</v>
      </c>
      <c r="AA898">
        <v>4.4096217008691797E-2</v>
      </c>
    </row>
    <row r="899" spans="1:27" x14ac:dyDescent="0.25">
      <c r="A899" t="s">
        <v>516</v>
      </c>
      <c r="B899">
        <v>1151.1213905869799</v>
      </c>
      <c r="C899">
        <v>1235.05981445313</v>
      </c>
      <c r="D899">
        <v>1422.6932865587301</v>
      </c>
      <c r="E899">
        <v>1154.31734546592</v>
      </c>
      <c r="F899">
        <v>1332.71906446034</v>
      </c>
      <c r="G899">
        <v>1466.04865262005</v>
      </c>
      <c r="H899">
        <v>1591.82954953581</v>
      </c>
      <c r="I899">
        <v>1723.220162996</v>
      </c>
      <c r="J899">
        <v>1856.09413471179</v>
      </c>
      <c r="K899">
        <v>1957.9824453226099</v>
      </c>
      <c r="L899">
        <v>2044.42271900984</v>
      </c>
      <c r="M899">
        <v>2133.4064257913801</v>
      </c>
      <c r="N899">
        <v>2213.2352962563</v>
      </c>
      <c r="O899">
        <v>2280.9449005124402</v>
      </c>
      <c r="P899">
        <v>2330.8327023315501</v>
      </c>
      <c r="Q899">
        <v>2353.2272042248301</v>
      </c>
      <c r="R899">
        <v>2402.5237543345802</v>
      </c>
      <c r="S899">
        <v>2466.5217523188298</v>
      </c>
      <c r="T899">
        <v>2518.9403084269702</v>
      </c>
      <c r="U899">
        <v>2584.9425046425499</v>
      </c>
      <c r="V899">
        <v>2656.7959475688699</v>
      </c>
      <c r="W899">
        <v>2728.1946425186502</v>
      </c>
      <c r="X899">
        <v>2808.81762668277</v>
      </c>
      <c r="Y899">
        <v>2885.4393181192499</v>
      </c>
      <c r="Z899">
        <v>2967.4436544262699</v>
      </c>
      <c r="AA899">
        <v>3.8847823819442302E-2</v>
      </c>
    </row>
    <row r="900" spans="1:27" x14ac:dyDescent="0.25">
      <c r="A900" t="s">
        <v>629</v>
      </c>
      <c r="B900">
        <v>3.1291455626044802E-2</v>
      </c>
      <c r="C900">
        <v>4.0766973048448597E-2</v>
      </c>
      <c r="D900">
        <v>4.0714130927948497E-2</v>
      </c>
      <c r="E900">
        <v>2.1793998683964599E-2</v>
      </c>
      <c r="F900">
        <v>7.3206049344282806E-2</v>
      </c>
      <c r="G900">
        <v>9.2770617127286306E-2</v>
      </c>
      <c r="H900">
        <v>0.115739841221496</v>
      </c>
      <c r="I900">
        <v>0.62128413204559196</v>
      </c>
      <c r="J900">
        <v>9.0414016273646407</v>
      </c>
      <c r="K900">
        <v>32.464667528422702</v>
      </c>
      <c r="L900">
        <v>45.662064193132402</v>
      </c>
      <c r="M900">
        <v>59.735806102059101</v>
      </c>
      <c r="N900">
        <v>68.705445338854702</v>
      </c>
      <c r="O900">
        <v>75.838728317784501</v>
      </c>
      <c r="P900">
        <v>81.248020694409604</v>
      </c>
      <c r="Q900">
        <v>88.517002347113603</v>
      </c>
      <c r="R900">
        <v>96.838574567007299</v>
      </c>
      <c r="S900">
        <v>105.232438138034</v>
      </c>
      <c r="T900">
        <v>112.23695677008899</v>
      </c>
      <c r="U900">
        <v>119.789323919834</v>
      </c>
      <c r="V900">
        <v>127.344773281206</v>
      </c>
      <c r="W900">
        <v>134.21074205079</v>
      </c>
      <c r="X900">
        <v>141.121318213276</v>
      </c>
      <c r="Y900">
        <v>147.47729532082599</v>
      </c>
      <c r="Z900">
        <v>153.48101506159901</v>
      </c>
      <c r="AA900">
        <v>0.43043202909376699</v>
      </c>
    </row>
    <row r="901" spans="1:27" x14ac:dyDescent="0.25">
      <c r="A901" t="s">
        <v>518</v>
      </c>
      <c r="B901">
        <v>1151.1526529385901</v>
      </c>
      <c r="C901">
        <v>1235.1005859375</v>
      </c>
      <c r="D901">
        <v>1422.73403823545</v>
      </c>
      <c r="E901">
        <v>1154.33909891658</v>
      </c>
      <c r="F901">
        <v>1332.7922559459801</v>
      </c>
      <c r="G901">
        <v>1466.1414381637601</v>
      </c>
      <c r="H901">
        <v>1591.9452461077601</v>
      </c>
      <c r="I901">
        <v>1723.8413828856601</v>
      </c>
      <c r="J901">
        <v>1865.13548978575</v>
      </c>
      <c r="K901">
        <v>1990.4471814707699</v>
      </c>
      <c r="L901">
        <v>2090.0847289103099</v>
      </c>
      <c r="M901">
        <v>2193.14218565799</v>
      </c>
      <c r="N901">
        <v>2281.9407840971799</v>
      </c>
      <c r="O901">
        <v>2356.78359989211</v>
      </c>
      <c r="P901">
        <v>2412.0806492987499</v>
      </c>
      <c r="Q901">
        <v>2441.7442864187801</v>
      </c>
      <c r="R901">
        <v>2499.3623693526101</v>
      </c>
      <c r="S901">
        <v>2571.7542006915</v>
      </c>
      <c r="T901">
        <v>2631.1772031527198</v>
      </c>
      <c r="U901">
        <v>2704.7318076809502</v>
      </c>
      <c r="V901">
        <v>2784.14076302281</v>
      </c>
      <c r="W901">
        <v>2862.4052247444101</v>
      </c>
      <c r="X901">
        <v>2949.93897720213</v>
      </c>
      <c r="Y901">
        <v>3032.91659167235</v>
      </c>
      <c r="Z901">
        <v>3120.92473552298</v>
      </c>
      <c r="AA901">
        <v>4.1126546811574502E-2</v>
      </c>
    </row>
    <row r="905" spans="1:27" x14ac:dyDescent="0.25">
      <c r="A905" t="s">
        <v>630</v>
      </c>
    </row>
    <row r="906" spans="1:27" x14ac:dyDescent="0.25">
      <c r="A906" t="s">
        <v>631</v>
      </c>
    </row>
    <row r="907" spans="1:27" x14ac:dyDescent="0.25">
      <c r="A907" t="s">
        <v>632</v>
      </c>
    </row>
    <row r="908" spans="1:27" x14ac:dyDescent="0.25">
      <c r="A908" t="s">
        <v>728</v>
      </c>
    </row>
    <row r="909" spans="1:27" x14ac:dyDescent="0.25">
      <c r="A909" t="s">
        <v>729</v>
      </c>
    </row>
    <row r="910" spans="1:27" x14ac:dyDescent="0.25">
      <c r="A910" t="s">
        <v>649</v>
      </c>
    </row>
    <row r="911" spans="1:27" x14ac:dyDescent="0.25">
      <c r="A911" t="s">
        <v>650</v>
      </c>
    </row>
    <row r="912" spans="1:27" x14ac:dyDescent="0.25">
      <c r="A912" t="s">
        <v>651</v>
      </c>
    </row>
    <row r="913" spans="1:1" x14ac:dyDescent="0.25">
      <c r="A913" t="s">
        <v>652</v>
      </c>
    </row>
    <row r="914" spans="1:1" x14ac:dyDescent="0.25">
      <c r="A914" t="s">
        <v>653</v>
      </c>
    </row>
    <row r="915" spans="1:1" x14ac:dyDescent="0.25">
      <c r="A915" t="s">
        <v>654</v>
      </c>
    </row>
    <row r="916" spans="1:1" x14ac:dyDescent="0.25">
      <c r="A916" t="s">
        <v>545</v>
      </c>
    </row>
    <row r="917" spans="1:1" x14ac:dyDescent="0.25">
      <c r="A917" t="s">
        <v>730</v>
      </c>
    </row>
    <row r="918" spans="1:1" x14ac:dyDescent="0.25">
      <c r="A918" t="s">
        <v>731</v>
      </c>
    </row>
    <row r="919" spans="1:1" x14ac:dyDescent="0.25">
      <c r="A919" t="s">
        <v>732</v>
      </c>
    </row>
    <row r="920" spans="1:1" x14ac:dyDescent="0.25">
      <c r="A920" t="s">
        <v>733</v>
      </c>
    </row>
    <row r="921" spans="1:1" x14ac:dyDescent="0.25">
      <c r="A921" t="s">
        <v>734</v>
      </c>
    </row>
    <row r="922" spans="1:1" x14ac:dyDescent="0.25">
      <c r="A922" t="s">
        <v>735</v>
      </c>
    </row>
    <row r="923" spans="1:1" x14ac:dyDescent="0.25">
      <c r="A923" t="s">
        <v>736</v>
      </c>
    </row>
    <row r="924" spans="1:1" x14ac:dyDescent="0.25">
      <c r="A924" t="s">
        <v>737</v>
      </c>
    </row>
    <row r="925" spans="1:1" x14ac:dyDescent="0.25">
      <c r="A925" t="s">
        <v>738</v>
      </c>
    </row>
    <row r="926" spans="1:1" x14ac:dyDescent="0.25">
      <c r="A926" t="s">
        <v>739</v>
      </c>
    </row>
    <row r="927" spans="1:1" x14ac:dyDescent="0.25">
      <c r="A927" t="s">
        <v>811</v>
      </c>
    </row>
    <row r="928" spans="1:1" x14ac:dyDescent="0.25">
      <c r="A928" t="s">
        <v>741</v>
      </c>
    </row>
    <row r="929" spans="1:1" x14ac:dyDescent="0.25">
      <c r="A929" t="s">
        <v>812</v>
      </c>
    </row>
  </sheetData>
  <mergeCells count="26">
    <mergeCell ref="J27:K27"/>
    <mergeCell ref="J28:J29"/>
    <mergeCell ref="K28:K29"/>
    <mergeCell ref="A36:D37"/>
    <mergeCell ref="A56:K56"/>
    <mergeCell ref="A38:B38"/>
    <mergeCell ref="E38:I38"/>
    <mergeCell ref="J45:K48"/>
    <mergeCell ref="A53:K53"/>
    <mergeCell ref="A54:K55"/>
    <mergeCell ref="A1:BT1"/>
    <mergeCell ref="A2:BT3"/>
    <mergeCell ref="A5:BT5"/>
    <mergeCell ref="A9:BT9"/>
    <mergeCell ref="E749:I749"/>
    <mergeCell ref="A736:C736"/>
    <mergeCell ref="A732:M732"/>
    <mergeCell ref="C619:Y619"/>
    <mergeCell ref="C620:Y620"/>
    <mergeCell ref="A14:BT14"/>
    <mergeCell ref="A19:BT19"/>
    <mergeCell ref="A21:T21"/>
    <mergeCell ref="A23:T23"/>
    <mergeCell ref="A25:K25"/>
    <mergeCell ref="A26:K26"/>
    <mergeCell ref="E27:I37"/>
  </mergeCells>
  <phoneticPr fontId="2" type="noConversion"/>
  <hyperlinks>
    <hyperlink ref="A56:K56" r:id="rId1" display="../../2.2 Production Cost Target/James Milford Review/Available from Short Term Enehttp:/www.eia.doe.gov/emeu/steo/pub/a2tab.html" xr:uid="{00000000-0004-0000-0D00-000000000000}"/>
  </hyperlinks>
  <pageMargins left="0.75" right="0.75" top="1" bottom="1" header="0.5" footer="0.5"/>
  <pageSetup scale="98" orientation="landscape" r:id="rId2"/>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indexed="51"/>
    <pageSetUpPr fitToPage="1"/>
  </sheetPr>
  <dimension ref="A1:W524"/>
  <sheetViews>
    <sheetView workbookViewId="0"/>
  </sheetViews>
  <sheetFormatPr defaultRowHeight="12.5" x14ac:dyDescent="0.25"/>
  <cols>
    <col min="1" max="1" width="33" customWidth="1"/>
    <col min="2" max="2" width="28.54296875" customWidth="1"/>
    <col min="3" max="3" width="14" customWidth="1"/>
    <col min="4" max="4" width="12.81640625" customWidth="1"/>
    <col min="5" max="5" width="15.1796875" customWidth="1"/>
    <col min="6" max="6" width="21.453125" customWidth="1"/>
    <col min="7" max="8" width="14" customWidth="1"/>
    <col min="9" max="9" width="15.1796875" customWidth="1"/>
    <col min="10" max="10" width="17.7265625" customWidth="1"/>
    <col min="11" max="11" width="19.26953125" customWidth="1"/>
    <col min="12" max="12" width="17.1796875" customWidth="1"/>
    <col min="13" max="14" width="18.7265625" customWidth="1"/>
    <col min="15" max="15" width="8.54296875" customWidth="1"/>
    <col min="16" max="18" width="18.7265625" customWidth="1"/>
    <col min="19" max="20" width="13.453125" customWidth="1"/>
    <col min="23" max="23" width="12.453125" bestFit="1" customWidth="1"/>
  </cols>
  <sheetData>
    <row r="1" spans="1:23" ht="14" x14ac:dyDescent="0.3">
      <c r="A1" s="543" t="s">
        <v>301</v>
      </c>
      <c r="B1" s="544"/>
      <c r="C1" s="544"/>
      <c r="D1" s="545"/>
      <c r="E1" s="544"/>
      <c r="F1" s="544"/>
      <c r="G1" s="544"/>
      <c r="H1" s="544"/>
      <c r="I1" s="544"/>
      <c r="J1" s="544"/>
      <c r="K1" s="544"/>
    </row>
    <row r="2" spans="1:23" ht="12.75" customHeight="1" x14ac:dyDescent="0.35">
      <c r="A2" s="1702" t="s">
        <v>868</v>
      </c>
      <c r="B2" s="1703"/>
      <c r="C2" s="1703"/>
      <c r="D2" s="1703"/>
      <c r="E2" s="1703"/>
      <c r="F2" s="1703"/>
      <c r="G2" s="1703"/>
      <c r="H2" s="1703"/>
      <c r="I2" s="1703"/>
      <c r="J2" s="1703"/>
      <c r="K2" s="1703"/>
    </row>
    <row r="3" spans="1:23" ht="13" thickBot="1" x14ac:dyDescent="0.3">
      <c r="A3" s="1704"/>
      <c r="B3" s="1704"/>
      <c r="C3" s="1704"/>
      <c r="D3" s="1704"/>
      <c r="E3" s="1704"/>
      <c r="F3" s="1704"/>
      <c r="G3" s="1704"/>
      <c r="H3" s="1704"/>
      <c r="I3" s="1704"/>
      <c r="J3" s="1704"/>
      <c r="K3" s="1704"/>
    </row>
    <row r="4" spans="1:23" ht="14" x14ac:dyDescent="0.3">
      <c r="A4" s="3" t="s">
        <v>302</v>
      </c>
      <c r="B4" s="4"/>
      <c r="C4" s="1705" t="s">
        <v>303</v>
      </c>
      <c r="D4" s="1705"/>
      <c r="E4" s="1705"/>
      <c r="F4" s="5"/>
      <c r="G4" s="1705" t="s">
        <v>304</v>
      </c>
      <c r="H4" s="1705"/>
      <c r="I4" s="1705"/>
      <c r="J4" s="5"/>
      <c r="K4" s="6" t="s">
        <v>305</v>
      </c>
      <c r="O4" s="2" t="s">
        <v>633</v>
      </c>
    </row>
    <row r="5" spans="1:23" ht="13" x14ac:dyDescent="0.3">
      <c r="A5" s="7" t="s">
        <v>869</v>
      </c>
      <c r="B5" s="8"/>
      <c r="C5" s="9" t="s">
        <v>870</v>
      </c>
      <c r="D5" s="9" t="s">
        <v>306</v>
      </c>
      <c r="E5" s="9" t="s">
        <v>307</v>
      </c>
      <c r="F5" s="9"/>
      <c r="G5" s="9" t="s">
        <v>870</v>
      </c>
      <c r="H5" s="9" t="s">
        <v>306</v>
      </c>
      <c r="I5" s="9" t="s">
        <v>307</v>
      </c>
      <c r="J5" s="9"/>
      <c r="K5" s="10" t="s">
        <v>871</v>
      </c>
      <c r="O5" s="1"/>
      <c r="P5" s="1"/>
      <c r="Q5" s="554"/>
      <c r="R5" s="554">
        <v>2005</v>
      </c>
      <c r="S5" s="554">
        <v>2007</v>
      </c>
      <c r="T5" s="554">
        <v>2005</v>
      </c>
      <c r="U5" s="554">
        <v>2007</v>
      </c>
      <c r="V5" s="553"/>
      <c r="W5" s="553"/>
    </row>
    <row r="6" spans="1:23" ht="13" x14ac:dyDescent="0.3">
      <c r="A6" s="15" t="s">
        <v>529</v>
      </c>
      <c r="B6" s="12"/>
      <c r="C6" s="13">
        <v>983</v>
      </c>
      <c r="D6" s="14">
        <f>C6/$K6*453.59</f>
        <v>20267.225909090906</v>
      </c>
      <c r="E6" s="546">
        <f>D6*1.05506/1000*2.2046</f>
        <v>47.141269049911173</v>
      </c>
      <c r="F6" s="13"/>
      <c r="G6" s="13">
        <v>1089</v>
      </c>
      <c r="H6" s="14">
        <f>G6/$K6*453.59</f>
        <v>22452.704999999998</v>
      </c>
      <c r="I6" s="546">
        <f>H6*1.05506/1000*2.2046</f>
        <v>52.224661236371581</v>
      </c>
      <c r="J6" s="13"/>
      <c r="K6" s="547">
        <v>22</v>
      </c>
      <c r="O6" s="1" t="s">
        <v>248</v>
      </c>
      <c r="P6" s="1" t="s">
        <v>1049</v>
      </c>
      <c r="Q6" s="554" t="s">
        <v>637</v>
      </c>
      <c r="R6" s="554" t="s">
        <v>636</v>
      </c>
      <c r="S6" s="554" t="s">
        <v>636</v>
      </c>
      <c r="T6" s="554" t="s">
        <v>1038</v>
      </c>
      <c r="U6" s="554" t="s">
        <v>1038</v>
      </c>
      <c r="V6" s="553"/>
      <c r="W6" s="553"/>
    </row>
    <row r="7" spans="1:23" ht="13" x14ac:dyDescent="0.25">
      <c r="A7" s="15" t="s">
        <v>872</v>
      </c>
      <c r="B7" s="16"/>
      <c r="C7" s="548">
        <v>290</v>
      </c>
      <c r="D7" s="17">
        <f t="shared" ref="D7:D40" si="0">C7/K7*453.59</f>
        <v>51682.028917177428</v>
      </c>
      <c r="E7" s="549">
        <f t="shared" ref="E7:E40" si="1">D7*1.05506/1000*2.2046</f>
        <v>120.21163829516094</v>
      </c>
      <c r="F7" s="18"/>
      <c r="G7" s="19">
        <v>343</v>
      </c>
      <c r="H7" s="17">
        <f t="shared" ref="H7:H40" si="2">G7/$K7*453.59</f>
        <v>61127.365236523648</v>
      </c>
      <c r="I7" s="549">
        <f t="shared" ref="I7:I40" si="3">H7*1.05506/1000*2.2046</f>
        <v>142.1813515008283</v>
      </c>
      <c r="J7" s="18"/>
      <c r="K7" s="550">
        <v>2.5451999999999999</v>
      </c>
      <c r="O7" t="s">
        <v>851</v>
      </c>
      <c r="P7" t="s">
        <v>638</v>
      </c>
      <c r="Q7" s="553">
        <v>930</v>
      </c>
      <c r="R7" s="553">
        <v>1027</v>
      </c>
      <c r="S7" s="553">
        <v>1030</v>
      </c>
      <c r="T7" s="553">
        <f>R7/Q7</f>
        <v>1.1043010752688172</v>
      </c>
      <c r="U7" s="553">
        <f>S7/Q7</f>
        <v>1.10752688172043</v>
      </c>
      <c r="V7" s="553"/>
      <c r="W7" s="553"/>
    </row>
    <row r="8" spans="1:23" ht="13" x14ac:dyDescent="0.25">
      <c r="A8" s="15" t="s">
        <v>873</v>
      </c>
      <c r="B8" s="16"/>
      <c r="C8" s="548">
        <v>1458</v>
      </c>
      <c r="D8" s="17">
        <f t="shared" si="0"/>
        <v>20162.628658536585</v>
      </c>
      <c r="E8" s="546">
        <f t="shared" si="1"/>
        <v>46.897977385211739</v>
      </c>
      <c r="F8" s="18"/>
      <c r="G8" s="19">
        <v>1584</v>
      </c>
      <c r="H8" s="17">
        <f t="shared" si="2"/>
        <v>21905.078048780488</v>
      </c>
      <c r="I8" s="546">
        <f t="shared" si="3"/>
        <v>50.950889011094226</v>
      </c>
      <c r="J8" s="18"/>
      <c r="K8" s="20">
        <v>32.799999999999997</v>
      </c>
      <c r="O8" t="s">
        <v>852</v>
      </c>
      <c r="P8" t="s">
        <v>638</v>
      </c>
      <c r="Q8" s="553">
        <v>930</v>
      </c>
      <c r="R8" s="553">
        <v>1027</v>
      </c>
      <c r="S8" s="553">
        <v>1030</v>
      </c>
      <c r="T8" s="553">
        <f>R8/Q8</f>
        <v>1.1043010752688172</v>
      </c>
      <c r="U8" s="553">
        <f>S8/Q8</f>
        <v>1.10752688172043</v>
      </c>
      <c r="V8" s="553"/>
      <c r="W8" s="553"/>
    </row>
    <row r="9" spans="1:23" ht="13" x14ac:dyDescent="0.25">
      <c r="A9" s="7" t="s">
        <v>308</v>
      </c>
      <c r="B9" s="8"/>
      <c r="C9" s="9" t="s">
        <v>309</v>
      </c>
      <c r="D9" s="9" t="s">
        <v>306</v>
      </c>
      <c r="E9" s="9" t="s">
        <v>307</v>
      </c>
      <c r="F9" s="9"/>
      <c r="G9" s="9" t="s">
        <v>309</v>
      </c>
      <c r="H9" s="9" t="s">
        <v>306</v>
      </c>
      <c r="I9" s="9" t="s">
        <v>307</v>
      </c>
      <c r="J9" s="9"/>
      <c r="K9" s="10" t="s">
        <v>310</v>
      </c>
      <c r="O9" t="s">
        <v>853</v>
      </c>
      <c r="P9" t="s">
        <v>638</v>
      </c>
      <c r="Q9" s="553">
        <v>930</v>
      </c>
      <c r="R9" s="553">
        <v>1027</v>
      </c>
      <c r="S9" s="553">
        <v>1030</v>
      </c>
      <c r="T9" s="553">
        <f>R9/Q9</f>
        <v>1.1043010752688172</v>
      </c>
      <c r="U9" s="553">
        <f>S9/Q9</f>
        <v>1.10752688172043</v>
      </c>
      <c r="V9" s="553"/>
      <c r="W9" s="553"/>
    </row>
    <row r="10" spans="1:23" ht="13" x14ac:dyDescent="0.25">
      <c r="A10" s="11" t="s">
        <v>874</v>
      </c>
      <c r="B10" s="16"/>
      <c r="C10" s="19">
        <v>129670</v>
      </c>
      <c r="D10" s="17">
        <f t="shared" si="0"/>
        <v>18351.642839313572</v>
      </c>
      <c r="E10" s="546">
        <f t="shared" si="1"/>
        <v>42.685651034654214</v>
      </c>
      <c r="F10" s="18"/>
      <c r="G10" s="19">
        <v>138350</v>
      </c>
      <c r="H10" s="17">
        <f t="shared" si="2"/>
        <v>19580.086271450855</v>
      </c>
      <c r="I10" s="546">
        <f t="shared" si="3"/>
        <v>45.542992370204438</v>
      </c>
      <c r="J10" s="18"/>
      <c r="K10" s="21">
        <v>3205</v>
      </c>
      <c r="O10" t="s">
        <v>928</v>
      </c>
      <c r="Q10" s="553"/>
      <c r="R10" s="553"/>
      <c r="S10" s="553"/>
      <c r="T10" s="553">
        <v>1</v>
      </c>
      <c r="U10" s="553">
        <v>1</v>
      </c>
      <c r="V10" s="553"/>
      <c r="W10" s="553"/>
    </row>
    <row r="11" spans="1:23" ht="13" x14ac:dyDescent="0.25">
      <c r="A11" s="11" t="s">
        <v>875</v>
      </c>
      <c r="B11" s="16"/>
      <c r="C11" s="19">
        <v>116090</v>
      </c>
      <c r="D11" s="17">
        <f t="shared" si="0"/>
        <v>18679.412238382403</v>
      </c>
      <c r="E11" s="546">
        <f t="shared" si="1"/>
        <v>43.448037830811678</v>
      </c>
      <c r="F11" s="18"/>
      <c r="G11" s="19">
        <v>124340</v>
      </c>
      <c r="H11" s="17">
        <f t="shared" si="2"/>
        <v>20006.874991131608</v>
      </c>
      <c r="I11" s="546">
        <f t="shared" si="3"/>
        <v>46.535696648144757</v>
      </c>
      <c r="J11" s="18"/>
      <c r="K11" s="21">
        <v>2819</v>
      </c>
      <c r="O11" t="s">
        <v>930</v>
      </c>
      <c r="Q11" s="553"/>
      <c r="R11" s="553"/>
      <c r="S11" s="553"/>
      <c r="T11" s="553">
        <v>1</v>
      </c>
      <c r="U11" s="553">
        <v>1</v>
      </c>
      <c r="V11" s="553"/>
      <c r="W11" s="553"/>
    </row>
    <row r="12" spans="1:23" ht="13" x14ac:dyDescent="0.25">
      <c r="A12" s="11" t="s">
        <v>876</v>
      </c>
      <c r="B12" s="16"/>
      <c r="C12" s="19">
        <v>113601.50975397152</v>
      </c>
      <c r="D12" s="17">
        <f t="shared" si="0"/>
        <v>18210.67343395916</v>
      </c>
      <c r="E12" s="546">
        <f t="shared" si="1"/>
        <v>42.357758273433376</v>
      </c>
      <c r="F12" s="18"/>
      <c r="G12" s="19">
        <v>121848.38036482914</v>
      </c>
      <c r="H12" s="17">
        <f t="shared" si="2"/>
        <v>19532.672304147527</v>
      </c>
      <c r="I12" s="546">
        <f t="shared" si="3"/>
        <v>45.432708180380153</v>
      </c>
      <c r="J12" s="18"/>
      <c r="K12" s="21">
        <v>2829.5773353012783</v>
      </c>
      <c r="O12" t="s">
        <v>854</v>
      </c>
      <c r="P12" t="s">
        <v>639</v>
      </c>
      <c r="Q12" s="555">
        <v>19546300</v>
      </c>
      <c r="R12" s="555">
        <v>20754000</v>
      </c>
      <c r="S12" s="555">
        <v>20231000</v>
      </c>
      <c r="T12" s="553">
        <f>R12/Q12</f>
        <v>1.0617866296946226</v>
      </c>
      <c r="U12" s="553">
        <f>S12/Q12</f>
        <v>1.0350296475547802</v>
      </c>
      <c r="V12" s="553"/>
      <c r="W12" s="553"/>
    </row>
    <row r="13" spans="1:23" ht="13" x14ac:dyDescent="0.25">
      <c r="A13" s="11" t="s">
        <v>877</v>
      </c>
      <c r="B13" s="16"/>
      <c r="C13" s="19">
        <v>113927.15396104372</v>
      </c>
      <c r="D13" s="17">
        <f t="shared" si="0"/>
        <v>18271.813278014368</v>
      </c>
      <c r="E13" s="546">
        <f t="shared" si="1"/>
        <v>42.499968650482714</v>
      </c>
      <c r="F13" s="18"/>
      <c r="G13" s="19">
        <v>122174.43408423416</v>
      </c>
      <c r="H13" s="17">
        <f t="shared" si="2"/>
        <v>19594.524828536756</v>
      </c>
      <c r="I13" s="546">
        <f t="shared" si="3"/>
        <v>45.576576241392928</v>
      </c>
      <c r="J13" s="18"/>
      <c r="K13" s="21">
        <v>2828.193183616288</v>
      </c>
      <c r="O13" t="s">
        <v>911</v>
      </c>
      <c r="P13" t="s">
        <v>640</v>
      </c>
      <c r="Q13" s="555">
        <v>128450</v>
      </c>
      <c r="R13" s="555">
        <f>5825000/42</f>
        <v>138690.47619047618</v>
      </c>
      <c r="S13" s="555">
        <f>5799000/42</f>
        <v>138071.42857142858</v>
      </c>
      <c r="T13" s="553">
        <f>R13/Q13</f>
        <v>1.0797234425105191</v>
      </c>
      <c r="U13" s="553">
        <f>S13/Q13</f>
        <v>1.0749040760718458</v>
      </c>
      <c r="V13" s="553"/>
      <c r="W13" s="553"/>
    </row>
    <row r="14" spans="1:23" ht="13" x14ac:dyDescent="0.25">
      <c r="A14" s="11" t="s">
        <v>878</v>
      </c>
      <c r="B14" s="16"/>
      <c r="C14" s="19">
        <v>128450</v>
      </c>
      <c r="D14" s="17">
        <f t="shared" si="0"/>
        <v>18397.106251973477</v>
      </c>
      <c r="E14" s="546">
        <f t="shared" si="1"/>
        <v>42.791398263097854</v>
      </c>
      <c r="F14" s="18"/>
      <c r="G14" s="19">
        <v>137380</v>
      </c>
      <c r="H14" s="17">
        <f t="shared" si="2"/>
        <v>19676.095421534574</v>
      </c>
      <c r="I14" s="546">
        <f t="shared" si="3"/>
        <v>45.766308239660439</v>
      </c>
      <c r="J14" s="18"/>
      <c r="K14" s="21">
        <v>3167</v>
      </c>
      <c r="O14" t="s">
        <v>909</v>
      </c>
      <c r="P14" t="s">
        <v>640</v>
      </c>
      <c r="Q14" s="555">
        <v>86668</v>
      </c>
      <c r="R14" s="555">
        <v>94706</v>
      </c>
      <c r="S14" s="555">
        <v>94854</v>
      </c>
      <c r="T14" s="553">
        <f>R14/Q14</f>
        <v>1.0927447270041999</v>
      </c>
      <c r="U14" s="553">
        <f>S14/Q14</f>
        <v>1.0944523930401071</v>
      </c>
      <c r="V14" s="553"/>
      <c r="W14" s="553"/>
    </row>
    <row r="15" spans="1:23" ht="13" x14ac:dyDescent="0.25">
      <c r="A15" s="11" t="s">
        <v>528</v>
      </c>
      <c r="B15" s="16"/>
      <c r="C15" s="19">
        <v>129487.84757606639</v>
      </c>
      <c r="D15" s="17">
        <f t="shared" si="0"/>
        <v>18320.147467881456</v>
      </c>
      <c r="E15" s="546">
        <f t="shared" si="1"/>
        <v>42.612393264440954</v>
      </c>
      <c r="F15" s="18"/>
      <c r="G15" s="19">
        <v>138490</v>
      </c>
      <c r="H15" s="17">
        <f t="shared" si="2"/>
        <v>19593.786369307545</v>
      </c>
      <c r="I15" s="546">
        <f t="shared" si="3"/>
        <v>45.574858596098856</v>
      </c>
      <c r="J15" s="18"/>
      <c r="K15" s="21">
        <v>3206</v>
      </c>
      <c r="O15" t="s">
        <v>855</v>
      </c>
      <c r="P15" t="s">
        <v>640</v>
      </c>
      <c r="Q15" s="555"/>
      <c r="R15" s="555"/>
      <c r="S15" s="555"/>
      <c r="T15" s="553">
        <f>$I$19/$E$19</f>
        <v>1.1388646288209607</v>
      </c>
      <c r="U15" s="553">
        <f>$I$19/$E$19</f>
        <v>1.1388646288209607</v>
      </c>
      <c r="V15" s="553"/>
      <c r="W15" s="553"/>
    </row>
    <row r="16" spans="1:23" ht="13" x14ac:dyDescent="0.25">
      <c r="A16" s="11" t="s">
        <v>879</v>
      </c>
      <c r="B16" s="16"/>
      <c r="C16" s="19">
        <v>116920</v>
      </c>
      <c r="D16" s="17">
        <f t="shared" si="0"/>
        <v>19320.124881602911</v>
      </c>
      <c r="E16" s="546">
        <f t="shared" si="1"/>
        <v>44.938326005089621</v>
      </c>
      <c r="F16" s="18"/>
      <c r="G16" s="19">
        <v>125080</v>
      </c>
      <c r="H16" s="17">
        <f t="shared" si="2"/>
        <v>20668.501712204008</v>
      </c>
      <c r="I16" s="546">
        <f t="shared" si="3"/>
        <v>48.074630659567319</v>
      </c>
      <c r="J16" s="18"/>
      <c r="K16" s="22">
        <v>2745</v>
      </c>
      <c r="O16" t="s">
        <v>914</v>
      </c>
      <c r="P16" t="s">
        <v>640</v>
      </c>
      <c r="Q16" s="555">
        <v>116090</v>
      </c>
      <c r="R16" s="555">
        <f>5194000/42</f>
        <v>123666.66666666667</v>
      </c>
      <c r="S16" s="555">
        <f>5218000/42</f>
        <v>124238.09523809524</v>
      </c>
      <c r="T16" s="553">
        <f>R16/Q16</f>
        <v>1.0652654549631033</v>
      </c>
      <c r="U16" s="553">
        <f>S16/Q16</f>
        <v>1.0701877443198831</v>
      </c>
      <c r="V16" s="553"/>
      <c r="W16" s="553"/>
    </row>
    <row r="17" spans="1:23" ht="13" x14ac:dyDescent="0.25">
      <c r="A17" s="11" t="s">
        <v>880</v>
      </c>
      <c r="B17" s="16"/>
      <c r="C17" s="19">
        <v>111520</v>
      </c>
      <c r="D17" s="17">
        <f t="shared" si="0"/>
        <v>19081.236061863448</v>
      </c>
      <c r="E17" s="546">
        <f t="shared" si="1"/>
        <v>44.382674127774621</v>
      </c>
      <c r="F17" s="18"/>
      <c r="G17" s="19">
        <v>119740</v>
      </c>
      <c r="H17" s="17">
        <f t="shared" si="2"/>
        <v>20487.69015465862</v>
      </c>
      <c r="I17" s="546">
        <f t="shared" si="3"/>
        <v>47.654065638986118</v>
      </c>
      <c r="J17" s="18"/>
      <c r="K17" s="21">
        <v>2651</v>
      </c>
      <c r="O17" t="s">
        <v>856</v>
      </c>
      <c r="P17" t="s">
        <v>639</v>
      </c>
      <c r="Q17" s="555">
        <v>16811000</v>
      </c>
      <c r="R17" s="555">
        <v>17200000</v>
      </c>
      <c r="S17" s="555">
        <v>17200000</v>
      </c>
      <c r="T17" s="553">
        <f>R17/Q17</f>
        <v>1.0231396109690083</v>
      </c>
      <c r="U17" s="553">
        <f>S17/Q17</f>
        <v>1.0231396109690083</v>
      </c>
      <c r="V17" s="553"/>
      <c r="W17" s="553"/>
    </row>
    <row r="18" spans="1:23" ht="13" x14ac:dyDescent="0.25">
      <c r="A18" s="11" t="s">
        <v>881</v>
      </c>
      <c r="B18" s="16"/>
      <c r="C18" s="19">
        <v>140352.52220119376</v>
      </c>
      <c r="D18" s="17">
        <f t="shared" si="0"/>
        <v>16967.617416108602</v>
      </c>
      <c r="E18" s="546">
        <f t="shared" si="1"/>
        <v>39.466428278669781</v>
      </c>
      <c r="F18" s="18"/>
      <c r="G18" s="19">
        <v>150110</v>
      </c>
      <c r="H18" s="17">
        <f t="shared" si="2"/>
        <v>18147.226785714287</v>
      </c>
      <c r="I18" s="546">
        <f t="shared" si="3"/>
        <v>42.210182303804245</v>
      </c>
      <c r="J18" s="18"/>
      <c r="K18" s="21">
        <v>3752</v>
      </c>
      <c r="O18" t="s">
        <v>857</v>
      </c>
      <c r="P18" t="s">
        <v>641</v>
      </c>
      <c r="Q18" s="556">
        <v>2.8300000000000001E-3</v>
      </c>
      <c r="R18" s="555"/>
      <c r="S18" s="555"/>
      <c r="T18" s="553">
        <v>1</v>
      </c>
      <c r="U18" s="553">
        <v>1</v>
      </c>
      <c r="V18" s="553"/>
      <c r="W18" s="553"/>
    </row>
    <row r="19" spans="1:23" ht="13" x14ac:dyDescent="0.25">
      <c r="A19" s="11" t="s">
        <v>311</v>
      </c>
      <c r="B19" s="23"/>
      <c r="C19" s="19">
        <v>57250</v>
      </c>
      <c r="D19" s="17">
        <f t="shared" si="0"/>
        <v>8638.7317032601459</v>
      </c>
      <c r="E19" s="546">
        <f t="shared" si="1"/>
        <v>20.093562745097504</v>
      </c>
      <c r="F19" s="18"/>
      <c r="G19" s="19">
        <v>65200</v>
      </c>
      <c r="H19" s="17">
        <f t="shared" si="2"/>
        <v>9838.345974717231</v>
      </c>
      <c r="I19" s="546">
        <f t="shared" si="3"/>
        <v>22.883847877386152</v>
      </c>
      <c r="J19" s="18"/>
      <c r="K19" s="22">
        <v>3006</v>
      </c>
      <c r="Q19" s="553"/>
      <c r="R19" s="553"/>
      <c r="S19" s="553"/>
      <c r="T19" s="553"/>
      <c r="U19" s="553"/>
      <c r="V19" s="553"/>
      <c r="W19" s="553"/>
    </row>
    <row r="20" spans="1:23" ht="13" x14ac:dyDescent="0.25">
      <c r="A20" s="11" t="s">
        <v>312</v>
      </c>
      <c r="B20" s="23"/>
      <c r="C20" s="19">
        <v>76330</v>
      </c>
      <c r="D20" s="17">
        <f t="shared" si="0"/>
        <v>11587.19032797858</v>
      </c>
      <c r="E20" s="546">
        <f t="shared" si="1"/>
        <v>26.95163409308779</v>
      </c>
      <c r="F20" s="18"/>
      <c r="G20" s="19">
        <v>84530</v>
      </c>
      <c r="H20" s="17">
        <f t="shared" si="2"/>
        <v>12831.982161981257</v>
      </c>
      <c r="I20" s="546">
        <f t="shared" si="3"/>
        <v>29.847001570663057</v>
      </c>
      <c r="J20" s="18"/>
      <c r="K20" s="22">
        <v>2988</v>
      </c>
      <c r="Q20" s="553"/>
      <c r="R20" s="553"/>
      <c r="S20" s="553"/>
      <c r="T20" s="553"/>
      <c r="U20" s="553"/>
      <c r="V20" s="553"/>
      <c r="W20" s="553"/>
    </row>
    <row r="21" spans="1:23" ht="13" x14ac:dyDescent="0.25">
      <c r="A21" s="11" t="s">
        <v>966</v>
      </c>
      <c r="B21" s="23"/>
      <c r="C21" s="19">
        <v>99837</v>
      </c>
      <c r="D21" s="17">
        <f t="shared" si="0"/>
        <v>14774.898802610114</v>
      </c>
      <c r="E21" s="546">
        <f t="shared" si="1"/>
        <v>34.366197069261162</v>
      </c>
      <c r="F21" s="18"/>
      <c r="G21" s="19">
        <v>108458</v>
      </c>
      <c r="H21" s="17">
        <f t="shared" si="2"/>
        <v>16050.722420880913</v>
      </c>
      <c r="I21" s="546">
        <f t="shared" si="3"/>
        <v>37.33374402013208</v>
      </c>
      <c r="J21" s="18"/>
      <c r="K21" s="22">
        <v>3065</v>
      </c>
      <c r="Q21" s="553"/>
      <c r="R21" s="553"/>
      <c r="S21" s="553"/>
      <c r="T21" s="553"/>
      <c r="U21" s="553"/>
      <c r="V21" s="553"/>
      <c r="W21" s="553"/>
    </row>
    <row r="22" spans="1:23" ht="13" x14ac:dyDescent="0.25">
      <c r="A22" s="11" t="s">
        <v>967</v>
      </c>
      <c r="B22" s="23"/>
      <c r="C22" s="19">
        <v>83127</v>
      </c>
      <c r="D22" s="17">
        <f t="shared" si="0"/>
        <v>12721.179463562754</v>
      </c>
      <c r="E22" s="546">
        <f t="shared" si="1"/>
        <v>29.589276125600549</v>
      </c>
      <c r="F22" s="18"/>
      <c r="G22" s="19">
        <v>89511</v>
      </c>
      <c r="H22" s="17">
        <f t="shared" si="2"/>
        <v>13698.142540485829</v>
      </c>
      <c r="I22" s="546">
        <f t="shared" si="3"/>
        <v>31.861677857719279</v>
      </c>
      <c r="J22" s="18"/>
      <c r="K22" s="22">
        <v>2964</v>
      </c>
      <c r="Q22" s="553"/>
      <c r="R22" s="553"/>
      <c r="S22" s="553"/>
      <c r="T22" s="553"/>
      <c r="U22" s="553"/>
      <c r="V22" s="553"/>
      <c r="W22" s="553"/>
    </row>
    <row r="23" spans="1:23" ht="13" x14ac:dyDescent="0.25">
      <c r="A23" s="11" t="s">
        <v>882</v>
      </c>
      <c r="B23" s="23"/>
      <c r="C23" s="19">
        <v>116090</v>
      </c>
      <c r="D23" s="17">
        <f t="shared" si="0"/>
        <v>18679.412238382403</v>
      </c>
      <c r="E23" s="546">
        <f t="shared" si="1"/>
        <v>43.448037830811678</v>
      </c>
      <c r="F23" s="18"/>
      <c r="G23" s="19">
        <v>124340</v>
      </c>
      <c r="H23" s="17">
        <f t="shared" si="2"/>
        <v>20006.874991131608</v>
      </c>
      <c r="I23" s="546">
        <f t="shared" si="3"/>
        <v>46.535696648144757</v>
      </c>
      <c r="J23" s="18"/>
      <c r="K23" s="22">
        <v>2819</v>
      </c>
      <c r="Q23" s="553"/>
      <c r="R23" s="553"/>
      <c r="S23" s="553"/>
      <c r="T23" s="553"/>
      <c r="U23" s="553"/>
      <c r="V23" s="553"/>
      <c r="W23" s="553"/>
    </row>
    <row r="24" spans="1:23" ht="13" x14ac:dyDescent="0.25">
      <c r="A24" s="11" t="s">
        <v>883</v>
      </c>
      <c r="B24" s="23"/>
      <c r="C24" s="19">
        <v>84950</v>
      </c>
      <c r="D24" s="17">
        <f t="shared" si="0"/>
        <v>20037.686167446696</v>
      </c>
      <c r="E24" s="546">
        <f t="shared" si="1"/>
        <v>46.607362990589891</v>
      </c>
      <c r="F24" s="18"/>
      <c r="G24" s="19">
        <v>91410</v>
      </c>
      <c r="H24" s="17">
        <f t="shared" si="2"/>
        <v>21561.446645865835</v>
      </c>
      <c r="I24" s="546">
        <f t="shared" si="3"/>
        <v>50.151607427543532</v>
      </c>
      <c r="J24" s="18"/>
      <c r="K24" s="22">
        <v>1923</v>
      </c>
      <c r="Q24" s="553"/>
      <c r="R24" s="553"/>
      <c r="S24" s="553"/>
      <c r="T24" s="553"/>
      <c r="U24" s="553"/>
      <c r="V24" s="553"/>
      <c r="W24" s="553"/>
    </row>
    <row r="25" spans="1:23" ht="13" x14ac:dyDescent="0.25">
      <c r="A25" s="11" t="s">
        <v>884</v>
      </c>
      <c r="B25" s="23"/>
      <c r="C25" s="19">
        <v>74720</v>
      </c>
      <c r="D25" s="17">
        <f t="shared" si="0"/>
        <v>20908.23244910549</v>
      </c>
      <c r="E25" s="546">
        <f t="shared" si="1"/>
        <v>48.632240823804793</v>
      </c>
      <c r="F25" s="18"/>
      <c r="G25" s="19">
        <v>84820</v>
      </c>
      <c r="H25" s="17">
        <f t="shared" si="2"/>
        <v>23734.425539790249</v>
      </c>
      <c r="I25" s="546">
        <f t="shared" si="3"/>
        <v>55.205924339870478</v>
      </c>
      <c r="J25" s="18"/>
      <c r="K25" s="22">
        <v>1621</v>
      </c>
      <c r="Q25" s="553"/>
      <c r="R25" s="553"/>
      <c r="S25" s="553"/>
      <c r="T25" s="553"/>
      <c r="U25" s="553"/>
      <c r="V25" s="553"/>
      <c r="W25" s="553"/>
    </row>
    <row r="26" spans="1:23" ht="13" x14ac:dyDescent="0.25">
      <c r="A26" s="11" t="s">
        <v>885</v>
      </c>
      <c r="B26" s="23"/>
      <c r="C26" s="19">
        <v>68930</v>
      </c>
      <c r="D26" s="17">
        <f t="shared" si="0"/>
        <v>12416.981215250198</v>
      </c>
      <c r="E26" s="546">
        <f t="shared" si="1"/>
        <v>28.881715479040551</v>
      </c>
      <c r="F26" s="18"/>
      <c r="G26" s="19">
        <v>75610</v>
      </c>
      <c r="H26" s="17">
        <f t="shared" si="2"/>
        <v>13620.3097299444</v>
      </c>
      <c r="I26" s="546">
        <f t="shared" si="3"/>
        <v>31.680639886410216</v>
      </c>
      <c r="J26" s="18"/>
      <c r="K26" s="22">
        <v>2518</v>
      </c>
      <c r="Q26" s="553"/>
      <c r="R26" s="553"/>
      <c r="S26" s="553"/>
      <c r="T26" s="553"/>
      <c r="U26" s="553"/>
      <c r="V26" s="553"/>
      <c r="W26" s="553"/>
    </row>
    <row r="27" spans="1:23" ht="13" x14ac:dyDescent="0.25">
      <c r="A27" s="11" t="s">
        <v>886</v>
      </c>
      <c r="B27" s="23"/>
      <c r="C27" s="19">
        <v>72200</v>
      </c>
      <c r="D27" s="17">
        <f t="shared" si="0"/>
        <v>10061.197542242702</v>
      </c>
      <c r="E27" s="546">
        <f t="shared" si="1"/>
        <v>23.402197342183918</v>
      </c>
      <c r="F27" s="18"/>
      <c r="G27" s="19">
        <v>79196.89540113158</v>
      </c>
      <c r="H27" s="17">
        <f t="shared" si="2"/>
        <v>11036.227276497471</v>
      </c>
      <c r="I27" s="546">
        <f t="shared" si="3"/>
        <v>25.670102147722705</v>
      </c>
      <c r="J27" s="18"/>
      <c r="K27" s="22">
        <v>3255</v>
      </c>
      <c r="Q27" s="553"/>
      <c r="R27" s="553"/>
      <c r="S27" s="553"/>
      <c r="T27" s="553"/>
      <c r="U27" s="553"/>
      <c r="V27" s="553"/>
      <c r="W27" s="553"/>
    </row>
    <row r="28" spans="1:23" ht="13" x14ac:dyDescent="0.25">
      <c r="A28" s="11" t="s">
        <v>887</v>
      </c>
      <c r="B28" s="23"/>
      <c r="C28" s="19">
        <v>119550</v>
      </c>
      <c r="D28" s="17">
        <f t="shared" si="0"/>
        <v>16134.09238321928</v>
      </c>
      <c r="E28" s="546">
        <f t="shared" si="1"/>
        <v>37.527661324991804</v>
      </c>
      <c r="F28" s="18"/>
      <c r="G28" s="19">
        <v>127960</v>
      </c>
      <c r="H28" s="17">
        <f t="shared" si="2"/>
        <v>17269.079559654863</v>
      </c>
      <c r="I28" s="546">
        <f t="shared" si="3"/>
        <v>40.167624785829787</v>
      </c>
      <c r="J28" s="18"/>
      <c r="K28" s="22">
        <v>3361</v>
      </c>
      <c r="Q28" s="553"/>
      <c r="R28" s="553"/>
      <c r="S28" s="553"/>
      <c r="T28" s="553"/>
      <c r="U28" s="553"/>
      <c r="V28" s="553"/>
      <c r="W28" s="553"/>
    </row>
    <row r="29" spans="1:23" ht="13" x14ac:dyDescent="0.25">
      <c r="A29" s="11" t="s">
        <v>888</v>
      </c>
      <c r="B29" s="23"/>
      <c r="C29" s="19">
        <v>123670</v>
      </c>
      <c r="D29" s="17">
        <f t="shared" si="0"/>
        <v>18593.130692741131</v>
      </c>
      <c r="E29" s="546">
        <f t="shared" si="1"/>
        <v>43.247348226059557</v>
      </c>
      <c r="F29" s="18"/>
      <c r="G29" s="19">
        <v>130030</v>
      </c>
      <c r="H29" s="17">
        <f t="shared" si="2"/>
        <v>19549.323069274113</v>
      </c>
      <c r="I29" s="546">
        <f t="shared" si="3"/>
        <v>45.471437614898726</v>
      </c>
      <c r="J29" s="18"/>
      <c r="K29" s="22">
        <v>3017</v>
      </c>
      <c r="Q29" s="553"/>
      <c r="R29" s="553"/>
      <c r="S29" s="553"/>
      <c r="T29" s="553"/>
      <c r="U29" s="553"/>
      <c r="V29" s="553"/>
      <c r="W29" s="553"/>
    </row>
    <row r="30" spans="1:23" ht="13" x14ac:dyDescent="0.25">
      <c r="A30" s="11" t="s">
        <v>968</v>
      </c>
      <c r="B30" s="23"/>
      <c r="C30" s="19">
        <v>117059</v>
      </c>
      <c r="D30" s="17">
        <f t="shared" si="0"/>
        <v>18729.027093474426</v>
      </c>
      <c r="E30" s="546">
        <f t="shared" si="1"/>
        <v>43.563441253226593</v>
      </c>
      <c r="F30" s="18"/>
      <c r="G30" s="19">
        <v>125294</v>
      </c>
      <c r="H30" s="17">
        <f t="shared" si="2"/>
        <v>20046.598045855379</v>
      </c>
      <c r="I30" s="546">
        <f t="shared" si="3"/>
        <v>46.628091888549989</v>
      </c>
      <c r="J30" s="18"/>
      <c r="K30" s="22">
        <v>2835</v>
      </c>
      <c r="Q30" s="553"/>
      <c r="R30" s="553"/>
      <c r="S30" s="553"/>
      <c r="T30" s="553"/>
      <c r="U30" s="553"/>
      <c r="V30" s="553"/>
      <c r="W30" s="553"/>
    </row>
    <row r="31" spans="1:23" ht="13" x14ac:dyDescent="0.25">
      <c r="A31" s="11" t="s">
        <v>969</v>
      </c>
      <c r="B31" s="23"/>
      <c r="C31" s="19">
        <v>122887</v>
      </c>
      <c r="D31" s="17">
        <f t="shared" si="0"/>
        <v>18907.840681818183</v>
      </c>
      <c r="E31" s="546">
        <f t="shared" si="1"/>
        <v>43.979359026862895</v>
      </c>
      <c r="F31" s="18"/>
      <c r="G31" s="19">
        <v>130817</v>
      </c>
      <c r="H31" s="17">
        <f t="shared" si="2"/>
        <v>20127.979318181817</v>
      </c>
      <c r="I31" s="546">
        <f t="shared" si="3"/>
        <v>46.817383529723436</v>
      </c>
      <c r="J31" s="18"/>
      <c r="K31" s="22">
        <v>2948</v>
      </c>
      <c r="Q31" s="553"/>
      <c r="R31" s="553"/>
      <c r="S31" s="553"/>
      <c r="T31" s="553"/>
      <c r="U31" s="553"/>
      <c r="V31" s="553"/>
      <c r="W31" s="553"/>
    </row>
    <row r="32" spans="1:23" ht="13" x14ac:dyDescent="0.25">
      <c r="A32" s="11" t="s">
        <v>970</v>
      </c>
      <c r="B32" s="23"/>
      <c r="C32" s="19">
        <v>115983</v>
      </c>
      <c r="D32" s="17">
        <f t="shared" si="0"/>
        <v>18589.656879858656</v>
      </c>
      <c r="E32" s="546">
        <f t="shared" si="1"/>
        <v>43.23926818844334</v>
      </c>
      <c r="F32" s="18"/>
      <c r="G32" s="19">
        <v>124230</v>
      </c>
      <c r="H32" s="17">
        <f t="shared" si="2"/>
        <v>19911.479045936394</v>
      </c>
      <c r="I32" s="546">
        <f t="shared" si="3"/>
        <v>46.313807084230582</v>
      </c>
      <c r="J32" s="18"/>
      <c r="K32" s="22">
        <v>2830</v>
      </c>
      <c r="Q32" s="553"/>
      <c r="R32" s="553"/>
      <c r="S32" s="553"/>
      <c r="T32" s="553"/>
      <c r="U32" s="553"/>
      <c r="V32" s="553"/>
      <c r="W32" s="553"/>
    </row>
    <row r="33" spans="1:23" ht="13" x14ac:dyDescent="0.25">
      <c r="A33" s="11" t="s">
        <v>889</v>
      </c>
      <c r="B33" s="23"/>
      <c r="C33" s="19">
        <v>30500</v>
      </c>
      <c r="D33" s="17">
        <f t="shared" si="0"/>
        <v>51621.249999999993</v>
      </c>
      <c r="E33" s="549">
        <f t="shared" si="1"/>
        <v>120.070267428715</v>
      </c>
      <c r="F33" s="18"/>
      <c r="G33" s="19">
        <v>36020</v>
      </c>
      <c r="H33" s="17">
        <f t="shared" si="2"/>
        <v>60963.849999999991</v>
      </c>
      <c r="I33" s="549">
        <f t="shared" si="3"/>
        <v>141.80101746827262</v>
      </c>
      <c r="J33" s="18"/>
      <c r="K33" s="22">
        <v>268</v>
      </c>
      <c r="Q33" s="553"/>
      <c r="R33" s="553"/>
      <c r="S33" s="553"/>
      <c r="T33" s="553"/>
      <c r="U33" s="553"/>
      <c r="V33" s="553"/>
      <c r="W33" s="553"/>
    </row>
    <row r="34" spans="1:23" ht="13" x14ac:dyDescent="0.25">
      <c r="A34" s="11" t="s">
        <v>890</v>
      </c>
      <c r="B34" s="23"/>
      <c r="C34" s="19">
        <v>93540</v>
      </c>
      <c r="D34" s="17">
        <f t="shared" si="0"/>
        <v>15093.848665955175</v>
      </c>
      <c r="E34" s="546">
        <f t="shared" si="1"/>
        <v>35.108069755183983</v>
      </c>
      <c r="F34" s="18"/>
      <c r="G34" s="19">
        <v>101130</v>
      </c>
      <c r="H34" s="17">
        <f t="shared" si="2"/>
        <v>16318.59007470651</v>
      </c>
      <c r="I34" s="546">
        <f t="shared" si="3"/>
        <v>37.95680023884708</v>
      </c>
      <c r="J34" s="18"/>
      <c r="K34" s="22">
        <v>2811</v>
      </c>
      <c r="Q34" s="553"/>
      <c r="R34" s="553"/>
      <c r="S34" s="553"/>
      <c r="T34" s="553"/>
      <c r="U34" s="553"/>
      <c r="V34" s="553"/>
      <c r="W34" s="553"/>
    </row>
    <row r="35" spans="1:23" ht="13" x14ac:dyDescent="0.25">
      <c r="A35" s="11" t="s">
        <v>891</v>
      </c>
      <c r="B35" s="16"/>
      <c r="C35" s="19">
        <v>96720</v>
      </c>
      <c r="D35" s="17">
        <f t="shared" si="0"/>
        <v>15612.535516014234</v>
      </c>
      <c r="E35" s="546">
        <f t="shared" si="1"/>
        <v>36.314527731276172</v>
      </c>
      <c r="F35" s="18"/>
      <c r="G35" s="19">
        <v>104530</v>
      </c>
      <c r="H35" s="17">
        <f t="shared" si="2"/>
        <v>16873.225160142349</v>
      </c>
      <c r="I35" s="546">
        <f t="shared" si="3"/>
        <v>39.246873281123854</v>
      </c>
      <c r="J35" s="18"/>
      <c r="K35" s="21">
        <v>2810</v>
      </c>
      <c r="Q35" s="553"/>
      <c r="R35" s="553"/>
      <c r="S35" s="553"/>
      <c r="T35" s="553"/>
      <c r="U35" s="553"/>
      <c r="V35" s="553"/>
      <c r="W35" s="553"/>
    </row>
    <row r="36" spans="1:23" ht="13" x14ac:dyDescent="0.25">
      <c r="A36" s="11" t="s">
        <v>892</v>
      </c>
      <c r="B36" s="16"/>
      <c r="C36" s="19">
        <v>100480</v>
      </c>
      <c r="D36" s="17">
        <f t="shared" si="0"/>
        <v>15645.974322004806</v>
      </c>
      <c r="E36" s="546">
        <f t="shared" si="1"/>
        <v>36.392305901657274</v>
      </c>
      <c r="F36" s="18"/>
      <c r="G36" s="19">
        <v>108570</v>
      </c>
      <c r="H36" s="17">
        <f t="shared" si="2"/>
        <v>16905.687023686918</v>
      </c>
      <c r="I36" s="546">
        <f t="shared" si="3"/>
        <v>39.322379097760042</v>
      </c>
      <c r="J36" s="18"/>
      <c r="K36" s="21">
        <v>2913</v>
      </c>
      <c r="Q36" s="553"/>
      <c r="R36" s="553"/>
      <c r="S36" s="553"/>
      <c r="T36" s="553"/>
      <c r="U36" s="553"/>
      <c r="V36" s="553"/>
      <c r="W36" s="553"/>
    </row>
    <row r="37" spans="1:23" ht="13" x14ac:dyDescent="0.25">
      <c r="A37" s="11" t="s">
        <v>893</v>
      </c>
      <c r="B37" s="16"/>
      <c r="C37" s="19">
        <v>94970</v>
      </c>
      <c r="D37" s="17">
        <f t="shared" si="0"/>
        <v>19465.631405332126</v>
      </c>
      <c r="E37" s="546">
        <f t="shared" si="1"/>
        <v>45.27677203684572</v>
      </c>
      <c r="F37" s="18"/>
      <c r="G37" s="19">
        <v>103220</v>
      </c>
      <c r="H37" s="17">
        <f t="shared" si="2"/>
        <v>21156.601807501127</v>
      </c>
      <c r="I37" s="546">
        <f t="shared" si="3"/>
        <v>49.209944294442614</v>
      </c>
      <c r="J37" s="18"/>
      <c r="K37" s="21">
        <v>2213</v>
      </c>
      <c r="Q37" s="553"/>
      <c r="R37" s="553"/>
      <c r="S37" s="553"/>
      <c r="T37" s="553"/>
      <c r="U37" s="553"/>
      <c r="V37" s="553"/>
      <c r="W37" s="553"/>
    </row>
    <row r="38" spans="1:23" ht="13" x14ac:dyDescent="0.25">
      <c r="A38" s="11" t="s">
        <v>894</v>
      </c>
      <c r="B38" s="16"/>
      <c r="C38" s="19">
        <v>90060</v>
      </c>
      <c r="D38" s="17">
        <f t="shared" si="0"/>
        <v>19287.212181303115</v>
      </c>
      <c r="E38" s="546">
        <f t="shared" si="1"/>
        <v>44.861771548798892</v>
      </c>
      <c r="F38" s="18"/>
      <c r="G38" s="19">
        <v>98560</v>
      </c>
      <c r="H38" s="17">
        <f t="shared" si="2"/>
        <v>21107.568649669498</v>
      </c>
      <c r="I38" s="546">
        <f t="shared" si="3"/>
        <v>49.095893891290459</v>
      </c>
      <c r="J38" s="18"/>
      <c r="K38" s="21">
        <v>2118</v>
      </c>
      <c r="Q38" s="553"/>
      <c r="R38" s="553"/>
      <c r="S38" s="553"/>
      <c r="T38" s="553"/>
      <c r="U38" s="553"/>
      <c r="V38" s="553"/>
      <c r="W38" s="553"/>
    </row>
    <row r="39" spans="1:23" ht="13" x14ac:dyDescent="0.25">
      <c r="A39" s="11" t="s">
        <v>895</v>
      </c>
      <c r="B39" s="16"/>
      <c r="C39" s="19">
        <v>95720</v>
      </c>
      <c r="D39" s="17">
        <f t="shared" si="0"/>
        <v>19271.031868619615</v>
      </c>
      <c r="E39" s="546">
        <f t="shared" si="1"/>
        <v>44.824136379735997</v>
      </c>
      <c r="F39" s="18"/>
      <c r="G39" s="19">
        <v>103010</v>
      </c>
      <c r="H39" s="17">
        <f t="shared" si="2"/>
        <v>20738.706569019083</v>
      </c>
      <c r="I39" s="546">
        <f t="shared" si="3"/>
        <v>48.237926122822877</v>
      </c>
      <c r="J39" s="18"/>
      <c r="K39" s="21">
        <v>2253</v>
      </c>
      <c r="Q39" s="553"/>
      <c r="R39" s="553"/>
      <c r="S39" s="553"/>
      <c r="T39" s="553"/>
      <c r="U39" s="553"/>
      <c r="V39" s="553"/>
      <c r="W39" s="553"/>
    </row>
    <row r="40" spans="1:23" ht="13" x14ac:dyDescent="0.25">
      <c r="A40" s="11" t="s">
        <v>313</v>
      </c>
      <c r="B40" s="16"/>
      <c r="C40" s="19">
        <v>84250</v>
      </c>
      <c r="D40" s="17">
        <f t="shared" si="0"/>
        <v>19903.623697916668</v>
      </c>
      <c r="E40" s="546">
        <f t="shared" si="1"/>
        <v>46.295535660398848</v>
      </c>
      <c r="F40" s="18"/>
      <c r="G40" s="19">
        <v>91420</v>
      </c>
      <c r="H40" s="17">
        <f t="shared" si="2"/>
        <v>21597.498854166668</v>
      </c>
      <c r="I40" s="546">
        <f t="shared" si="3"/>
        <v>50.235464333218552</v>
      </c>
      <c r="J40" s="18"/>
      <c r="K40" s="21">
        <v>1920</v>
      </c>
      <c r="Q40" s="553"/>
      <c r="R40" s="553"/>
      <c r="S40" s="553"/>
      <c r="T40" s="553"/>
      <c r="U40" s="553"/>
      <c r="V40" s="553"/>
      <c r="W40" s="553"/>
    </row>
    <row r="41" spans="1:23" ht="13" x14ac:dyDescent="0.25">
      <c r="A41" s="7" t="s">
        <v>314</v>
      </c>
      <c r="B41" s="8"/>
      <c r="C41" s="9" t="s">
        <v>315</v>
      </c>
      <c r="D41" s="9" t="s">
        <v>316</v>
      </c>
      <c r="E41" s="9" t="s">
        <v>307</v>
      </c>
      <c r="F41" s="9"/>
      <c r="G41" s="9" t="s">
        <v>315</v>
      </c>
      <c r="H41" s="9" t="s">
        <v>316</v>
      </c>
      <c r="I41" s="9" t="s">
        <v>307</v>
      </c>
      <c r="J41" s="9"/>
      <c r="K41" s="10"/>
      <c r="Q41" s="553"/>
      <c r="R41" s="553"/>
      <c r="S41" s="553"/>
      <c r="T41" s="553"/>
      <c r="U41" s="553"/>
      <c r="V41" s="553"/>
      <c r="W41" s="553"/>
    </row>
    <row r="42" spans="1:23" ht="13" x14ac:dyDescent="0.25">
      <c r="A42" s="15" t="s">
        <v>896</v>
      </c>
      <c r="B42" s="16"/>
      <c r="C42" s="24">
        <v>19546300</v>
      </c>
      <c r="D42" s="17">
        <f t="shared" ref="D42:D50" si="4">C42/2000</f>
        <v>9773.15</v>
      </c>
      <c r="E42" s="546">
        <f t="shared" ref="E42:E50" si="5">D42*1.05506/1000*2.2046</f>
        <v>22.7322030001394</v>
      </c>
      <c r="F42" s="18"/>
      <c r="G42" s="19">
        <v>20608570</v>
      </c>
      <c r="H42" s="17">
        <f>G42/2000</f>
        <v>10304.285</v>
      </c>
      <c r="I42" s="546">
        <f t="shared" ref="I42:I50" si="6">H42*1.05506/1000*2.2046</f>
        <v>23.967615189707661</v>
      </c>
      <c r="J42" s="18"/>
      <c r="K42" s="22"/>
      <c r="Q42" s="553"/>
      <c r="R42" s="553"/>
      <c r="S42" s="553"/>
      <c r="T42" s="553"/>
      <c r="U42" s="553"/>
      <c r="V42" s="553"/>
      <c r="W42" s="553"/>
    </row>
    <row r="43" spans="1:23" ht="13" x14ac:dyDescent="0.25">
      <c r="A43" s="15" t="s">
        <v>897</v>
      </c>
      <c r="B43" s="16"/>
      <c r="C43" s="24">
        <v>22460600</v>
      </c>
      <c r="D43" s="17">
        <f t="shared" si="4"/>
        <v>11230.3</v>
      </c>
      <c r="E43" s="546">
        <f t="shared" si="5"/>
        <v>26.121512445062798</v>
      </c>
      <c r="F43" s="18"/>
      <c r="G43" s="19">
        <v>23445900</v>
      </c>
      <c r="H43" s="17">
        <f t="shared" ref="H43:H50" si="7">G43/2000</f>
        <v>11722.95</v>
      </c>
      <c r="I43" s="546">
        <f t="shared" si="6"/>
        <v>27.267409091284208</v>
      </c>
      <c r="J43" s="18"/>
      <c r="K43" s="22"/>
      <c r="Q43" s="553"/>
      <c r="R43" s="553"/>
      <c r="S43" s="553"/>
      <c r="T43" s="553"/>
      <c r="U43" s="553"/>
      <c r="V43" s="553"/>
      <c r="W43" s="553"/>
    </row>
    <row r="44" spans="1:23" ht="13" x14ac:dyDescent="0.25">
      <c r="A44" s="11" t="s">
        <v>898</v>
      </c>
      <c r="B44" s="12"/>
      <c r="C44" s="24">
        <v>24600497.144575384</v>
      </c>
      <c r="D44" s="17">
        <f t="shared" si="4"/>
        <v>12300.248572287692</v>
      </c>
      <c r="E44" s="546">
        <f t="shared" si="5"/>
        <v>28.610197070281195</v>
      </c>
      <c r="F44" s="18"/>
      <c r="G44" s="19">
        <v>25679670</v>
      </c>
      <c r="H44" s="17">
        <f t="shared" si="7"/>
        <v>12839.834999999999</v>
      </c>
      <c r="I44" s="546">
        <f t="shared" si="6"/>
        <v>29.865267156269461</v>
      </c>
      <c r="J44" s="18"/>
      <c r="K44" s="22"/>
    </row>
    <row r="45" spans="1:23" ht="13" x14ac:dyDescent="0.25">
      <c r="A45" s="15" t="s">
        <v>899</v>
      </c>
      <c r="B45" s="16"/>
      <c r="C45" s="24">
        <v>16811000</v>
      </c>
      <c r="D45" s="17">
        <f t="shared" si="4"/>
        <v>8405.5</v>
      </c>
      <c r="E45" s="546">
        <f t="shared" si="5"/>
        <v>19.551069237418005</v>
      </c>
      <c r="F45" s="18"/>
      <c r="G45" s="19">
        <v>17703170</v>
      </c>
      <c r="H45" s="17">
        <f t="shared" si="7"/>
        <v>8851.5849999999991</v>
      </c>
      <c r="I45" s="546">
        <f t="shared" si="6"/>
        <v>20.588656379262464</v>
      </c>
      <c r="J45" s="18"/>
      <c r="K45" s="22"/>
    </row>
    <row r="46" spans="1:23" ht="13" x14ac:dyDescent="0.25">
      <c r="A46" s="15" t="s">
        <v>900</v>
      </c>
      <c r="B46" s="16"/>
      <c r="C46" s="24">
        <v>14797554.763920812</v>
      </c>
      <c r="D46" s="17">
        <f t="shared" si="4"/>
        <v>7398.7773819604063</v>
      </c>
      <c r="E46" s="546">
        <f t="shared" si="5"/>
        <v>17.209447250841734</v>
      </c>
      <c r="F46" s="18"/>
      <c r="G46" s="19">
        <v>15582870</v>
      </c>
      <c r="H46" s="17">
        <f t="shared" si="7"/>
        <v>7791.4350000000004</v>
      </c>
      <c r="I46" s="546">
        <f t="shared" si="6"/>
        <v>18.122763088911064</v>
      </c>
      <c r="J46" s="18"/>
      <c r="K46" s="22"/>
    </row>
    <row r="47" spans="1:23" ht="13" x14ac:dyDescent="0.25">
      <c r="A47" s="15" t="s">
        <v>901</v>
      </c>
      <c r="B47" s="16"/>
      <c r="C47" s="24">
        <v>14075990</v>
      </c>
      <c r="D47" s="17">
        <f t="shared" si="4"/>
        <v>7037.9949999999999</v>
      </c>
      <c r="E47" s="546">
        <f t="shared" si="5"/>
        <v>16.370272742561625</v>
      </c>
      <c r="F47" s="18"/>
      <c r="G47" s="19">
        <v>14974460</v>
      </c>
      <c r="H47" s="17">
        <f t="shared" si="7"/>
        <v>7487.23</v>
      </c>
      <c r="I47" s="546">
        <f t="shared" si="6"/>
        <v>17.415186738025483</v>
      </c>
      <c r="J47" s="18"/>
      <c r="K47" s="22"/>
    </row>
    <row r="48" spans="1:23" ht="13" x14ac:dyDescent="0.25">
      <c r="A48" s="15" t="s">
        <v>902</v>
      </c>
      <c r="B48" s="16"/>
      <c r="C48" s="24">
        <v>13243490</v>
      </c>
      <c r="D48" s="17">
        <f t="shared" si="4"/>
        <v>6621.7449999999999</v>
      </c>
      <c r="E48" s="546">
        <f t="shared" si="5"/>
        <v>15.40208137142662</v>
      </c>
      <c r="F48" s="18"/>
      <c r="G48" s="19">
        <v>14164160</v>
      </c>
      <c r="H48" s="17">
        <f t="shared" si="7"/>
        <v>7082.08</v>
      </c>
      <c r="I48" s="546">
        <f t="shared" si="6"/>
        <v>16.472813803454081</v>
      </c>
      <c r="J48" s="18"/>
      <c r="K48" s="22"/>
    </row>
    <row r="49" spans="1:11" ht="13" x14ac:dyDescent="0.25">
      <c r="A49" s="15" t="s">
        <v>971</v>
      </c>
      <c r="B49" s="16"/>
      <c r="C49" s="24">
        <v>12947318</v>
      </c>
      <c r="D49" s="17">
        <f t="shared" si="4"/>
        <v>6473.6589999999997</v>
      </c>
      <c r="E49" s="546">
        <f t="shared" si="5"/>
        <v>15.057635515844886</v>
      </c>
      <c r="F49" s="18"/>
      <c r="G49" s="19">
        <v>14062678</v>
      </c>
      <c r="H49" s="17">
        <f t="shared" si="7"/>
        <v>7031.3389999999999</v>
      </c>
      <c r="I49" s="546">
        <f t="shared" si="6"/>
        <v>16.354790984564566</v>
      </c>
      <c r="J49" s="18"/>
      <c r="K49" s="22"/>
    </row>
    <row r="50" spans="1:11" ht="13" x14ac:dyDescent="0.25">
      <c r="A50" s="15" t="s">
        <v>972</v>
      </c>
      <c r="B50" s="16"/>
      <c r="C50" s="24">
        <v>25370000</v>
      </c>
      <c r="D50" s="17">
        <f t="shared" si="4"/>
        <v>12685</v>
      </c>
      <c r="E50" s="546">
        <f t="shared" si="5"/>
        <v>29.505123226060004</v>
      </c>
      <c r="F50" s="18"/>
      <c r="G50" s="19">
        <v>26920000</v>
      </c>
      <c r="H50" s="17">
        <f t="shared" si="7"/>
        <v>13460</v>
      </c>
      <c r="I50" s="546">
        <f t="shared" si="6"/>
        <v>31.307761814960006</v>
      </c>
      <c r="J50" s="18"/>
      <c r="K50" s="22"/>
    </row>
    <row r="51" spans="1:11" ht="13" x14ac:dyDescent="0.25">
      <c r="A51" s="1699" t="s">
        <v>317</v>
      </c>
      <c r="B51" s="1700"/>
      <c r="C51" s="1700"/>
      <c r="D51" s="1700"/>
      <c r="E51" s="1700"/>
      <c r="F51" s="1700"/>
      <c r="G51" s="1700"/>
      <c r="H51" s="1700"/>
      <c r="I51" s="1700"/>
      <c r="J51" s="1700"/>
      <c r="K51" s="1701"/>
    </row>
    <row r="52" spans="1:11" x14ac:dyDescent="0.25">
      <c r="A52" s="1696" t="s">
        <v>903</v>
      </c>
      <c r="B52" s="1697"/>
      <c r="C52" s="1697"/>
      <c r="D52" s="1697"/>
      <c r="E52" s="1697"/>
      <c r="F52" s="1697"/>
      <c r="G52" s="1697"/>
      <c r="H52" s="1697"/>
      <c r="I52" s="1697"/>
      <c r="J52" s="1697"/>
      <c r="K52" s="1698"/>
    </row>
    <row r="53" spans="1:11" x14ac:dyDescent="0.25">
      <c r="A53" s="1685" t="s">
        <v>904</v>
      </c>
      <c r="B53" s="1686"/>
      <c r="C53" s="1686"/>
      <c r="D53" s="1686"/>
      <c r="E53" s="1686"/>
      <c r="F53" s="1686"/>
      <c r="G53" s="1686"/>
      <c r="H53" s="1686"/>
      <c r="I53" s="1686"/>
      <c r="J53" s="1686"/>
      <c r="K53" s="1687"/>
    </row>
    <row r="54" spans="1:11" x14ac:dyDescent="0.25">
      <c r="A54" s="1685" t="s">
        <v>905</v>
      </c>
      <c r="B54" s="1686"/>
      <c r="C54" s="1686"/>
      <c r="D54" s="1686"/>
      <c r="E54" s="1686"/>
      <c r="F54" s="1686"/>
      <c r="G54" s="1686"/>
      <c r="H54" s="1686"/>
      <c r="I54" s="1686"/>
      <c r="J54" s="1686"/>
      <c r="K54" s="1687"/>
    </row>
    <row r="55" spans="1:11" x14ac:dyDescent="0.25">
      <c r="A55" s="1685" t="s">
        <v>906</v>
      </c>
      <c r="B55" s="1686"/>
      <c r="C55" s="1686"/>
      <c r="D55" s="1686"/>
      <c r="E55" s="1686"/>
      <c r="F55" s="1686"/>
      <c r="G55" s="1686"/>
      <c r="H55" s="1686"/>
      <c r="I55" s="1686"/>
      <c r="J55" s="1686"/>
      <c r="K55" s="1687"/>
    </row>
    <row r="56" spans="1:11" x14ac:dyDescent="0.25">
      <c r="A56" s="1706" t="s">
        <v>318</v>
      </c>
      <c r="B56" s="1707"/>
      <c r="C56" s="1707"/>
      <c r="D56" s="1707"/>
      <c r="E56" s="1707"/>
      <c r="F56" s="1707"/>
      <c r="G56" s="1707"/>
      <c r="H56" s="1707"/>
      <c r="I56" s="1707"/>
      <c r="J56" s="1707"/>
      <c r="K56" s="1708"/>
    </row>
    <row r="57" spans="1:11" x14ac:dyDescent="0.25">
      <c r="A57" s="1685" t="s">
        <v>319</v>
      </c>
      <c r="B57" s="1686"/>
      <c r="C57" s="1686"/>
      <c r="D57" s="1686"/>
      <c r="E57" s="1686"/>
      <c r="F57" s="1686"/>
      <c r="G57" s="1686"/>
      <c r="H57" s="1686"/>
      <c r="I57" s="1686"/>
      <c r="J57" s="1686"/>
      <c r="K57" s="1687"/>
    </row>
    <row r="58" spans="1:11" x14ac:dyDescent="0.25">
      <c r="A58" s="1685" t="s">
        <v>907</v>
      </c>
      <c r="B58" s="1686"/>
      <c r="C58" s="1686"/>
      <c r="D58" s="1686"/>
      <c r="E58" s="1686"/>
      <c r="F58" s="1686"/>
      <c r="G58" s="1686"/>
      <c r="H58" s="1686"/>
      <c r="I58" s="1686"/>
      <c r="J58" s="1686"/>
      <c r="K58" s="1687"/>
    </row>
    <row r="59" spans="1:11" x14ac:dyDescent="0.25">
      <c r="A59" s="1685" t="s">
        <v>908</v>
      </c>
      <c r="B59" s="1686"/>
      <c r="C59" s="1686"/>
      <c r="D59" s="1686"/>
      <c r="E59" s="1686"/>
      <c r="F59" s="1686"/>
      <c r="G59" s="1686"/>
      <c r="H59" s="1686"/>
      <c r="I59" s="1686"/>
      <c r="J59" s="1686"/>
      <c r="K59" s="1687"/>
    </row>
    <row r="60" spans="1:11" x14ac:dyDescent="0.25">
      <c r="A60" s="25"/>
      <c r="B60" s="26"/>
      <c r="C60" s="26"/>
      <c r="D60" s="26"/>
      <c r="E60" s="26"/>
      <c r="F60" s="26"/>
      <c r="G60" s="26"/>
      <c r="H60" s="26"/>
      <c r="I60" s="26"/>
      <c r="J60" s="26"/>
      <c r="K60" s="27"/>
    </row>
    <row r="61" spans="1:11" x14ac:dyDescent="0.25">
      <c r="A61" s="1685" t="s">
        <v>320</v>
      </c>
      <c r="B61" s="1686"/>
      <c r="C61" s="1686"/>
      <c r="D61" s="1686"/>
      <c r="E61" s="1686"/>
      <c r="F61" s="1686"/>
      <c r="G61" s="1686"/>
      <c r="H61" s="1686"/>
      <c r="I61" s="1686"/>
      <c r="J61" s="1686"/>
      <c r="K61" s="1687"/>
    </row>
    <row r="62" spans="1:11" ht="13" thickBot="1" x14ac:dyDescent="0.3">
      <c r="A62" s="1691" t="s">
        <v>973</v>
      </c>
      <c r="B62" s="1692"/>
      <c r="C62" s="1692"/>
      <c r="D62" s="1692"/>
      <c r="E62" s="1692"/>
      <c r="F62" s="1692"/>
      <c r="G62" s="1692"/>
      <c r="H62" s="1692"/>
      <c r="I62" s="1692"/>
      <c r="J62" s="1692"/>
      <c r="K62" s="1693"/>
    </row>
    <row r="63" spans="1:11" x14ac:dyDescent="0.25">
      <c r="A63" s="541"/>
      <c r="B63" s="542"/>
      <c r="C63" s="542"/>
      <c r="D63" s="542"/>
      <c r="E63" s="542"/>
      <c r="F63" s="542"/>
      <c r="G63" s="542"/>
      <c r="H63" s="542"/>
      <c r="I63" s="542"/>
      <c r="J63" s="542"/>
      <c r="K63" s="542"/>
    </row>
    <row r="64" spans="1:11" x14ac:dyDescent="0.25">
      <c r="A64" s="541"/>
      <c r="B64" s="542"/>
      <c r="C64" s="542"/>
      <c r="D64" s="542"/>
      <c r="E64" s="542"/>
      <c r="F64" s="542"/>
      <c r="G64" s="542"/>
      <c r="H64" s="542"/>
      <c r="I64" s="542"/>
      <c r="J64" s="542"/>
      <c r="K64" s="542"/>
    </row>
    <row r="65" spans="1:14" x14ac:dyDescent="0.25">
      <c r="A65" s="541"/>
      <c r="B65" s="542"/>
      <c r="C65" s="542"/>
      <c r="D65" s="542"/>
      <c r="E65" s="542"/>
      <c r="F65" s="542"/>
      <c r="G65" s="542"/>
      <c r="H65" s="542"/>
      <c r="I65" s="542"/>
      <c r="J65" s="542"/>
      <c r="K65" s="542"/>
    </row>
    <row r="66" spans="1:14" x14ac:dyDescent="0.25">
      <c r="A66" s="541"/>
      <c r="B66" s="542"/>
      <c r="C66" s="542"/>
      <c r="D66" s="542"/>
      <c r="E66" s="542"/>
      <c r="F66" s="542"/>
      <c r="G66" s="542"/>
      <c r="H66" s="542"/>
      <c r="I66" s="542"/>
      <c r="J66" s="542"/>
      <c r="K66" s="542"/>
    </row>
    <row r="68" spans="1:14" ht="13" thickBot="1" x14ac:dyDescent="0.3"/>
    <row r="69" spans="1:14" ht="43.5" customHeight="1" thickTop="1" thickBot="1" x14ac:dyDescent="0.3">
      <c r="A69" s="375" t="s">
        <v>1083</v>
      </c>
      <c r="B69" s="376"/>
      <c r="C69" s="376"/>
      <c r="D69" s="376"/>
      <c r="E69" s="376"/>
      <c r="F69" s="376"/>
      <c r="G69" s="376"/>
      <c r="H69" s="376"/>
      <c r="I69" s="376"/>
      <c r="J69" s="376"/>
      <c r="K69" s="377"/>
      <c r="L69" s="377"/>
      <c r="M69" s="638"/>
      <c r="N69" s="639"/>
    </row>
    <row r="70" spans="1:14" ht="56.5" thickTop="1" x14ac:dyDescent="0.25">
      <c r="A70" s="640" t="s">
        <v>1090</v>
      </c>
      <c r="B70" s="641" t="s">
        <v>1031</v>
      </c>
      <c r="C70" s="642" t="s">
        <v>1040</v>
      </c>
      <c r="D70" s="642" t="s">
        <v>1041</v>
      </c>
      <c r="E70" s="641" t="s">
        <v>190</v>
      </c>
      <c r="F70" s="641" t="s">
        <v>1039</v>
      </c>
      <c r="G70" s="643" t="s">
        <v>1038</v>
      </c>
      <c r="H70" s="644" t="s">
        <v>267</v>
      </c>
      <c r="I70" s="641" t="s">
        <v>703</v>
      </c>
      <c r="J70" s="641" t="s">
        <v>1056</v>
      </c>
      <c r="K70" s="645" t="s">
        <v>702</v>
      </c>
      <c r="L70" s="645" t="s">
        <v>931</v>
      </c>
      <c r="M70" s="646" t="s">
        <v>533</v>
      </c>
      <c r="N70" s="647" t="s">
        <v>534</v>
      </c>
    </row>
    <row r="71" spans="1:14" ht="37.5" x14ac:dyDescent="0.25">
      <c r="A71" s="896" t="s">
        <v>1085</v>
      </c>
      <c r="B71" s="652" t="s">
        <v>865</v>
      </c>
      <c r="C71" s="897" t="s">
        <v>699</v>
      </c>
      <c r="D71" s="652">
        <v>2007</v>
      </c>
      <c r="E71" s="898" t="s">
        <v>700</v>
      </c>
      <c r="F71" s="653"/>
      <c r="G71" s="652"/>
      <c r="H71" s="898" t="s">
        <v>864</v>
      </c>
      <c r="I71" s="849">
        <f>mmBTU_to_GJ</f>
        <v>1.0549999999999999</v>
      </c>
      <c r="J71" s="648" t="s">
        <v>1058</v>
      </c>
      <c r="K71" s="649">
        <v>56.31533863997597</v>
      </c>
      <c r="L71" s="649" t="s">
        <v>932</v>
      </c>
      <c r="M71" s="650"/>
      <c r="N71" s="651"/>
    </row>
    <row r="72" spans="1:14" ht="37.5" x14ac:dyDescent="0.25">
      <c r="A72" s="896" t="s">
        <v>283</v>
      </c>
      <c r="B72" s="652" t="s">
        <v>865</v>
      </c>
      <c r="C72" s="897" t="s">
        <v>699</v>
      </c>
      <c r="D72" s="652">
        <v>2007</v>
      </c>
      <c r="E72" s="898" t="s">
        <v>700</v>
      </c>
      <c r="F72" s="653"/>
      <c r="G72" s="652"/>
      <c r="H72" s="898" t="s">
        <v>864</v>
      </c>
      <c r="I72" s="849">
        <f>mmBTU_to_GJ</f>
        <v>1.0549999999999999</v>
      </c>
      <c r="J72" s="648" t="s">
        <v>1058</v>
      </c>
      <c r="K72" s="649">
        <v>56.31533863997597</v>
      </c>
      <c r="L72" s="649" t="s">
        <v>932</v>
      </c>
      <c r="M72" s="650"/>
      <c r="N72" s="651"/>
    </row>
    <row r="73" spans="1:14" ht="37.5" x14ac:dyDescent="0.25">
      <c r="A73" s="896" t="s">
        <v>681</v>
      </c>
      <c r="B73" s="652" t="s">
        <v>865</v>
      </c>
      <c r="C73" s="897" t="s">
        <v>699</v>
      </c>
      <c r="D73" s="652">
        <v>2007</v>
      </c>
      <c r="E73" s="898" t="s">
        <v>700</v>
      </c>
      <c r="F73" s="653"/>
      <c r="G73" s="652"/>
      <c r="H73" s="898" t="s">
        <v>864</v>
      </c>
      <c r="I73" s="849">
        <f>mmBTU_to_GJ</f>
        <v>1.0549999999999999</v>
      </c>
      <c r="J73" s="648" t="s">
        <v>1058</v>
      </c>
      <c r="K73" s="649">
        <v>56.31533863997597</v>
      </c>
      <c r="L73" s="649" t="s">
        <v>932</v>
      </c>
      <c r="M73" s="650"/>
      <c r="N73" s="651"/>
    </row>
    <row r="74" spans="1:14" ht="37.5" x14ac:dyDescent="0.25">
      <c r="A74" s="896" t="s">
        <v>1086</v>
      </c>
      <c r="B74" s="652" t="s">
        <v>865</v>
      </c>
      <c r="C74" s="897" t="s">
        <v>699</v>
      </c>
      <c r="D74" s="652">
        <v>2007</v>
      </c>
      <c r="E74" s="898" t="s">
        <v>700</v>
      </c>
      <c r="F74" s="653"/>
      <c r="G74" s="652"/>
      <c r="H74" s="898" t="s">
        <v>864</v>
      </c>
      <c r="I74" s="849">
        <f>mmBTU_to_GJ</f>
        <v>1.0549999999999999</v>
      </c>
      <c r="J74" s="648" t="s">
        <v>1058</v>
      </c>
      <c r="K74" s="649">
        <v>56.31533863997597</v>
      </c>
      <c r="L74" s="649" t="s">
        <v>932</v>
      </c>
      <c r="M74" s="650"/>
      <c r="N74" s="651"/>
    </row>
    <row r="75" spans="1:14" ht="25" x14ac:dyDescent="0.25">
      <c r="A75" s="896" t="s">
        <v>682</v>
      </c>
      <c r="B75" s="652"/>
      <c r="C75" s="897" t="s">
        <v>699</v>
      </c>
      <c r="D75" s="652">
        <v>2007</v>
      </c>
      <c r="E75" s="898" t="s">
        <v>700</v>
      </c>
      <c r="F75" s="653"/>
      <c r="G75" s="652"/>
      <c r="H75" s="898" t="s">
        <v>864</v>
      </c>
      <c r="I75" s="849">
        <f>mmBTU_to_GJ</f>
        <v>1.0549999999999999</v>
      </c>
      <c r="J75" s="648" t="s">
        <v>1058</v>
      </c>
      <c r="K75" s="649">
        <v>56.31533863997597</v>
      </c>
      <c r="L75" s="649" t="s">
        <v>932</v>
      </c>
      <c r="M75" s="650"/>
      <c r="N75" s="651"/>
    </row>
    <row r="76" spans="1:14" ht="37.5" x14ac:dyDescent="0.25">
      <c r="A76" s="896" t="s">
        <v>683</v>
      </c>
      <c r="B76" s="652" t="s">
        <v>865</v>
      </c>
      <c r="C76" s="897" t="s">
        <v>699</v>
      </c>
      <c r="D76" s="652">
        <v>2007</v>
      </c>
      <c r="E76" s="898" t="s">
        <v>701</v>
      </c>
      <c r="F76" s="652"/>
      <c r="G76" s="652"/>
      <c r="H76" s="648" t="s">
        <v>296</v>
      </c>
      <c r="I76" s="849">
        <f>1/MJ_to_kWh/1000</f>
        <v>3.5999999999999995E-3</v>
      </c>
      <c r="J76" s="648" t="s">
        <v>1071</v>
      </c>
      <c r="K76" s="649">
        <v>0</v>
      </c>
      <c r="L76" s="649" t="s">
        <v>932</v>
      </c>
      <c r="M76" s="650"/>
      <c r="N76" s="651"/>
    </row>
    <row r="77" spans="1:14" ht="37.5" x14ac:dyDescent="0.25">
      <c r="A77" s="896" t="s">
        <v>698</v>
      </c>
      <c r="B77" s="652" t="s">
        <v>865</v>
      </c>
      <c r="C77" s="897" t="s">
        <v>699</v>
      </c>
      <c r="D77" s="652">
        <v>2007</v>
      </c>
      <c r="E77" s="898" t="s">
        <v>701</v>
      </c>
      <c r="F77" s="652"/>
      <c r="G77" s="652"/>
      <c r="H77" s="648" t="s">
        <v>296</v>
      </c>
      <c r="I77" s="849">
        <f>1/MJ_to_kWh/1000</f>
        <v>3.5999999999999995E-3</v>
      </c>
      <c r="J77" s="648" t="s">
        <v>1071</v>
      </c>
      <c r="K77" s="649">
        <v>0</v>
      </c>
      <c r="L77" s="649" t="s">
        <v>932</v>
      </c>
      <c r="M77" s="650"/>
      <c r="N77" s="651"/>
    </row>
    <row r="78" spans="1:14" ht="37.5" x14ac:dyDescent="0.25">
      <c r="A78" s="896" t="s">
        <v>684</v>
      </c>
      <c r="B78" s="652" t="s">
        <v>865</v>
      </c>
      <c r="C78" s="897" t="s">
        <v>699</v>
      </c>
      <c r="D78" s="652">
        <v>2007</v>
      </c>
      <c r="E78" s="898" t="s">
        <v>701</v>
      </c>
      <c r="F78" s="652"/>
      <c r="G78" s="652"/>
      <c r="H78" s="648" t="s">
        <v>296</v>
      </c>
      <c r="I78" s="849">
        <f>1/MJ_to_kWh/1000</f>
        <v>3.5999999999999995E-3</v>
      </c>
      <c r="J78" s="648" t="s">
        <v>1071</v>
      </c>
      <c r="K78" s="649">
        <v>0</v>
      </c>
      <c r="L78" s="649" t="s">
        <v>932</v>
      </c>
      <c r="M78" s="650"/>
      <c r="N78" s="651"/>
    </row>
    <row r="79" spans="1:14" ht="37.5" x14ac:dyDescent="0.25">
      <c r="A79" s="896" t="s">
        <v>1087</v>
      </c>
      <c r="B79" s="652" t="s">
        <v>865</v>
      </c>
      <c r="C79" s="897" t="s">
        <v>699</v>
      </c>
      <c r="D79" s="652">
        <v>2007</v>
      </c>
      <c r="E79" s="898" t="s">
        <v>700</v>
      </c>
      <c r="F79" s="653"/>
      <c r="G79" s="652"/>
      <c r="H79" s="648" t="s">
        <v>268</v>
      </c>
      <c r="I79" s="849">
        <f>$C$42/2000/lb_to_kg/1000000*mmBTU_to_GJ</f>
        <v>2.2735034516249999E-2</v>
      </c>
      <c r="J79" s="648" t="s">
        <v>1052</v>
      </c>
      <c r="K79" s="649">
        <v>102.75287348239476</v>
      </c>
      <c r="L79" s="649" t="s">
        <v>932</v>
      </c>
      <c r="M79" s="650"/>
      <c r="N79" s="651"/>
    </row>
    <row r="80" spans="1:14" ht="37.5" x14ac:dyDescent="0.25">
      <c r="A80" s="896" t="s">
        <v>716</v>
      </c>
      <c r="B80" s="652" t="s">
        <v>865</v>
      </c>
      <c r="C80" s="897" t="s">
        <v>699</v>
      </c>
      <c r="D80" s="652">
        <v>2007</v>
      </c>
      <c r="E80" s="898" t="s">
        <v>700</v>
      </c>
      <c r="F80" s="653"/>
      <c r="G80" s="652"/>
      <c r="H80" s="648" t="s">
        <v>268</v>
      </c>
      <c r="I80" s="849">
        <f>$C$42/2000/lb_to_kg/1000000*mmBTU_to_GJ</f>
        <v>2.2735034516249999E-2</v>
      </c>
      <c r="J80" s="648" t="s">
        <v>1052</v>
      </c>
      <c r="K80" s="649">
        <v>102.75287348239476</v>
      </c>
      <c r="L80" s="649" t="s">
        <v>932</v>
      </c>
      <c r="M80" s="650"/>
      <c r="N80" s="651"/>
    </row>
    <row r="81" spans="1:14" ht="37.5" x14ac:dyDescent="0.25">
      <c r="A81" s="896" t="s">
        <v>717</v>
      </c>
      <c r="B81" s="652" t="s">
        <v>865</v>
      </c>
      <c r="C81" s="897" t="s">
        <v>699</v>
      </c>
      <c r="D81" s="652">
        <v>2007</v>
      </c>
      <c r="E81" s="898" t="s">
        <v>700</v>
      </c>
      <c r="F81" s="653"/>
      <c r="G81" s="652"/>
      <c r="H81" s="648" t="s">
        <v>268</v>
      </c>
      <c r="I81" s="849">
        <f>$C$42/2000/lb_to_kg/1000000*mmBTU_to_GJ</f>
        <v>2.2735034516249999E-2</v>
      </c>
      <c r="J81" s="648" t="s">
        <v>1052</v>
      </c>
      <c r="K81" s="649">
        <v>102.75287348239476</v>
      </c>
      <c r="L81" s="649" t="s">
        <v>932</v>
      </c>
      <c r="M81" s="650"/>
      <c r="N81" s="651"/>
    </row>
    <row r="82" spans="1:14" ht="37.5" x14ac:dyDescent="0.25">
      <c r="A82" s="896" t="s">
        <v>912</v>
      </c>
      <c r="B82" s="652" t="s">
        <v>865</v>
      </c>
      <c r="C82" s="897" t="s">
        <v>699</v>
      </c>
      <c r="D82" s="652">
        <v>2007</v>
      </c>
      <c r="E82" s="898" t="s">
        <v>700</v>
      </c>
      <c r="F82" s="653"/>
      <c r="G82" s="652"/>
      <c r="H82" s="648" t="s">
        <v>269</v>
      </c>
      <c r="I82" s="849">
        <f>$C$14/gal_to_liters*mmBTU_to_GJ/1000000</f>
        <v>3.5803104359313075E-2</v>
      </c>
      <c r="J82" s="648" t="s">
        <v>1058</v>
      </c>
      <c r="K82" s="649">
        <v>74.122324937568308</v>
      </c>
      <c r="L82" s="649" t="s">
        <v>932</v>
      </c>
      <c r="M82" s="650"/>
      <c r="N82" s="651"/>
    </row>
    <row r="83" spans="1:14" ht="37.5" x14ac:dyDescent="0.25">
      <c r="A83" s="896" t="s">
        <v>910</v>
      </c>
      <c r="B83" s="652" t="s">
        <v>865</v>
      </c>
      <c r="C83" s="897" t="s">
        <v>699</v>
      </c>
      <c r="D83" s="652">
        <v>2007</v>
      </c>
      <c r="E83" s="898" t="s">
        <v>700</v>
      </c>
      <c r="F83" s="653"/>
      <c r="G83" s="652"/>
      <c r="H83" s="648" t="s">
        <v>269</v>
      </c>
      <c r="I83" s="849">
        <f>$Q$14/gal_to_liters*mmBTU_to_GJ/1000000</f>
        <v>2.4157130779392338E-2</v>
      </c>
      <c r="J83" s="648" t="s">
        <v>1052</v>
      </c>
      <c r="K83" s="649">
        <v>71.019041167591709</v>
      </c>
      <c r="L83" s="649" t="s">
        <v>932</v>
      </c>
      <c r="M83" s="650"/>
      <c r="N83" s="651"/>
    </row>
    <row r="84" spans="1:14" ht="37.5" x14ac:dyDescent="0.25">
      <c r="A84" s="896" t="s">
        <v>913</v>
      </c>
      <c r="B84" s="652" t="s">
        <v>865</v>
      </c>
      <c r="C84" s="897" t="s">
        <v>699</v>
      </c>
      <c r="D84" s="652">
        <v>2007</v>
      </c>
      <c r="E84" s="898" t="s">
        <v>700</v>
      </c>
      <c r="F84" s="653"/>
      <c r="G84" s="652"/>
      <c r="H84" s="648" t="s">
        <v>269</v>
      </c>
      <c r="I84" s="849">
        <f>$C$11/gal_to_liters*mmBTU_to_GJ/1000000</f>
        <v>3.2357978863936591E-2</v>
      </c>
      <c r="J84" s="648" t="s">
        <v>1052</v>
      </c>
      <c r="K84" s="649">
        <v>72.833307273582633</v>
      </c>
      <c r="L84" s="649" t="s">
        <v>932</v>
      </c>
      <c r="M84" s="650"/>
      <c r="N84" s="651"/>
    </row>
    <row r="85" spans="1:14" ht="275" x14ac:dyDescent="0.25">
      <c r="A85" s="896" t="s">
        <v>1081</v>
      </c>
      <c r="B85" s="848" t="s">
        <v>437</v>
      </c>
      <c r="C85" s="897" t="s">
        <v>699</v>
      </c>
      <c r="D85" s="652">
        <v>2007</v>
      </c>
      <c r="E85" s="898" t="s">
        <v>701</v>
      </c>
      <c r="F85" s="653"/>
      <c r="G85" s="652"/>
      <c r="H85" s="648" t="s">
        <v>268</v>
      </c>
      <c r="I85" s="849">
        <f>$E$45/1000</f>
        <v>1.9551069237418006E-2</v>
      </c>
      <c r="J85" s="648" t="s">
        <v>1052</v>
      </c>
      <c r="K85" s="649">
        <v>97.876597052612851</v>
      </c>
      <c r="L85" s="649" t="s">
        <v>932</v>
      </c>
      <c r="M85" s="650"/>
      <c r="N85" s="651"/>
    </row>
    <row r="86" spans="1:14" x14ac:dyDescent="0.25">
      <c r="A86" s="896" t="s">
        <v>815</v>
      </c>
      <c r="B86" s="848"/>
      <c r="C86" s="897"/>
      <c r="D86" s="652"/>
      <c r="E86" s="898" t="s">
        <v>701</v>
      </c>
      <c r="F86" s="653"/>
      <c r="G86" s="652"/>
      <c r="H86" s="648" t="s">
        <v>268</v>
      </c>
      <c r="I86" s="849">
        <f>$E$45/1000</f>
        <v>1.9551069237418006E-2</v>
      </c>
      <c r="J86" s="648" t="s">
        <v>1052</v>
      </c>
      <c r="K86" s="649">
        <v>97.876597052612851</v>
      </c>
      <c r="L86" s="649" t="s">
        <v>932</v>
      </c>
      <c r="M86" s="650"/>
      <c r="N86" s="651"/>
    </row>
    <row r="87" spans="1:14" ht="75" x14ac:dyDescent="0.25">
      <c r="A87" s="896" t="s">
        <v>824</v>
      </c>
      <c r="B87" s="997" t="s">
        <v>832</v>
      </c>
      <c r="C87" s="897"/>
      <c r="D87" s="652"/>
      <c r="E87" s="898" t="s">
        <v>701</v>
      </c>
      <c r="F87" s="653"/>
      <c r="G87" s="652"/>
      <c r="H87" s="648" t="s">
        <v>268</v>
      </c>
      <c r="I87" s="849">
        <f>18.608/1000</f>
        <v>1.8608E-2</v>
      </c>
      <c r="J87" s="648" t="s">
        <v>1052</v>
      </c>
      <c r="K87" s="649">
        <v>97.876597052612851</v>
      </c>
      <c r="L87" s="649" t="s">
        <v>932</v>
      </c>
      <c r="M87" s="650"/>
      <c r="N87" s="651"/>
    </row>
    <row r="88" spans="1:14" ht="75" x14ac:dyDescent="0.25">
      <c r="A88" s="896" t="s">
        <v>1088</v>
      </c>
      <c r="B88" s="652" t="s">
        <v>1089</v>
      </c>
      <c r="C88" s="897" t="s">
        <v>699</v>
      </c>
      <c r="D88" s="652">
        <v>2007</v>
      </c>
      <c r="E88" s="898" t="s">
        <v>701</v>
      </c>
      <c r="F88" s="653"/>
      <c r="G88" s="652"/>
      <c r="H88" s="648" t="s">
        <v>268</v>
      </c>
      <c r="I88" s="849">
        <v>2.8300000000000001E-3</v>
      </c>
      <c r="J88" s="648" t="s">
        <v>1071</v>
      </c>
      <c r="K88" s="649">
        <v>0</v>
      </c>
      <c r="L88" s="649" t="s">
        <v>932</v>
      </c>
      <c r="M88" s="650"/>
      <c r="N88" s="651"/>
    </row>
    <row r="90" spans="1:14" ht="13" thickBot="1" x14ac:dyDescent="0.3"/>
    <row r="91" spans="1:14" ht="33.75" customHeight="1" thickTop="1" x14ac:dyDescent="0.3">
      <c r="A91" s="1683" t="s">
        <v>992</v>
      </c>
      <c r="B91" s="1684"/>
      <c r="D91" s="1683" t="s">
        <v>685</v>
      </c>
      <c r="E91" s="1684"/>
      <c r="G91" s="1683" t="s">
        <v>686</v>
      </c>
      <c r="H91" s="1684"/>
      <c r="K91" s="1694" t="s">
        <v>688</v>
      </c>
      <c r="L91" s="1695"/>
    </row>
    <row r="92" spans="1:14" ht="41.25" customHeight="1" thickBot="1" x14ac:dyDescent="0.3">
      <c r="A92" s="1234" t="s">
        <v>1100</v>
      </c>
      <c r="B92" s="1048"/>
      <c r="D92" s="1681" t="s">
        <v>687</v>
      </c>
      <c r="E92" s="1682"/>
      <c r="G92" s="1234" t="s">
        <v>1101</v>
      </c>
      <c r="H92" s="1048"/>
      <c r="K92" s="1681" t="s">
        <v>689</v>
      </c>
      <c r="L92" s="1682"/>
      <c r="N92" s="1303"/>
    </row>
    <row r="93" spans="1:14" ht="14" x14ac:dyDescent="0.3">
      <c r="A93" s="30" t="s">
        <v>1084</v>
      </c>
      <c r="B93" s="31" t="s">
        <v>1092</v>
      </c>
      <c r="D93" s="30" t="s">
        <v>1084</v>
      </c>
      <c r="E93" s="31" t="s">
        <v>1092</v>
      </c>
      <c r="G93" s="30" t="s">
        <v>1084</v>
      </c>
      <c r="H93" s="31" t="s">
        <v>1092</v>
      </c>
      <c r="K93" s="30" t="s">
        <v>1084</v>
      </c>
      <c r="L93" s="31" t="s">
        <v>1092</v>
      </c>
    </row>
    <row r="94" spans="1:14" ht="28.5" customHeight="1" x14ac:dyDescent="0.25">
      <c r="A94" s="1045">
        <v>1992</v>
      </c>
      <c r="B94" s="1046">
        <v>70.563999999999993</v>
      </c>
      <c r="C94" s="868"/>
      <c r="D94" s="1237">
        <v>1992</v>
      </c>
      <c r="E94" s="1238">
        <v>358.2</v>
      </c>
      <c r="F94" s="1308"/>
      <c r="G94" s="1237">
        <v>1992</v>
      </c>
      <c r="H94" s="1240">
        <v>13.7</v>
      </c>
      <c r="K94" s="1237">
        <v>1980</v>
      </c>
      <c r="L94" s="1241">
        <v>55.195749555178075</v>
      </c>
    </row>
    <row r="95" spans="1:14" x14ac:dyDescent="0.25">
      <c r="A95" s="1045">
        <v>1993</v>
      </c>
      <c r="B95" s="1046">
        <v>72.244</v>
      </c>
      <c r="D95" s="1237">
        <v>1993</v>
      </c>
      <c r="E95" s="1238">
        <v>359.2</v>
      </c>
      <c r="F95" s="1308"/>
      <c r="G95" s="1237">
        <v>1993</v>
      </c>
      <c r="H95" s="1240">
        <v>13.97</v>
      </c>
      <c r="K95" s="1237">
        <v>1981</v>
      </c>
      <c r="L95" s="1241">
        <v>61.025412991342954</v>
      </c>
    </row>
    <row r="96" spans="1:14" x14ac:dyDescent="0.25">
      <c r="A96" s="1045">
        <v>1994</v>
      </c>
      <c r="B96" s="1046">
        <v>73.781000000000006</v>
      </c>
      <c r="D96" s="1237">
        <v>1994</v>
      </c>
      <c r="E96" s="1238">
        <v>368.1</v>
      </c>
      <c r="F96" s="1308"/>
      <c r="G96" s="1237">
        <v>1994</v>
      </c>
      <c r="H96" s="1240">
        <v>14.33</v>
      </c>
      <c r="K96" s="1237">
        <v>1982</v>
      </c>
      <c r="L96" s="1241">
        <v>62.017696129413558</v>
      </c>
    </row>
    <row r="97" spans="1:15" x14ac:dyDescent="0.25">
      <c r="A97" s="1045">
        <v>1995</v>
      </c>
      <c r="B97" s="1046">
        <v>75.320999999999998</v>
      </c>
      <c r="D97" s="1237">
        <v>1995</v>
      </c>
      <c r="E97" s="1238">
        <v>381.1</v>
      </c>
      <c r="F97" s="1308"/>
      <c r="G97" s="1237">
        <v>1995</v>
      </c>
      <c r="H97" s="1240">
        <v>14.86</v>
      </c>
      <c r="K97" s="1237">
        <v>1983</v>
      </c>
      <c r="L97" s="1241">
        <v>62.203749217801807</v>
      </c>
    </row>
    <row r="98" spans="1:15" x14ac:dyDescent="0.25">
      <c r="A98" s="1045">
        <v>1996</v>
      </c>
      <c r="B98" s="1046">
        <v>76.694999999999993</v>
      </c>
      <c r="D98" s="1237">
        <v>1996</v>
      </c>
      <c r="E98" s="1238">
        <v>381.7</v>
      </c>
      <c r="F98" s="1308"/>
      <c r="G98" s="1237">
        <v>1996</v>
      </c>
      <c r="H98" s="1240">
        <v>15.37</v>
      </c>
      <c r="K98" s="1237">
        <v>1984</v>
      </c>
      <c r="L98" s="1241">
        <v>63.81620931716656</v>
      </c>
    </row>
    <row r="99" spans="1:15" x14ac:dyDescent="0.25">
      <c r="A99" s="1045">
        <v>1997</v>
      </c>
      <c r="B99" s="1046">
        <v>78.009</v>
      </c>
      <c r="D99" s="1237">
        <v>1997</v>
      </c>
      <c r="E99" s="1238">
        <v>386.5</v>
      </c>
      <c r="F99" s="1308"/>
      <c r="G99" s="1237">
        <v>1997</v>
      </c>
      <c r="H99" s="1240">
        <v>15.78</v>
      </c>
      <c r="K99" s="1237">
        <v>1985</v>
      </c>
      <c r="L99" s="1241">
        <v>64.262922782386738</v>
      </c>
      <c r="M99" s="1305"/>
    </row>
    <row r="100" spans="1:15" x14ac:dyDescent="0.25">
      <c r="A100" s="1045">
        <v>1998</v>
      </c>
      <c r="B100" s="1046">
        <v>78.855000000000004</v>
      </c>
      <c r="D100" s="1237">
        <v>1998</v>
      </c>
      <c r="E100" s="1238">
        <v>389.5</v>
      </c>
      <c r="F100" s="1308"/>
      <c r="G100" s="1237">
        <v>1998</v>
      </c>
      <c r="H100" s="1240">
        <v>16.23</v>
      </c>
      <c r="K100" s="1237">
        <v>1986</v>
      </c>
      <c r="L100" s="1241">
        <v>64.135290363752389</v>
      </c>
      <c r="M100" s="1305"/>
      <c r="N100" s="1306"/>
      <c r="O100" s="1306"/>
    </row>
    <row r="101" spans="1:15" x14ac:dyDescent="0.25">
      <c r="A101" s="1045">
        <v>1999</v>
      </c>
      <c r="B101" s="1046">
        <v>80.061000000000007</v>
      </c>
      <c r="D101" s="1237">
        <v>1999</v>
      </c>
      <c r="E101" s="1238">
        <v>390.6</v>
      </c>
      <c r="F101" s="1308"/>
      <c r="G101" s="1237">
        <v>1999</v>
      </c>
      <c r="H101" s="1240">
        <v>16.399999999999999</v>
      </c>
      <c r="K101" s="1237">
        <v>1987</v>
      </c>
      <c r="L101" s="1241">
        <v>66.11359285258456</v>
      </c>
      <c r="M101" s="1305"/>
      <c r="N101" s="1306"/>
      <c r="O101" s="1306"/>
    </row>
    <row r="102" spans="1:15" x14ac:dyDescent="0.25">
      <c r="A102" s="1045">
        <v>2000</v>
      </c>
      <c r="B102" s="1046">
        <v>81.882999999999996</v>
      </c>
      <c r="D102" s="1237">
        <v>2000</v>
      </c>
      <c r="E102" s="1238">
        <v>394.1</v>
      </c>
      <c r="F102" s="1308"/>
      <c r="G102" s="1237">
        <v>2000</v>
      </c>
      <c r="H102" s="1240">
        <v>17.09</v>
      </c>
      <c r="K102" s="1237">
        <v>1988</v>
      </c>
      <c r="L102" s="1241">
        <v>72.112316528398225</v>
      </c>
      <c r="M102" s="1305"/>
      <c r="N102" s="1306"/>
      <c r="O102" s="1306"/>
    </row>
    <row r="103" spans="1:15" x14ac:dyDescent="0.25">
      <c r="A103" s="1045">
        <v>2001</v>
      </c>
      <c r="B103" s="1046">
        <v>83.753</v>
      </c>
      <c r="D103" s="1237">
        <v>2001</v>
      </c>
      <c r="E103" s="1238">
        <v>394.3</v>
      </c>
      <c r="F103" s="1308"/>
      <c r="G103" s="1237">
        <v>2001</v>
      </c>
      <c r="H103" s="1240">
        <v>17.57</v>
      </c>
      <c r="K103" s="1237">
        <v>1989</v>
      </c>
      <c r="L103" s="1241">
        <v>76.324186343331206</v>
      </c>
      <c r="M103" s="1305"/>
      <c r="N103" s="1306"/>
      <c r="O103" s="1306"/>
    </row>
    <row r="104" spans="1:15" x14ac:dyDescent="0.25">
      <c r="A104" s="1045">
        <v>2002</v>
      </c>
      <c r="B104" s="1046">
        <v>85.037999999999997</v>
      </c>
      <c r="D104" s="1237">
        <v>2002</v>
      </c>
      <c r="E104" s="1238">
        <v>395.6</v>
      </c>
      <c r="F104" s="1308"/>
      <c r="G104" s="1237">
        <v>2002</v>
      </c>
      <c r="H104" s="1240">
        <v>17.97</v>
      </c>
      <c r="K104" s="1237">
        <v>1990</v>
      </c>
      <c r="L104" s="1241">
        <v>77.217613273771548</v>
      </c>
      <c r="M104" s="1305"/>
      <c r="N104" s="1306"/>
      <c r="O104" s="1306"/>
    </row>
    <row r="105" spans="1:15" x14ac:dyDescent="0.25">
      <c r="A105" s="1045">
        <v>2003</v>
      </c>
      <c r="B105" s="1046">
        <v>86.728999999999999</v>
      </c>
      <c r="D105" s="1237">
        <v>2003</v>
      </c>
      <c r="E105" s="1238">
        <v>402</v>
      </c>
      <c r="F105" s="1308"/>
      <c r="G105" s="1237">
        <v>2003</v>
      </c>
      <c r="H105" s="1240">
        <v>18.5</v>
      </c>
      <c r="K105" s="1237">
        <v>1991</v>
      </c>
      <c r="L105" s="1241">
        <v>79.38736439055522</v>
      </c>
      <c r="M105" s="1305"/>
      <c r="N105" s="1306"/>
      <c r="O105" s="1306"/>
    </row>
    <row r="106" spans="1:15" x14ac:dyDescent="0.25">
      <c r="A106" s="1045">
        <v>2004</v>
      </c>
      <c r="B106" s="1046">
        <v>89.114000000000004</v>
      </c>
      <c r="D106" s="1237">
        <v>2004</v>
      </c>
      <c r="E106" s="1238">
        <v>444.2</v>
      </c>
      <c r="F106" s="1308"/>
      <c r="G106" s="1237">
        <v>2004</v>
      </c>
      <c r="H106" s="1240">
        <v>19.170000000000002</v>
      </c>
      <c r="K106" s="1237">
        <v>1992</v>
      </c>
      <c r="L106" s="1242">
        <v>80.280791320995533</v>
      </c>
      <c r="M106" s="1305"/>
      <c r="N106" s="1306"/>
      <c r="O106" s="1306"/>
    </row>
    <row r="107" spans="1:15" ht="13" x14ac:dyDescent="0.3">
      <c r="A107" s="1045">
        <v>2005</v>
      </c>
      <c r="B107" s="1046">
        <v>91.980999999999995</v>
      </c>
      <c r="D107" s="1237">
        <v>2005</v>
      </c>
      <c r="E107" s="1238">
        <v>468.2</v>
      </c>
      <c r="F107" s="1308"/>
      <c r="G107" s="1237">
        <v>2005</v>
      </c>
      <c r="H107" s="1398">
        <v>19.670000000000002</v>
      </c>
      <c r="K107" s="1237">
        <v>1993</v>
      </c>
      <c r="L107" s="1242">
        <v>81.174218251435875</v>
      </c>
      <c r="M107" s="1305"/>
      <c r="N107" s="1306"/>
      <c r="O107" s="1306"/>
    </row>
    <row r="108" spans="1:15" x14ac:dyDescent="0.25">
      <c r="A108" s="1045">
        <v>2006</v>
      </c>
      <c r="B108" s="1046">
        <v>94.811999999999998</v>
      </c>
      <c r="D108" s="1237">
        <v>2006</v>
      </c>
      <c r="E108" s="1238">
        <v>499.6</v>
      </c>
      <c r="F108" s="1308"/>
      <c r="G108" s="1237">
        <v>2006</v>
      </c>
      <c r="H108" s="1240">
        <v>19.600000000000001</v>
      </c>
      <c r="K108" s="1237">
        <v>1994</v>
      </c>
      <c r="L108" s="1242">
        <v>82.961072112316543</v>
      </c>
      <c r="M108" s="1305"/>
      <c r="N108" s="1306"/>
      <c r="O108" s="1306"/>
    </row>
    <row r="109" spans="1:15" x14ac:dyDescent="0.25">
      <c r="A109" s="1045">
        <v>2007</v>
      </c>
      <c r="B109" s="1046">
        <v>97.334000000000003</v>
      </c>
      <c r="D109" s="1237">
        <v>2007</v>
      </c>
      <c r="E109" s="1238">
        <v>525.4</v>
      </c>
      <c r="F109" s="1337"/>
      <c r="G109" s="1237">
        <v>2007</v>
      </c>
      <c r="H109" s="1240">
        <v>19.55</v>
      </c>
      <c r="K109" s="1237">
        <v>1995</v>
      </c>
      <c r="L109" s="1242">
        <v>91.512444160816855</v>
      </c>
      <c r="M109" s="1305"/>
      <c r="N109" s="1306"/>
      <c r="O109" s="1306"/>
    </row>
    <row r="110" spans="1:15" x14ac:dyDescent="0.25">
      <c r="A110" s="1045">
        <v>2008</v>
      </c>
      <c r="B110" s="1046">
        <v>99.25</v>
      </c>
      <c r="D110" s="1237">
        <v>2008</v>
      </c>
      <c r="E110" s="1238">
        <v>575.4</v>
      </c>
      <c r="F110" s="1308"/>
      <c r="G110" s="1237">
        <v>2008</v>
      </c>
      <c r="H110" s="1240">
        <v>19.5</v>
      </c>
      <c r="K110" s="1237">
        <v>1996</v>
      </c>
      <c r="L110" s="1242">
        <v>93.044033184428855</v>
      </c>
      <c r="M110" s="1305"/>
      <c r="N110" s="1306"/>
      <c r="O110" s="1306"/>
    </row>
    <row r="111" spans="1:15" ht="14.5" x14ac:dyDescent="0.35">
      <c r="A111" s="1045">
        <v>2009</v>
      </c>
      <c r="B111" s="1235">
        <v>100</v>
      </c>
      <c r="D111" s="867">
        <v>2009</v>
      </c>
      <c r="E111" s="1238">
        <v>521.9</v>
      </c>
      <c r="F111" s="1308"/>
      <c r="G111" s="867">
        <v>2009</v>
      </c>
      <c r="H111" s="1049">
        <v>20.3</v>
      </c>
      <c r="K111" s="1237">
        <v>1997</v>
      </c>
      <c r="L111" s="1242">
        <v>93.873643905552015</v>
      </c>
      <c r="M111" s="1305"/>
      <c r="N111" s="1306"/>
      <c r="O111" s="1306"/>
    </row>
    <row r="112" spans="1:15" ht="14.5" x14ac:dyDescent="0.35">
      <c r="A112" s="1045">
        <v>2010</v>
      </c>
      <c r="B112" s="1235">
        <v>101.217</v>
      </c>
      <c r="D112" s="867">
        <v>2010</v>
      </c>
      <c r="E112" s="1238">
        <v>550.79999999999995</v>
      </c>
      <c r="F112" s="1308"/>
      <c r="G112" s="867">
        <v>2010</v>
      </c>
      <c r="H112" s="1049">
        <v>21.07</v>
      </c>
      <c r="K112" s="1237">
        <v>1998</v>
      </c>
      <c r="L112" s="1242">
        <v>94.894703254626677</v>
      </c>
      <c r="M112" s="1305"/>
      <c r="N112" s="1306"/>
      <c r="O112" s="1306"/>
    </row>
    <row r="113" spans="1:15" ht="14.5" x14ac:dyDescent="0.35">
      <c r="A113" s="1045">
        <v>2011</v>
      </c>
      <c r="B113" s="1235">
        <v>103.307</v>
      </c>
      <c r="D113" s="867">
        <v>2011</v>
      </c>
      <c r="E113" s="1238">
        <v>585.70000000000005</v>
      </c>
      <c r="F113" s="1308"/>
      <c r="G113" s="867">
        <v>2011</v>
      </c>
      <c r="H113" s="1049">
        <v>21.45</v>
      </c>
      <c r="K113" s="1237">
        <v>1999</v>
      </c>
      <c r="L113" s="1242">
        <v>95.532865347798349</v>
      </c>
      <c r="M113" s="1305"/>
      <c r="N113" s="1306"/>
      <c r="O113" s="1306"/>
    </row>
    <row r="114" spans="1:15" ht="14.5" x14ac:dyDescent="0.35">
      <c r="A114" s="1045">
        <v>2012</v>
      </c>
      <c r="B114" s="1235">
        <v>105.21299999999999</v>
      </c>
      <c r="D114" s="867">
        <v>2012</v>
      </c>
      <c r="E114" s="1238">
        <v>584.6</v>
      </c>
      <c r="F114" s="1308"/>
      <c r="G114" s="867">
        <v>2012</v>
      </c>
      <c r="H114" s="1049">
        <v>21.45</v>
      </c>
      <c r="K114" s="1237">
        <v>2000</v>
      </c>
      <c r="L114" s="1242">
        <v>100</v>
      </c>
      <c r="M114" s="1305"/>
      <c r="N114" s="1306"/>
      <c r="O114" s="1306"/>
    </row>
    <row r="115" spans="1:15" ht="14.5" x14ac:dyDescent="0.35">
      <c r="A115" s="1045">
        <v>2013</v>
      </c>
      <c r="B115" s="1235">
        <v>106.91</v>
      </c>
      <c r="D115" s="867">
        <v>2013</v>
      </c>
      <c r="E115" s="1238">
        <v>567.29999999999995</v>
      </c>
      <c r="F115" s="1308"/>
      <c r="G115" s="867">
        <v>2013</v>
      </c>
      <c r="H115" s="1049">
        <v>21.4</v>
      </c>
      <c r="K115" s="1237">
        <v>2001</v>
      </c>
      <c r="L115" s="1242">
        <v>101.08487555839186</v>
      </c>
      <c r="M115" s="1305"/>
      <c r="N115" s="1306"/>
      <c r="O115" s="1306"/>
    </row>
    <row r="116" spans="1:15" ht="14.5" x14ac:dyDescent="0.35">
      <c r="A116" s="1045">
        <v>2014</v>
      </c>
      <c r="B116" s="1235">
        <v>108.827</v>
      </c>
      <c r="D116" s="867">
        <v>2014</v>
      </c>
      <c r="E116" s="1238">
        <v>576.1</v>
      </c>
      <c r="F116" s="1308"/>
      <c r="G116" s="867">
        <v>2014</v>
      </c>
      <c r="H116" s="1049">
        <v>21.488333333333333</v>
      </c>
      <c r="K116" s="1237">
        <v>2002</v>
      </c>
      <c r="L116" s="1242">
        <v>100.38289725590302</v>
      </c>
      <c r="M116" s="1305"/>
      <c r="N116" s="1306"/>
      <c r="O116" s="1306"/>
    </row>
    <row r="117" spans="1:15" ht="14.5" x14ac:dyDescent="0.35">
      <c r="A117" s="1045">
        <v>2015</v>
      </c>
      <c r="B117" s="1235">
        <v>110.01</v>
      </c>
      <c r="D117" s="867">
        <v>2015</v>
      </c>
      <c r="E117" s="1238">
        <v>556.79999999999995</v>
      </c>
      <c r="F117" s="1308"/>
      <c r="G117" s="867">
        <v>2015</v>
      </c>
      <c r="H117" s="1049">
        <v>21.754999999999999</v>
      </c>
      <c r="K117" s="1237">
        <v>2003</v>
      </c>
      <c r="L117" s="1242">
        <v>105.04148053605616</v>
      </c>
      <c r="M117" s="1305"/>
      <c r="N117" s="1306"/>
      <c r="O117" s="1306"/>
    </row>
    <row r="118" spans="1:15" ht="15" thickBot="1" x14ac:dyDescent="0.4">
      <c r="A118" s="1045">
        <v>2016</v>
      </c>
      <c r="B118" s="1235">
        <v>111.41200000000001</v>
      </c>
      <c r="D118" s="869">
        <v>2016</v>
      </c>
      <c r="E118" s="1239">
        <v>541.70000000000005</v>
      </c>
      <c r="F118" s="1308"/>
      <c r="G118" s="869">
        <v>2016</v>
      </c>
      <c r="H118" s="1050">
        <v>22.714999999999993</v>
      </c>
      <c r="K118" s="1237">
        <v>2004</v>
      </c>
      <c r="L118" s="1242">
        <v>110.27440970006384</v>
      </c>
      <c r="M118" s="1305"/>
      <c r="N118" s="1306"/>
      <c r="O118" s="1306"/>
    </row>
    <row r="119" spans="1:15" ht="13.5" thickTop="1" thickBot="1" x14ac:dyDescent="0.3">
      <c r="A119" s="1047">
        <v>2017</v>
      </c>
      <c r="B119" s="1236">
        <v>112.854</v>
      </c>
      <c r="G119" s="309" t="s">
        <v>1102</v>
      </c>
      <c r="H119" s="309"/>
      <c r="K119" s="1237">
        <v>2005</v>
      </c>
      <c r="L119" s="1242">
        <v>119.52776005105299</v>
      </c>
      <c r="M119" s="1305"/>
      <c r="N119" s="1306"/>
      <c r="O119" s="1306"/>
    </row>
    <row r="120" spans="1:15" ht="13" thickTop="1" x14ac:dyDescent="0.25">
      <c r="K120" s="1237">
        <v>2006</v>
      </c>
      <c r="L120" s="1242">
        <v>125.5902999361838</v>
      </c>
      <c r="M120" s="1305"/>
      <c r="N120" s="1306"/>
      <c r="O120" s="1306"/>
    </row>
    <row r="121" spans="1:15" x14ac:dyDescent="0.25">
      <c r="K121" s="1237">
        <v>2007</v>
      </c>
      <c r="L121" s="1242">
        <v>129.73835354179963</v>
      </c>
      <c r="M121" s="1305"/>
      <c r="N121" s="1306"/>
      <c r="O121" s="1306"/>
    </row>
    <row r="122" spans="1:15" x14ac:dyDescent="0.25">
      <c r="K122" s="1237">
        <v>2008</v>
      </c>
      <c r="L122" s="1242">
        <v>145.6285896617741</v>
      </c>
      <c r="M122" s="1305"/>
      <c r="N122" s="1306"/>
      <c r="O122" s="1306"/>
    </row>
    <row r="123" spans="1:15" x14ac:dyDescent="0.25">
      <c r="K123" s="1237">
        <v>2009</v>
      </c>
      <c r="L123" s="1243">
        <v>143.39502233567327</v>
      </c>
      <c r="M123" s="1305"/>
      <c r="N123" s="1306"/>
      <c r="O123" s="1306"/>
    </row>
    <row r="124" spans="1:15" x14ac:dyDescent="0.25">
      <c r="K124" s="1237">
        <v>2010</v>
      </c>
      <c r="L124" s="1243">
        <v>149.13848117421827</v>
      </c>
      <c r="M124" s="1305"/>
      <c r="N124" s="1306"/>
      <c r="O124" s="1306"/>
    </row>
    <row r="125" spans="1:15" x14ac:dyDescent="0.25">
      <c r="K125" s="1237">
        <v>2011</v>
      </c>
      <c r="L125" s="1243">
        <v>160.8806636885769</v>
      </c>
      <c r="M125" s="1305"/>
      <c r="N125" s="1306"/>
      <c r="O125" s="1306"/>
    </row>
    <row r="126" spans="1:15" x14ac:dyDescent="0.25">
      <c r="K126" s="1237">
        <v>2012</v>
      </c>
      <c r="L126" s="1243">
        <v>166.11359285258459</v>
      </c>
      <c r="M126" s="1305"/>
      <c r="N126" s="1306"/>
      <c r="O126" s="1306"/>
    </row>
    <row r="127" spans="1:15" x14ac:dyDescent="0.25">
      <c r="K127" s="1237">
        <v>2013</v>
      </c>
      <c r="L127" s="1243">
        <v>168.41097638800255</v>
      </c>
      <c r="M127" s="1305"/>
      <c r="N127" s="1306"/>
      <c r="O127" s="1306"/>
    </row>
    <row r="128" spans="1:15" x14ac:dyDescent="0.25">
      <c r="K128" s="1237">
        <v>2014</v>
      </c>
      <c r="L128" s="1243">
        <v>171.79323548181239</v>
      </c>
      <c r="N128" s="1306"/>
      <c r="O128" s="1306"/>
    </row>
    <row r="129" spans="1:15" x14ac:dyDescent="0.25">
      <c r="K129" s="1237">
        <v>2015</v>
      </c>
      <c r="L129" s="1243">
        <v>168.98532227185709</v>
      </c>
      <c r="N129" s="1306"/>
      <c r="O129" s="1306"/>
    </row>
    <row r="130" spans="1:15" ht="13" thickBot="1" x14ac:dyDescent="0.3">
      <c r="K130" s="1244">
        <v>2016</v>
      </c>
      <c r="L130" s="1245">
        <v>170.4530950861519</v>
      </c>
      <c r="M130" s="1305"/>
      <c r="N130" s="1306"/>
      <c r="O130" s="1306"/>
    </row>
    <row r="131" spans="1:15" ht="13" thickTop="1" x14ac:dyDescent="0.25">
      <c r="K131" s="309" t="s">
        <v>1204</v>
      </c>
    </row>
    <row r="132" spans="1:15" ht="13" thickBot="1" x14ac:dyDescent="0.3">
      <c r="K132" s="309" t="s">
        <v>1231</v>
      </c>
    </row>
    <row r="133" spans="1:15" ht="28.5" thickBot="1" x14ac:dyDescent="0.35">
      <c r="A133" s="1441" t="s">
        <v>1103</v>
      </c>
      <c r="B133" s="1442"/>
      <c r="C133" s="1442"/>
      <c r="D133" s="1442"/>
      <c r="E133" s="1442"/>
      <c r="F133" s="1442"/>
      <c r="G133" s="1442"/>
      <c r="H133" s="1442"/>
      <c r="I133" s="1443"/>
    </row>
    <row r="134" spans="1:15" ht="52" x14ac:dyDescent="0.3">
      <c r="A134" s="1425"/>
      <c r="B134" s="610"/>
      <c r="C134" s="1688" t="s">
        <v>124</v>
      </c>
      <c r="D134" s="1688"/>
      <c r="E134" s="1688"/>
      <c r="F134" s="1689" t="s">
        <v>125</v>
      </c>
      <c r="G134" s="1688"/>
      <c r="H134" s="1690"/>
      <c r="I134" s="1426" t="s">
        <v>126</v>
      </c>
    </row>
    <row r="135" spans="1:15" ht="30" customHeight="1" thickBot="1" x14ac:dyDescent="0.35">
      <c r="A135" s="585" t="s">
        <v>127</v>
      </c>
      <c r="B135" s="611" t="s">
        <v>128</v>
      </c>
      <c r="C135" s="612" t="s">
        <v>129</v>
      </c>
      <c r="D135" s="612" t="s">
        <v>398</v>
      </c>
      <c r="E135" s="612" t="s">
        <v>399</v>
      </c>
      <c r="F135" s="585" t="s">
        <v>403</v>
      </c>
      <c r="G135" s="586" t="s">
        <v>404</v>
      </c>
      <c r="H135" s="587" t="s">
        <v>405</v>
      </c>
      <c r="I135" s="1427" t="s">
        <v>130</v>
      </c>
    </row>
    <row r="136" spans="1:15" x14ac:dyDescent="0.25">
      <c r="A136" s="1428" t="s">
        <v>1085</v>
      </c>
      <c r="B136" s="613" t="s">
        <v>131</v>
      </c>
      <c r="C136" s="850">
        <f t="shared" ref="C136:I145" si="8">+AVERAGEIFS(D$165:D$524,$B$165:$B$524,$A136,$C$165:$C$524,"&gt;="&amp;startup_year,$C$165:$C$524,"&lt;="&amp;(startup_year+anal_period))</f>
        <v>1092333.3333333333</v>
      </c>
      <c r="D136" s="851">
        <f t="shared" si="8"/>
        <v>1092000</v>
      </c>
      <c r="E136" s="852">
        <f t="shared" si="8"/>
        <v>3983.1111111111113</v>
      </c>
      <c r="F136" s="853">
        <f t="shared" si="8"/>
        <v>5.7637</v>
      </c>
      <c r="G136" s="853">
        <f t="shared" si="8"/>
        <v>0.18463255555555558</v>
      </c>
      <c r="H136" s="853">
        <f t="shared" si="8"/>
        <v>8.6144444444444441E-4</v>
      </c>
      <c r="I136" s="1429">
        <f t="shared" si="8"/>
        <v>11.590077777777779</v>
      </c>
    </row>
    <row r="137" spans="1:15" ht="16.5" customHeight="1" x14ac:dyDescent="0.25">
      <c r="A137" s="1430" t="s">
        <v>283</v>
      </c>
      <c r="B137" s="614" t="s">
        <v>131</v>
      </c>
      <c r="C137" s="854">
        <f t="shared" si="8"/>
        <v>1092333.3333333333</v>
      </c>
      <c r="D137" s="855">
        <f t="shared" si="8"/>
        <v>1092000</v>
      </c>
      <c r="E137" s="856">
        <f t="shared" si="8"/>
        <v>3983.1111111111113</v>
      </c>
      <c r="F137" s="857">
        <f t="shared" si="8"/>
        <v>5.7637</v>
      </c>
      <c r="G137" s="857">
        <f t="shared" si="8"/>
        <v>0.18463255555555558</v>
      </c>
      <c r="H137" s="857">
        <f t="shared" si="8"/>
        <v>8.6144444444444441E-4</v>
      </c>
      <c r="I137" s="1431">
        <f t="shared" si="8"/>
        <v>11.590077777777779</v>
      </c>
    </row>
    <row r="138" spans="1:15" x14ac:dyDescent="0.25">
      <c r="A138" s="1432" t="s">
        <v>1086</v>
      </c>
      <c r="B138" s="1420" t="s">
        <v>131</v>
      </c>
      <c r="C138" s="1421">
        <f t="shared" si="8"/>
        <v>1092333.3333333333</v>
      </c>
      <c r="D138" s="1422">
        <f t="shared" si="8"/>
        <v>1092000</v>
      </c>
      <c r="E138" s="1423">
        <f t="shared" si="8"/>
        <v>3983.1111111111113</v>
      </c>
      <c r="F138" s="1424">
        <f t="shared" si="8"/>
        <v>5.7637</v>
      </c>
      <c r="G138" s="1424">
        <f t="shared" si="8"/>
        <v>0.18463255555555558</v>
      </c>
      <c r="H138" s="1424">
        <f t="shared" si="8"/>
        <v>8.6144444444444441E-4</v>
      </c>
      <c r="I138" s="1433">
        <f t="shared" si="8"/>
        <v>11.590077777777779</v>
      </c>
    </row>
    <row r="139" spans="1:15" x14ac:dyDescent="0.25">
      <c r="A139" s="1430" t="s">
        <v>681</v>
      </c>
      <c r="B139" s="615" t="s">
        <v>131</v>
      </c>
      <c r="C139" s="855">
        <f t="shared" si="8"/>
        <v>1092333.3333333333</v>
      </c>
      <c r="D139" s="855">
        <f t="shared" si="8"/>
        <v>1092000</v>
      </c>
      <c r="E139" s="855">
        <f t="shared" si="8"/>
        <v>3983.1111111111113</v>
      </c>
      <c r="F139" s="858">
        <f t="shared" si="8"/>
        <v>5.7637</v>
      </c>
      <c r="G139" s="857">
        <f t="shared" si="8"/>
        <v>0.18463255555555558</v>
      </c>
      <c r="H139" s="859">
        <f t="shared" si="8"/>
        <v>8.6144444444444441E-4</v>
      </c>
      <c r="I139" s="1431">
        <f t="shared" si="8"/>
        <v>11.590077777777779</v>
      </c>
    </row>
    <row r="140" spans="1:15" x14ac:dyDescent="0.25">
      <c r="A140" s="1430" t="s">
        <v>682</v>
      </c>
      <c r="B140" s="615" t="s">
        <v>1295</v>
      </c>
      <c r="C140" s="855">
        <f t="shared" si="8"/>
        <v>-1186000</v>
      </c>
      <c r="D140" s="855">
        <f t="shared" si="8"/>
        <v>0</v>
      </c>
      <c r="E140" s="855">
        <f t="shared" si="8"/>
        <v>0</v>
      </c>
      <c r="F140" s="858">
        <f t="shared" si="8"/>
        <v>-85.798888888888868</v>
      </c>
      <c r="G140" s="857">
        <f t="shared" si="8"/>
        <v>0.54695555555555553</v>
      </c>
      <c r="H140" s="859">
        <f t="shared" si="8"/>
        <v>-1.8301999999999997E-3</v>
      </c>
      <c r="I140" s="1431">
        <f t="shared" si="8"/>
        <v>-70.082222222222228</v>
      </c>
    </row>
    <row r="141" spans="1:15" x14ac:dyDescent="0.25">
      <c r="A141" s="1430" t="s">
        <v>683</v>
      </c>
      <c r="B141" s="615" t="s">
        <v>132</v>
      </c>
      <c r="C141" s="855">
        <f t="shared" si="8"/>
        <v>1787000</v>
      </c>
      <c r="D141" s="855">
        <f t="shared" si="8"/>
        <v>1370111.111111111</v>
      </c>
      <c r="E141" s="855">
        <f t="shared" si="8"/>
        <v>21116.666666666668</v>
      </c>
      <c r="F141" s="858">
        <f t="shared" si="8"/>
        <v>140.12111111111111</v>
      </c>
      <c r="G141" s="857">
        <f t="shared" si="8"/>
        <v>0.2125671111111111</v>
      </c>
      <c r="H141" s="859">
        <f t="shared" si="8"/>
        <v>2.0498222222222226E-3</v>
      </c>
      <c r="I141" s="1431">
        <f t="shared" si="8"/>
        <v>145.54777777777775</v>
      </c>
    </row>
    <row r="142" spans="1:15" x14ac:dyDescent="0.25">
      <c r="A142" s="1430" t="s">
        <v>698</v>
      </c>
      <c r="B142" s="615" t="s">
        <v>132</v>
      </c>
      <c r="C142" s="855">
        <f t="shared" si="8"/>
        <v>1787000</v>
      </c>
      <c r="D142" s="855">
        <f t="shared" si="8"/>
        <v>1370111.111111111</v>
      </c>
      <c r="E142" s="855">
        <f t="shared" si="8"/>
        <v>21116.666666666668</v>
      </c>
      <c r="F142" s="858">
        <f t="shared" si="8"/>
        <v>140.12111111111111</v>
      </c>
      <c r="G142" s="857">
        <f t="shared" si="8"/>
        <v>0.2125671111111111</v>
      </c>
      <c r="H142" s="859">
        <f t="shared" si="8"/>
        <v>2.0498222222222226E-3</v>
      </c>
      <c r="I142" s="1431">
        <f t="shared" si="8"/>
        <v>145.54777777777775</v>
      </c>
    </row>
    <row r="143" spans="1:15" x14ac:dyDescent="0.25">
      <c r="A143" s="1430" t="s">
        <v>684</v>
      </c>
      <c r="B143" s="615" t="s">
        <v>132</v>
      </c>
      <c r="C143" s="855">
        <f t="shared" si="8"/>
        <v>1787000</v>
      </c>
      <c r="D143" s="855">
        <f t="shared" si="8"/>
        <v>1370111.111111111</v>
      </c>
      <c r="E143" s="855">
        <f t="shared" si="8"/>
        <v>21116.666666666668</v>
      </c>
      <c r="F143" s="858">
        <f t="shared" si="8"/>
        <v>140.12111111111111</v>
      </c>
      <c r="G143" s="857">
        <f t="shared" si="8"/>
        <v>0.2125671111111111</v>
      </c>
      <c r="H143" s="859">
        <f t="shared" si="8"/>
        <v>2.0498222222222226E-3</v>
      </c>
      <c r="I143" s="1431">
        <f t="shared" si="8"/>
        <v>145.54777777777775</v>
      </c>
    </row>
    <row r="144" spans="1:15" x14ac:dyDescent="0.25">
      <c r="A144" s="1430" t="s">
        <v>1087</v>
      </c>
      <c r="B144" s="615" t="s">
        <v>133</v>
      </c>
      <c r="C144" s="855">
        <f t="shared" si="8"/>
        <v>1022000</v>
      </c>
      <c r="D144" s="855">
        <f t="shared" si="8"/>
        <v>1021000</v>
      </c>
      <c r="E144" s="855">
        <f t="shared" si="8"/>
        <v>15525.555555555555</v>
      </c>
      <c r="F144" s="858">
        <f t="shared" si="8"/>
        <v>1.7266111111111111</v>
      </c>
      <c r="G144" s="857">
        <f t="shared" si="8"/>
        <v>0.1409730933333333</v>
      </c>
      <c r="H144" s="859">
        <f t="shared" si="8"/>
        <v>3.3298666666666667E-5</v>
      </c>
      <c r="I144" s="1431">
        <f t="shared" si="8"/>
        <v>5.9858888888888888</v>
      </c>
    </row>
    <row r="145" spans="1:9" x14ac:dyDescent="0.25">
      <c r="A145" s="1430" t="s">
        <v>716</v>
      </c>
      <c r="B145" s="615" t="s">
        <v>133</v>
      </c>
      <c r="C145" s="855">
        <f t="shared" si="8"/>
        <v>1022000</v>
      </c>
      <c r="D145" s="855">
        <f t="shared" si="8"/>
        <v>1021000</v>
      </c>
      <c r="E145" s="855">
        <f t="shared" si="8"/>
        <v>15525.555555555555</v>
      </c>
      <c r="F145" s="858">
        <f t="shared" si="8"/>
        <v>1.7266111111111111</v>
      </c>
      <c r="G145" s="857">
        <f t="shared" si="8"/>
        <v>0.1409730933333333</v>
      </c>
      <c r="H145" s="859">
        <f t="shared" si="8"/>
        <v>3.3298666666666667E-5</v>
      </c>
      <c r="I145" s="1431">
        <f t="shared" si="8"/>
        <v>5.9858888888888888</v>
      </c>
    </row>
    <row r="146" spans="1:9" x14ac:dyDescent="0.25">
      <c r="A146" s="1430" t="s">
        <v>717</v>
      </c>
      <c r="B146" s="615" t="s">
        <v>133</v>
      </c>
      <c r="C146" s="855">
        <f t="shared" ref="C146:I153" si="9">+AVERAGEIFS(D$165:D$524,$B$165:$B$524,$A146,$C$165:$C$524,"&gt;="&amp;startup_year,$C$165:$C$524,"&lt;="&amp;(startup_year+anal_period))</f>
        <v>1022000</v>
      </c>
      <c r="D146" s="855">
        <f t="shared" si="9"/>
        <v>1021000</v>
      </c>
      <c r="E146" s="855">
        <f t="shared" si="9"/>
        <v>15525.555555555555</v>
      </c>
      <c r="F146" s="858">
        <f t="shared" si="9"/>
        <v>1.7266111111111111</v>
      </c>
      <c r="G146" s="857">
        <f t="shared" si="9"/>
        <v>0.1409730933333333</v>
      </c>
      <c r="H146" s="859">
        <f t="shared" si="9"/>
        <v>3.3298666666666667E-5</v>
      </c>
      <c r="I146" s="1431">
        <f t="shared" si="9"/>
        <v>5.9858888888888888</v>
      </c>
    </row>
    <row r="147" spans="1:9" x14ac:dyDescent="0.25">
      <c r="A147" s="1430" t="s">
        <v>912</v>
      </c>
      <c r="B147" s="615" t="s">
        <v>134</v>
      </c>
      <c r="C147" s="855">
        <f t="shared" si="9"/>
        <v>1209444.4444444445</v>
      </c>
      <c r="D147" s="855">
        <f t="shared" si="9"/>
        <v>1202666.6666666667</v>
      </c>
      <c r="E147" s="855">
        <f t="shared" si="9"/>
        <v>1052111.111111111</v>
      </c>
      <c r="F147" s="858">
        <f t="shared" si="9"/>
        <v>18.180666666666667</v>
      </c>
      <c r="G147" s="857">
        <f t="shared" si="9"/>
        <v>0.16397644444444445</v>
      </c>
      <c r="H147" s="859">
        <f t="shared" si="9"/>
        <v>2.936588888888889E-4</v>
      </c>
      <c r="I147" s="1431">
        <f t="shared" si="9"/>
        <v>23.206555555555557</v>
      </c>
    </row>
    <row r="148" spans="1:9" x14ac:dyDescent="0.25">
      <c r="A148" s="1430" t="s">
        <v>910</v>
      </c>
      <c r="B148" s="615" t="s">
        <v>1104</v>
      </c>
      <c r="C148" s="855">
        <f t="shared" si="9"/>
        <v>1592777.7777777778</v>
      </c>
      <c r="D148" s="855">
        <f t="shared" si="9"/>
        <v>700588.88888888888</v>
      </c>
      <c r="E148" s="855">
        <f t="shared" si="9"/>
        <v>286633.33333333331</v>
      </c>
      <c r="F148" s="858">
        <f t="shared" si="9"/>
        <v>38.703111111111113</v>
      </c>
      <c r="G148" s="857">
        <f t="shared" si="9"/>
        <v>0.1123</v>
      </c>
      <c r="H148" s="859">
        <f t="shared" si="9"/>
        <v>2.5603333333333339E-2</v>
      </c>
      <c r="I148" s="1431">
        <f t="shared" si="9"/>
        <v>45.774444444444448</v>
      </c>
    </row>
    <row r="149" spans="1:9" x14ac:dyDescent="0.25">
      <c r="A149" s="1430" t="s">
        <v>913</v>
      </c>
      <c r="B149" s="615" t="s">
        <v>134</v>
      </c>
      <c r="C149" s="855">
        <f t="shared" si="9"/>
        <v>1250222.2222222222</v>
      </c>
      <c r="D149" s="855">
        <f t="shared" si="9"/>
        <v>1242777.7777777778</v>
      </c>
      <c r="E149" s="855">
        <f t="shared" si="9"/>
        <v>1078333.3333333333</v>
      </c>
      <c r="F149" s="858">
        <f t="shared" si="9"/>
        <v>24.072999999999997</v>
      </c>
      <c r="G149" s="857">
        <f t="shared" si="9"/>
        <v>0.16967222222222225</v>
      </c>
      <c r="H149" s="859">
        <f t="shared" si="9"/>
        <v>3.8183666666666668E-4</v>
      </c>
      <c r="I149" s="1431">
        <f t="shared" si="9"/>
        <v>29.393666666666668</v>
      </c>
    </row>
    <row r="150" spans="1:9" x14ac:dyDescent="0.25">
      <c r="A150" s="1430" t="s">
        <v>1081</v>
      </c>
      <c r="B150" s="615" t="s">
        <v>1296</v>
      </c>
      <c r="C150" s="855">
        <f t="shared" si="9"/>
        <v>1190111.111111111</v>
      </c>
      <c r="D150" s="855">
        <f t="shared" si="9"/>
        <v>51895.555555555555</v>
      </c>
      <c r="E150" s="855">
        <f t="shared" si="9"/>
        <v>29306.666666666668</v>
      </c>
      <c r="F150" s="858">
        <f t="shared" si="9"/>
        <v>3.8090555555555556</v>
      </c>
      <c r="G150" s="857">
        <f t="shared" si="9"/>
        <v>8.4619555555555549E-3</v>
      </c>
      <c r="H150" s="859">
        <f t="shared" si="9"/>
        <v>-3.8254046666666669E-3</v>
      </c>
      <c r="I150" s="1431">
        <f t="shared" si="9"/>
        <v>3.0600888888888895</v>
      </c>
    </row>
    <row r="151" spans="1:9" x14ac:dyDescent="0.25">
      <c r="A151" s="1430" t="s">
        <v>815</v>
      </c>
      <c r="B151" s="615" t="s">
        <v>1296</v>
      </c>
      <c r="C151" s="855">
        <f t="shared" si="9"/>
        <v>1190111.111111111</v>
      </c>
      <c r="D151" s="855">
        <f t="shared" si="9"/>
        <v>51895.555555555555</v>
      </c>
      <c r="E151" s="855">
        <f t="shared" si="9"/>
        <v>29306.666666666668</v>
      </c>
      <c r="F151" s="858">
        <f t="shared" si="9"/>
        <v>3.8090555555555556</v>
      </c>
      <c r="G151" s="857">
        <f t="shared" si="9"/>
        <v>8.4619555555555549E-3</v>
      </c>
      <c r="H151" s="859">
        <f t="shared" si="9"/>
        <v>-3.8254046666666669E-3</v>
      </c>
      <c r="I151" s="1431">
        <f t="shared" si="9"/>
        <v>3.0600888888888895</v>
      </c>
    </row>
    <row r="152" spans="1:9" x14ac:dyDescent="0.25">
      <c r="A152" s="1430" t="s">
        <v>824</v>
      </c>
      <c r="B152" s="615" t="s">
        <v>1296</v>
      </c>
      <c r="C152" s="855">
        <f t="shared" si="9"/>
        <v>1190111.111111111</v>
      </c>
      <c r="D152" s="855">
        <f t="shared" si="9"/>
        <v>51895.555555555555</v>
      </c>
      <c r="E152" s="855">
        <f t="shared" si="9"/>
        <v>29306.666666666668</v>
      </c>
      <c r="F152" s="858">
        <f t="shared" si="9"/>
        <v>3.8090555555555556</v>
      </c>
      <c r="G152" s="857">
        <f t="shared" si="9"/>
        <v>8.4619555555555549E-3</v>
      </c>
      <c r="H152" s="859">
        <f t="shared" si="9"/>
        <v>-3.8254046666666669E-3</v>
      </c>
      <c r="I152" s="1431">
        <f t="shared" si="9"/>
        <v>3.0600888888888895</v>
      </c>
    </row>
    <row r="153" spans="1:9" ht="13" thickBot="1" x14ac:dyDescent="0.3">
      <c r="A153" s="1434" t="s">
        <v>1088</v>
      </c>
      <c r="B153" s="1435" t="s">
        <v>1297</v>
      </c>
      <c r="C153" s="1436">
        <f t="shared" si="9"/>
        <v>1384111.111111111</v>
      </c>
      <c r="D153" s="1436">
        <f t="shared" si="9"/>
        <v>1383222.2222222222</v>
      </c>
      <c r="E153" s="1436">
        <f t="shared" si="9"/>
        <v>5049.1111111111113</v>
      </c>
      <c r="F153" s="1437">
        <f t="shared" si="9"/>
        <v>78.603844444444448</v>
      </c>
      <c r="G153" s="1438">
        <f t="shared" si="9"/>
        <v>0.27492888888888889</v>
      </c>
      <c r="H153" s="1439">
        <f t="shared" si="9"/>
        <v>2.3310333333333333E-3</v>
      </c>
      <c r="I153" s="1440">
        <f t="shared" si="9"/>
        <v>87.627188888888881</v>
      </c>
    </row>
    <row r="162" spans="2:10" ht="13" thickBot="1" x14ac:dyDescent="0.3">
      <c r="B162" s="309" t="s">
        <v>1294</v>
      </c>
    </row>
    <row r="163" spans="2:10" ht="37.5" x14ac:dyDescent="0.25">
      <c r="D163" s="1402" t="s">
        <v>124</v>
      </c>
      <c r="E163" s="1403"/>
      <c r="F163" s="1404"/>
      <c r="G163" s="1402" t="s">
        <v>125</v>
      </c>
      <c r="H163" s="1403"/>
      <c r="I163" s="1403"/>
      <c r="J163" s="1404" t="s">
        <v>126</v>
      </c>
    </row>
    <row r="164" spans="2:10" ht="13.5" thickBot="1" x14ac:dyDescent="0.35">
      <c r="B164" s="1" t="s">
        <v>248</v>
      </c>
      <c r="C164" s="1" t="s">
        <v>1084</v>
      </c>
      <c r="D164" s="1405" t="s">
        <v>129</v>
      </c>
      <c r="E164" s="1406" t="s">
        <v>398</v>
      </c>
      <c r="F164" s="1407" t="s">
        <v>399</v>
      </c>
      <c r="G164" s="1405" t="s">
        <v>403</v>
      </c>
      <c r="H164" s="1406" t="s">
        <v>404</v>
      </c>
      <c r="I164" s="1406" t="s">
        <v>405</v>
      </c>
      <c r="J164" s="1407" t="s">
        <v>130</v>
      </c>
    </row>
    <row r="165" spans="2:10" x14ac:dyDescent="0.25">
      <c r="B165" s="1408" t="s">
        <v>1085</v>
      </c>
      <c r="C165" s="1409">
        <v>2005</v>
      </c>
      <c r="D165" s="1408">
        <v>1094000</v>
      </c>
      <c r="E165" s="1410">
        <v>1094000</v>
      </c>
      <c r="F165" s="1411">
        <v>4252</v>
      </c>
      <c r="G165" s="1408">
        <v>5.9984999999999999</v>
      </c>
      <c r="H165" s="1410">
        <v>0.18232600000000002</v>
      </c>
      <c r="I165" s="1410">
        <v>8.8801999999999994E-5</v>
      </c>
      <c r="J165" s="1411">
        <v>11.536999999999999</v>
      </c>
    </row>
    <row r="166" spans="2:10" x14ac:dyDescent="0.25">
      <c r="B166" s="1412" t="s">
        <v>283</v>
      </c>
      <c r="C166" s="1413">
        <v>2005</v>
      </c>
      <c r="D166" s="1412">
        <v>1094000</v>
      </c>
      <c r="E166" s="1414">
        <v>1094000</v>
      </c>
      <c r="F166" s="1415">
        <v>4252</v>
      </c>
      <c r="G166" s="1412">
        <v>5.9984999999999999</v>
      </c>
      <c r="H166" s="1414">
        <v>0.18232600000000002</v>
      </c>
      <c r="I166" s="1414">
        <v>8.8801999999999994E-5</v>
      </c>
      <c r="J166" s="1415">
        <v>11.536999999999999</v>
      </c>
    </row>
    <row r="167" spans="2:10" x14ac:dyDescent="0.25">
      <c r="B167" s="1412" t="s">
        <v>1086</v>
      </c>
      <c r="C167" s="1413">
        <v>2005</v>
      </c>
      <c r="D167" s="1412">
        <v>1094000</v>
      </c>
      <c r="E167" s="1414">
        <v>1094000</v>
      </c>
      <c r="F167" s="1415">
        <v>4252</v>
      </c>
      <c r="G167" s="1412">
        <v>5.9984999999999999</v>
      </c>
      <c r="H167" s="1414">
        <v>0.18232600000000002</v>
      </c>
      <c r="I167" s="1414">
        <v>8.8801999999999994E-5</v>
      </c>
      <c r="J167" s="1415">
        <v>11.536999999999999</v>
      </c>
    </row>
    <row r="168" spans="2:10" x14ac:dyDescent="0.25">
      <c r="B168" s="1412" t="s">
        <v>681</v>
      </c>
      <c r="C168" s="1413">
        <v>2005</v>
      </c>
      <c r="D168" s="1412">
        <v>1094000</v>
      </c>
      <c r="E168" s="1414">
        <v>1094000</v>
      </c>
      <c r="F168" s="1415">
        <v>4252</v>
      </c>
      <c r="G168" s="1412">
        <v>5.9984999999999999</v>
      </c>
      <c r="H168" s="1414">
        <v>0.18232600000000002</v>
      </c>
      <c r="I168" s="1414">
        <v>8.8801999999999994E-5</v>
      </c>
      <c r="J168" s="1415">
        <v>11.536999999999999</v>
      </c>
    </row>
    <row r="169" spans="2:10" x14ac:dyDescent="0.25">
      <c r="B169" s="1412" t="s">
        <v>682</v>
      </c>
      <c r="C169" s="1413">
        <v>2005</v>
      </c>
      <c r="D169" s="1412">
        <v>-1208000</v>
      </c>
      <c r="E169" s="1414">
        <v>0</v>
      </c>
      <c r="F169" s="1415">
        <v>0</v>
      </c>
      <c r="G169" s="1412">
        <v>-85.789999999999992</v>
      </c>
      <c r="H169" s="1414">
        <v>0.54689999999999994</v>
      </c>
      <c r="I169" s="1414">
        <v>-1.4884E-3</v>
      </c>
      <c r="J169" s="1415">
        <v>-70</v>
      </c>
    </row>
    <row r="170" spans="2:10" x14ac:dyDescent="0.25">
      <c r="B170" s="1412" t="s">
        <v>683</v>
      </c>
      <c r="C170" s="1413">
        <v>2005</v>
      </c>
      <c r="D170" s="1412">
        <v>2475000</v>
      </c>
      <c r="E170" s="1414">
        <v>2129000</v>
      </c>
      <c r="F170" s="1415">
        <v>124000</v>
      </c>
      <c r="G170" s="1412">
        <v>251.83</v>
      </c>
      <c r="H170" s="1414">
        <v>0.31369799999999998</v>
      </c>
      <c r="I170" s="1414">
        <v>3.6604999999999997E-3</v>
      </c>
      <c r="J170" s="1415">
        <v>255.85999999999999</v>
      </c>
    </row>
    <row r="171" spans="2:10" x14ac:dyDescent="0.25">
      <c r="B171" s="1412" t="s">
        <v>698</v>
      </c>
      <c r="C171" s="1413">
        <v>2005</v>
      </c>
      <c r="D171" s="1412">
        <v>2475000</v>
      </c>
      <c r="E171" s="1414">
        <v>2129000</v>
      </c>
      <c r="F171" s="1415">
        <v>124000</v>
      </c>
      <c r="G171" s="1412">
        <v>251.83</v>
      </c>
      <c r="H171" s="1414">
        <v>0.31369799999999998</v>
      </c>
      <c r="I171" s="1414">
        <v>3.6604999999999997E-3</v>
      </c>
      <c r="J171" s="1415">
        <v>255.85999999999999</v>
      </c>
    </row>
    <row r="172" spans="2:10" x14ac:dyDescent="0.25">
      <c r="B172" s="1412" t="s">
        <v>684</v>
      </c>
      <c r="C172" s="1413">
        <v>2005</v>
      </c>
      <c r="D172" s="1412">
        <v>2475000</v>
      </c>
      <c r="E172" s="1414">
        <v>2129000</v>
      </c>
      <c r="F172" s="1415">
        <v>124000</v>
      </c>
      <c r="G172" s="1412">
        <v>251.83</v>
      </c>
      <c r="H172" s="1414">
        <v>0.31369799999999998</v>
      </c>
      <c r="I172" s="1414">
        <v>3.6604999999999997E-3</v>
      </c>
      <c r="J172" s="1415">
        <v>255.85999999999999</v>
      </c>
    </row>
    <row r="173" spans="2:10" x14ac:dyDescent="0.25">
      <c r="B173" s="1412" t="s">
        <v>1087</v>
      </c>
      <c r="C173" s="1413">
        <v>2005</v>
      </c>
      <c r="D173" s="1412">
        <v>1023000</v>
      </c>
      <c r="E173" s="1414">
        <v>1022000</v>
      </c>
      <c r="F173" s="1415">
        <v>15840</v>
      </c>
      <c r="G173" s="1412">
        <v>1.9352</v>
      </c>
      <c r="H173" s="1414">
        <v>0.14136591000000001</v>
      </c>
      <c r="I173" s="1414">
        <v>3.6392E-5</v>
      </c>
      <c r="J173" s="1415">
        <v>6.2023000000000001</v>
      </c>
    </row>
    <row r="174" spans="2:10" x14ac:dyDescent="0.25">
      <c r="B174" s="1412" t="s">
        <v>716</v>
      </c>
      <c r="C174" s="1413">
        <v>2005</v>
      </c>
      <c r="D174" s="1412">
        <v>1023000</v>
      </c>
      <c r="E174" s="1414">
        <v>1022000</v>
      </c>
      <c r="F174" s="1415">
        <v>15840</v>
      </c>
      <c r="G174" s="1412">
        <v>1.9352</v>
      </c>
      <c r="H174" s="1414">
        <v>0.14136591000000001</v>
      </c>
      <c r="I174" s="1414">
        <v>3.6392E-5</v>
      </c>
      <c r="J174" s="1415">
        <v>6.2023000000000001</v>
      </c>
    </row>
    <row r="175" spans="2:10" x14ac:dyDescent="0.25">
      <c r="B175" s="1412" t="s">
        <v>717</v>
      </c>
      <c r="C175" s="1413">
        <v>2005</v>
      </c>
      <c r="D175" s="1412">
        <v>1023000</v>
      </c>
      <c r="E175" s="1414">
        <v>1022000</v>
      </c>
      <c r="F175" s="1415">
        <v>15840</v>
      </c>
      <c r="G175" s="1412">
        <v>1.9352</v>
      </c>
      <c r="H175" s="1414">
        <v>0.14136591000000001</v>
      </c>
      <c r="I175" s="1414">
        <v>3.6392E-5</v>
      </c>
      <c r="J175" s="1415">
        <v>6.2023000000000001</v>
      </c>
    </row>
    <row r="176" spans="2:10" x14ac:dyDescent="0.25">
      <c r="B176" s="1412" t="s">
        <v>912</v>
      </c>
      <c r="C176" s="1413">
        <v>2005</v>
      </c>
      <c r="D176" s="1412">
        <v>1205000</v>
      </c>
      <c r="E176" s="1414">
        <v>1200000</v>
      </c>
      <c r="F176" s="1415">
        <v>1056000</v>
      </c>
      <c r="G176" s="1412">
        <v>18.433</v>
      </c>
      <c r="H176" s="1414">
        <v>0.18217</v>
      </c>
      <c r="I176" s="1414">
        <v>2.0549999999999998E-4</v>
      </c>
      <c r="J176" s="1415">
        <v>23.908999999999999</v>
      </c>
    </row>
    <row r="177" spans="2:10" x14ac:dyDescent="0.25">
      <c r="B177" s="1412" t="s">
        <v>910</v>
      </c>
      <c r="C177" s="1413">
        <v>2005</v>
      </c>
      <c r="D177" s="1412">
        <v>1760000</v>
      </c>
      <c r="E177" s="1414">
        <v>783400</v>
      </c>
      <c r="F177" s="1415">
        <v>307400</v>
      </c>
      <c r="G177" s="1412">
        <v>47.923999999999999</v>
      </c>
      <c r="H177" s="1414">
        <v>0.13161500000000001</v>
      </c>
      <c r="I177" s="1414">
        <v>3.3619999999999997E-2</v>
      </c>
      <c r="J177" s="1415">
        <v>56.43</v>
      </c>
    </row>
    <row r="178" spans="2:10" x14ac:dyDescent="0.25">
      <c r="B178" s="1412" t="s">
        <v>913</v>
      </c>
      <c r="C178" s="1413">
        <v>2005</v>
      </c>
      <c r="D178" s="1412">
        <v>1248000</v>
      </c>
      <c r="E178" s="1414">
        <v>1242000</v>
      </c>
      <c r="F178" s="1415">
        <v>1084000</v>
      </c>
      <c r="G178" s="1412">
        <v>24.465</v>
      </c>
      <c r="H178" s="1414">
        <v>0.18840200000000001</v>
      </c>
      <c r="I178" s="1414">
        <v>2.7361999999999997E-4</v>
      </c>
      <c r="J178" s="1415">
        <v>30.237000000000002</v>
      </c>
    </row>
    <row r="179" spans="2:10" x14ac:dyDescent="0.25">
      <c r="B179" s="1412" t="s">
        <v>1081</v>
      </c>
      <c r="C179" s="1413">
        <v>2005</v>
      </c>
      <c r="D179" s="1412">
        <v>1195000</v>
      </c>
      <c r="E179" s="1414">
        <v>56800</v>
      </c>
      <c r="F179" s="1415">
        <v>32280</v>
      </c>
      <c r="G179" s="1412">
        <v>4.3339999999999996</v>
      </c>
      <c r="H179" s="1414">
        <v>9.434399999999999E-3</v>
      </c>
      <c r="I179" s="1414">
        <v>-3.8369229999999999E-3</v>
      </c>
      <c r="J179" s="1415">
        <v>3.6147</v>
      </c>
    </row>
    <row r="180" spans="2:10" x14ac:dyDescent="0.25">
      <c r="B180" s="1412" t="s">
        <v>815</v>
      </c>
      <c r="C180" s="1413">
        <v>2005</v>
      </c>
      <c r="D180" s="1412">
        <v>1195000</v>
      </c>
      <c r="E180" s="1414">
        <v>56800</v>
      </c>
      <c r="F180" s="1415">
        <v>32280</v>
      </c>
      <c r="G180" s="1412">
        <v>4.3339999999999996</v>
      </c>
      <c r="H180" s="1414">
        <v>9.434399999999999E-3</v>
      </c>
      <c r="I180" s="1414">
        <v>-3.8369229999999999E-3</v>
      </c>
      <c r="J180" s="1415">
        <v>3.6147</v>
      </c>
    </row>
    <row r="181" spans="2:10" x14ac:dyDescent="0.25">
      <c r="B181" s="1412" t="s">
        <v>824</v>
      </c>
      <c r="C181" s="1413">
        <v>2005</v>
      </c>
      <c r="D181" s="1412">
        <v>1195000</v>
      </c>
      <c r="E181" s="1414">
        <v>56800</v>
      </c>
      <c r="F181" s="1415">
        <v>32280</v>
      </c>
      <c r="G181" s="1412">
        <v>4.3339999999999996</v>
      </c>
      <c r="H181" s="1414">
        <v>9.434399999999999E-3</v>
      </c>
      <c r="I181" s="1414">
        <v>-3.8369229999999999E-3</v>
      </c>
      <c r="J181" s="1415">
        <v>3.6147</v>
      </c>
    </row>
    <row r="182" spans="2:10" ht="13" thickBot="1" x14ac:dyDescent="0.3">
      <c r="B182" s="1416" t="s">
        <v>1088</v>
      </c>
      <c r="C182" s="1417">
        <v>2005</v>
      </c>
      <c r="D182" s="1416">
        <v>1387000</v>
      </c>
      <c r="E182" s="1418">
        <v>1386000</v>
      </c>
      <c r="F182" s="1419">
        <v>5427</v>
      </c>
      <c r="G182" s="1416">
        <v>78.934799999999996</v>
      </c>
      <c r="H182" s="1418">
        <v>0.27050000000000002</v>
      </c>
      <c r="I182" s="1418">
        <v>1.418723E-3</v>
      </c>
      <c r="J182" s="1419">
        <v>87.571399999999997</v>
      </c>
    </row>
    <row r="183" spans="2:10" x14ac:dyDescent="0.25">
      <c r="B183" s="1408" t="s">
        <v>1085</v>
      </c>
      <c r="C183" s="1409">
        <v>2010</v>
      </c>
      <c r="D183" s="1408">
        <v>1094000</v>
      </c>
      <c r="E183" s="1410">
        <v>1093000</v>
      </c>
      <c r="F183" s="1411">
        <v>4104</v>
      </c>
      <c r="G183" s="1408">
        <v>5.9177</v>
      </c>
      <c r="H183" s="1410">
        <v>0.18431800000000001</v>
      </c>
      <c r="I183" s="1410">
        <v>8.6370000000000001E-4</v>
      </c>
      <c r="J183" s="1411">
        <v>11.7387</v>
      </c>
    </row>
    <row r="184" spans="2:10" x14ac:dyDescent="0.25">
      <c r="B184" s="1412" t="s">
        <v>283</v>
      </c>
      <c r="C184" s="1413">
        <v>2010</v>
      </c>
      <c r="D184" s="1412">
        <v>1094000</v>
      </c>
      <c r="E184" s="1414">
        <v>1093000</v>
      </c>
      <c r="F184" s="1415">
        <v>4104</v>
      </c>
      <c r="G184" s="1412">
        <v>5.9177</v>
      </c>
      <c r="H184" s="1414">
        <v>0.18431800000000001</v>
      </c>
      <c r="I184" s="1414">
        <v>8.6370000000000001E-4</v>
      </c>
      <c r="J184" s="1415">
        <v>11.7387</v>
      </c>
    </row>
    <row r="185" spans="2:10" x14ac:dyDescent="0.25">
      <c r="B185" s="1412" t="s">
        <v>1086</v>
      </c>
      <c r="C185" s="1413">
        <v>2010</v>
      </c>
      <c r="D185" s="1412">
        <v>1094000</v>
      </c>
      <c r="E185" s="1414">
        <v>1093000</v>
      </c>
      <c r="F185" s="1415">
        <v>4104</v>
      </c>
      <c r="G185" s="1412">
        <v>5.9177</v>
      </c>
      <c r="H185" s="1414">
        <v>0.18431800000000001</v>
      </c>
      <c r="I185" s="1414">
        <v>8.6370000000000001E-4</v>
      </c>
      <c r="J185" s="1415">
        <v>11.7387</v>
      </c>
    </row>
    <row r="186" spans="2:10" x14ac:dyDescent="0.25">
      <c r="B186" s="1412" t="s">
        <v>681</v>
      </c>
      <c r="C186" s="1413">
        <v>2010</v>
      </c>
      <c r="D186" s="1412">
        <v>1094000</v>
      </c>
      <c r="E186" s="1414">
        <v>1093000</v>
      </c>
      <c r="F186" s="1415">
        <v>4104</v>
      </c>
      <c r="G186" s="1412">
        <v>5.9177</v>
      </c>
      <c r="H186" s="1414">
        <v>0.18431800000000001</v>
      </c>
      <c r="I186" s="1414">
        <v>8.6370000000000001E-4</v>
      </c>
      <c r="J186" s="1415">
        <v>11.7387</v>
      </c>
    </row>
    <row r="187" spans="2:10" x14ac:dyDescent="0.25">
      <c r="B187" s="1412" t="s">
        <v>682</v>
      </c>
      <c r="C187" s="1413">
        <v>2010</v>
      </c>
      <c r="D187" s="1412">
        <v>-1208000</v>
      </c>
      <c r="E187" s="1414">
        <v>0</v>
      </c>
      <c r="F187" s="1415">
        <v>0</v>
      </c>
      <c r="G187" s="1412">
        <v>-85.789999999999992</v>
      </c>
      <c r="H187" s="1414">
        <v>0.54600000000000004</v>
      </c>
      <c r="I187" s="1414">
        <v>-1.8614999999999999E-3</v>
      </c>
      <c r="J187" s="1415">
        <v>-70.12</v>
      </c>
    </row>
    <row r="188" spans="2:10" x14ac:dyDescent="0.25">
      <c r="B188" s="1412" t="s">
        <v>683</v>
      </c>
      <c r="C188" s="1413">
        <v>2010</v>
      </c>
      <c r="D188" s="1412">
        <v>2254000</v>
      </c>
      <c r="E188" s="1414">
        <v>1938000</v>
      </c>
      <c r="F188" s="1415">
        <v>52730</v>
      </c>
      <c r="G188" s="1412">
        <v>220.67</v>
      </c>
      <c r="H188" s="1414">
        <v>0.288267</v>
      </c>
      <c r="I188" s="1414">
        <v>3.4012000000000001E-3</v>
      </c>
      <c r="J188" s="1415">
        <v>228.91000000000003</v>
      </c>
    </row>
    <row r="189" spans="2:10" x14ac:dyDescent="0.25">
      <c r="B189" s="1412" t="s">
        <v>698</v>
      </c>
      <c r="C189" s="1413">
        <v>2010</v>
      </c>
      <c r="D189" s="1412">
        <v>2254000</v>
      </c>
      <c r="E189" s="1414">
        <v>1938000</v>
      </c>
      <c r="F189" s="1415">
        <v>52730</v>
      </c>
      <c r="G189" s="1412">
        <v>220.67</v>
      </c>
      <c r="H189" s="1414">
        <v>0.288267</v>
      </c>
      <c r="I189" s="1414">
        <v>3.4012000000000001E-3</v>
      </c>
      <c r="J189" s="1415">
        <v>228.91000000000003</v>
      </c>
    </row>
    <row r="190" spans="2:10" x14ac:dyDescent="0.25">
      <c r="B190" s="1412" t="s">
        <v>684</v>
      </c>
      <c r="C190" s="1413">
        <v>2010</v>
      </c>
      <c r="D190" s="1412">
        <v>2254000</v>
      </c>
      <c r="E190" s="1414">
        <v>1938000</v>
      </c>
      <c r="F190" s="1415">
        <v>52730</v>
      </c>
      <c r="G190" s="1412">
        <v>220.67</v>
      </c>
      <c r="H190" s="1414">
        <v>0.288267</v>
      </c>
      <c r="I190" s="1414">
        <v>3.4012000000000001E-3</v>
      </c>
      <c r="J190" s="1415">
        <v>228.91000000000003</v>
      </c>
    </row>
    <row r="191" spans="2:10" x14ac:dyDescent="0.25">
      <c r="B191" s="1412" t="s">
        <v>1087</v>
      </c>
      <c r="C191" s="1413">
        <v>2010</v>
      </c>
      <c r="D191" s="1412">
        <v>1023000</v>
      </c>
      <c r="E191" s="1414">
        <v>1022000</v>
      </c>
      <c r="F191" s="1415">
        <v>15710</v>
      </c>
      <c r="G191" s="1412">
        <v>1.8761000000000001</v>
      </c>
      <c r="H191" s="1414">
        <v>0.14136795000000002</v>
      </c>
      <c r="I191" s="1414">
        <v>3.5802E-5</v>
      </c>
      <c r="J191" s="1415">
        <v>6.1511000000000005</v>
      </c>
    </row>
    <row r="192" spans="2:10" x14ac:dyDescent="0.25">
      <c r="B192" s="1412" t="s">
        <v>716</v>
      </c>
      <c r="C192" s="1413">
        <v>2010</v>
      </c>
      <c r="D192" s="1412">
        <v>1023000</v>
      </c>
      <c r="E192" s="1414">
        <v>1022000</v>
      </c>
      <c r="F192" s="1415">
        <v>15710</v>
      </c>
      <c r="G192" s="1412">
        <v>1.8761000000000001</v>
      </c>
      <c r="H192" s="1414">
        <v>0.14136795000000002</v>
      </c>
      <c r="I192" s="1414">
        <v>3.5802E-5</v>
      </c>
      <c r="J192" s="1415">
        <v>6.1511000000000005</v>
      </c>
    </row>
    <row r="193" spans="2:10" x14ac:dyDescent="0.25">
      <c r="B193" s="1412" t="s">
        <v>717</v>
      </c>
      <c r="C193" s="1413">
        <v>2010</v>
      </c>
      <c r="D193" s="1412">
        <v>1023000</v>
      </c>
      <c r="E193" s="1414">
        <v>1022000</v>
      </c>
      <c r="F193" s="1415">
        <v>15710</v>
      </c>
      <c r="G193" s="1412">
        <v>1.8761000000000001</v>
      </c>
      <c r="H193" s="1414">
        <v>0.14136795000000002</v>
      </c>
      <c r="I193" s="1414">
        <v>3.5802E-5</v>
      </c>
      <c r="J193" s="1415">
        <v>6.1511000000000005</v>
      </c>
    </row>
    <row r="194" spans="2:10" x14ac:dyDescent="0.25">
      <c r="B194" s="1412" t="s">
        <v>912</v>
      </c>
      <c r="C194" s="1413">
        <v>2010</v>
      </c>
      <c r="D194" s="1412">
        <v>1206000</v>
      </c>
      <c r="E194" s="1414">
        <v>1201000</v>
      </c>
      <c r="F194" s="1415">
        <v>1056000</v>
      </c>
      <c r="G194" s="1412">
        <v>18.166999999999998</v>
      </c>
      <c r="H194" s="1414">
        <v>0.18199899999999999</v>
      </c>
      <c r="I194" s="1414">
        <v>2.9639E-4</v>
      </c>
      <c r="J194" s="1415">
        <v>23.741999999999997</v>
      </c>
    </row>
    <row r="195" spans="2:10" x14ac:dyDescent="0.25">
      <c r="B195" s="1412" t="s">
        <v>910</v>
      </c>
      <c r="C195" s="1413">
        <v>2010</v>
      </c>
      <c r="D195" s="1412">
        <v>1687000</v>
      </c>
      <c r="E195" s="1414">
        <v>740000</v>
      </c>
      <c r="F195" s="1415">
        <v>297100</v>
      </c>
      <c r="G195" s="1412">
        <v>42.921999999999997</v>
      </c>
      <c r="H195" s="1414">
        <v>0.12687100000000001</v>
      </c>
      <c r="I195" s="1414">
        <v>2.955E-2</v>
      </c>
      <c r="J195" s="1415">
        <v>50.54</v>
      </c>
    </row>
    <row r="196" spans="2:10" x14ac:dyDescent="0.25">
      <c r="B196" s="1412" t="s">
        <v>913</v>
      </c>
      <c r="C196" s="1413">
        <v>2010</v>
      </c>
      <c r="D196" s="1412">
        <v>1248000</v>
      </c>
      <c r="E196" s="1414">
        <v>1242000</v>
      </c>
      <c r="F196" s="1415">
        <v>1083000</v>
      </c>
      <c r="G196" s="1412">
        <v>24.158999999999999</v>
      </c>
      <c r="H196" s="1414">
        <v>0.18823500000000001</v>
      </c>
      <c r="I196" s="1414">
        <v>3.8572999999999998E-4</v>
      </c>
      <c r="J196" s="1415">
        <v>30.041</v>
      </c>
    </row>
    <row r="197" spans="2:10" x14ac:dyDescent="0.25">
      <c r="B197" s="1412" t="s">
        <v>1081</v>
      </c>
      <c r="C197" s="1413">
        <v>2010</v>
      </c>
      <c r="D197" s="1412">
        <v>1194000</v>
      </c>
      <c r="E197" s="1414">
        <v>56320</v>
      </c>
      <c r="F197" s="1415">
        <v>32080</v>
      </c>
      <c r="G197" s="1412">
        <v>4.2514000000000003</v>
      </c>
      <c r="H197" s="1414">
        <v>9.6048000000000001E-3</v>
      </c>
      <c r="I197" s="1414">
        <v>-3.820487E-3</v>
      </c>
      <c r="J197" s="1415">
        <v>3.5488999999999997</v>
      </c>
    </row>
    <row r="198" spans="2:10" x14ac:dyDescent="0.25">
      <c r="B198" s="1412" t="s">
        <v>815</v>
      </c>
      <c r="C198" s="1413">
        <v>2010</v>
      </c>
      <c r="D198" s="1412">
        <v>1194000</v>
      </c>
      <c r="E198" s="1414">
        <v>56320</v>
      </c>
      <c r="F198" s="1415">
        <v>32080</v>
      </c>
      <c r="G198" s="1412">
        <v>4.2514000000000003</v>
      </c>
      <c r="H198" s="1414">
        <v>9.6048000000000001E-3</v>
      </c>
      <c r="I198" s="1414">
        <v>-3.820487E-3</v>
      </c>
      <c r="J198" s="1415">
        <v>3.5488999999999997</v>
      </c>
    </row>
    <row r="199" spans="2:10" x14ac:dyDescent="0.25">
      <c r="B199" s="1412" t="s">
        <v>824</v>
      </c>
      <c r="C199" s="1413">
        <v>2010</v>
      </c>
      <c r="D199" s="1412">
        <v>1194000</v>
      </c>
      <c r="E199" s="1414">
        <v>56320</v>
      </c>
      <c r="F199" s="1415">
        <v>32080</v>
      </c>
      <c r="G199" s="1412">
        <v>4.2514000000000003</v>
      </c>
      <c r="H199" s="1414">
        <v>9.6048000000000001E-3</v>
      </c>
      <c r="I199" s="1414">
        <v>-3.820487E-3</v>
      </c>
      <c r="J199" s="1415">
        <v>3.5488999999999997</v>
      </c>
    </row>
    <row r="200" spans="2:10" ht="13" thickBot="1" x14ac:dyDescent="0.3">
      <c r="B200" s="1416" t="s">
        <v>1088</v>
      </c>
      <c r="C200" s="1417">
        <v>2010</v>
      </c>
      <c r="D200" s="1416">
        <v>1386000</v>
      </c>
      <c r="E200" s="1418">
        <v>1385000</v>
      </c>
      <c r="F200" s="1419">
        <v>5215</v>
      </c>
      <c r="G200" s="1416">
        <v>78.8352</v>
      </c>
      <c r="H200" s="1418">
        <v>0.27453</v>
      </c>
      <c r="I200" s="1418">
        <v>2.3346E-3</v>
      </c>
      <c r="J200" s="1419">
        <v>87.848799999999997</v>
      </c>
    </row>
    <row r="201" spans="2:10" x14ac:dyDescent="0.25">
      <c r="B201" s="1408" t="s">
        <v>1085</v>
      </c>
      <c r="C201" s="1409">
        <v>2015</v>
      </c>
      <c r="D201" s="1408">
        <v>1093000</v>
      </c>
      <c r="E201" s="1410">
        <v>1092000</v>
      </c>
      <c r="F201" s="1411">
        <v>4020</v>
      </c>
      <c r="G201" s="1408">
        <v>5.8287000000000004</v>
      </c>
      <c r="H201" s="1410">
        <v>0.18472100000000002</v>
      </c>
      <c r="I201" s="1410">
        <v>8.6249999999999999E-4</v>
      </c>
      <c r="J201" s="1411">
        <v>11.659600000000001</v>
      </c>
    </row>
    <row r="202" spans="2:10" x14ac:dyDescent="0.25">
      <c r="B202" s="1412" t="s">
        <v>283</v>
      </c>
      <c r="C202" s="1413">
        <v>2015</v>
      </c>
      <c r="D202" s="1412">
        <v>1093000</v>
      </c>
      <c r="E202" s="1414">
        <v>1092000</v>
      </c>
      <c r="F202" s="1415">
        <v>4020</v>
      </c>
      <c r="G202" s="1412">
        <v>5.8287000000000004</v>
      </c>
      <c r="H202" s="1414">
        <v>0.18472100000000002</v>
      </c>
      <c r="I202" s="1414">
        <v>8.6249999999999999E-4</v>
      </c>
      <c r="J202" s="1415">
        <v>11.659600000000001</v>
      </c>
    </row>
    <row r="203" spans="2:10" x14ac:dyDescent="0.25">
      <c r="B203" s="1412" t="s">
        <v>1086</v>
      </c>
      <c r="C203" s="1413">
        <v>2015</v>
      </c>
      <c r="D203" s="1412">
        <v>1093000</v>
      </c>
      <c r="E203" s="1414">
        <v>1092000</v>
      </c>
      <c r="F203" s="1415">
        <v>4020</v>
      </c>
      <c r="G203" s="1412">
        <v>5.8287000000000004</v>
      </c>
      <c r="H203" s="1414">
        <v>0.18472100000000002</v>
      </c>
      <c r="I203" s="1414">
        <v>8.6249999999999999E-4</v>
      </c>
      <c r="J203" s="1415">
        <v>11.659600000000001</v>
      </c>
    </row>
    <row r="204" spans="2:10" x14ac:dyDescent="0.25">
      <c r="B204" s="1412" t="s">
        <v>681</v>
      </c>
      <c r="C204" s="1413">
        <v>2015</v>
      </c>
      <c r="D204" s="1412">
        <v>1093000</v>
      </c>
      <c r="E204" s="1414">
        <v>1092000</v>
      </c>
      <c r="F204" s="1415">
        <v>4020</v>
      </c>
      <c r="G204" s="1412">
        <v>5.8287000000000004</v>
      </c>
      <c r="H204" s="1414">
        <v>0.18472100000000002</v>
      </c>
      <c r="I204" s="1414">
        <v>8.6249999999999999E-4</v>
      </c>
      <c r="J204" s="1415">
        <v>11.659600000000001</v>
      </c>
    </row>
    <row r="205" spans="2:10" x14ac:dyDescent="0.25">
      <c r="B205" s="1412" t="s">
        <v>682</v>
      </c>
      <c r="C205" s="1413">
        <v>2015</v>
      </c>
      <c r="D205" s="1412">
        <v>-1194000</v>
      </c>
      <c r="E205" s="1414">
        <v>0</v>
      </c>
      <c r="F205" s="1415">
        <v>0</v>
      </c>
      <c r="G205" s="1412">
        <v>-85.789999999999992</v>
      </c>
      <c r="H205" s="1414">
        <v>0.54659999999999997</v>
      </c>
      <c r="I205" s="1414">
        <v>-1.8422E-3</v>
      </c>
      <c r="J205" s="1415">
        <v>-70.099999999999994</v>
      </c>
    </row>
    <row r="206" spans="2:10" x14ac:dyDescent="0.25">
      <c r="B206" s="1412" t="s">
        <v>683</v>
      </c>
      <c r="C206" s="1413">
        <v>2015</v>
      </c>
      <c r="D206" s="1412">
        <v>2038000</v>
      </c>
      <c r="E206" s="1414">
        <v>1688000</v>
      </c>
      <c r="F206" s="1415">
        <v>38920</v>
      </c>
      <c r="G206" s="1412">
        <v>180.61</v>
      </c>
      <c r="H206" s="1414">
        <v>0.25748300000000002</v>
      </c>
      <c r="I206" s="1414">
        <v>2.7356999999999998E-3</v>
      </c>
      <c r="J206" s="1415">
        <v>187.32</v>
      </c>
    </row>
    <row r="207" spans="2:10" x14ac:dyDescent="0.25">
      <c r="B207" s="1412" t="s">
        <v>698</v>
      </c>
      <c r="C207" s="1413">
        <v>2015</v>
      </c>
      <c r="D207" s="1412">
        <v>2038000</v>
      </c>
      <c r="E207" s="1414">
        <v>1688000</v>
      </c>
      <c r="F207" s="1415">
        <v>38920</v>
      </c>
      <c r="G207" s="1412">
        <v>180.61</v>
      </c>
      <c r="H207" s="1414">
        <v>0.25748300000000002</v>
      </c>
      <c r="I207" s="1414">
        <v>2.7356999999999998E-3</v>
      </c>
      <c r="J207" s="1415">
        <v>187.32</v>
      </c>
    </row>
    <row r="208" spans="2:10" x14ac:dyDescent="0.25">
      <c r="B208" s="1412" t="s">
        <v>684</v>
      </c>
      <c r="C208" s="1413">
        <v>2015</v>
      </c>
      <c r="D208" s="1412">
        <v>2038000</v>
      </c>
      <c r="E208" s="1414">
        <v>1688000</v>
      </c>
      <c r="F208" s="1415">
        <v>38920</v>
      </c>
      <c r="G208" s="1412">
        <v>180.61</v>
      </c>
      <c r="H208" s="1414">
        <v>0.25748300000000002</v>
      </c>
      <c r="I208" s="1414">
        <v>2.7356999999999998E-3</v>
      </c>
      <c r="J208" s="1415">
        <v>187.32</v>
      </c>
    </row>
    <row r="209" spans="2:10" x14ac:dyDescent="0.25">
      <c r="B209" s="1412" t="s">
        <v>1087</v>
      </c>
      <c r="C209" s="1413">
        <v>2015</v>
      </c>
      <c r="D209" s="1412">
        <v>1022000</v>
      </c>
      <c r="E209" s="1414">
        <v>1021000</v>
      </c>
      <c r="F209" s="1415">
        <v>15590</v>
      </c>
      <c r="G209" s="1412">
        <v>1.8048999999999999</v>
      </c>
      <c r="H209" s="1414">
        <v>0.14106285999999998</v>
      </c>
      <c r="I209" s="1414">
        <v>3.4603000000000001E-5</v>
      </c>
      <c r="J209" s="1415">
        <v>6.0683999999999996</v>
      </c>
    </row>
    <row r="210" spans="2:10" x14ac:dyDescent="0.25">
      <c r="B210" s="1412" t="s">
        <v>716</v>
      </c>
      <c r="C210" s="1413">
        <v>2015</v>
      </c>
      <c r="D210" s="1412">
        <v>1022000</v>
      </c>
      <c r="E210" s="1414">
        <v>1021000</v>
      </c>
      <c r="F210" s="1415">
        <v>15590</v>
      </c>
      <c r="G210" s="1412">
        <v>1.8048999999999999</v>
      </c>
      <c r="H210" s="1414">
        <v>0.14106285999999998</v>
      </c>
      <c r="I210" s="1414">
        <v>3.4603000000000001E-5</v>
      </c>
      <c r="J210" s="1415">
        <v>6.0683999999999996</v>
      </c>
    </row>
    <row r="211" spans="2:10" x14ac:dyDescent="0.25">
      <c r="B211" s="1412" t="s">
        <v>717</v>
      </c>
      <c r="C211" s="1413">
        <v>2015</v>
      </c>
      <c r="D211" s="1412">
        <v>1022000</v>
      </c>
      <c r="E211" s="1414">
        <v>1021000</v>
      </c>
      <c r="F211" s="1415">
        <v>15590</v>
      </c>
      <c r="G211" s="1412">
        <v>1.8048999999999999</v>
      </c>
      <c r="H211" s="1414">
        <v>0.14106285999999998</v>
      </c>
      <c r="I211" s="1414">
        <v>3.4603000000000001E-5</v>
      </c>
      <c r="J211" s="1415">
        <v>6.0683999999999996</v>
      </c>
    </row>
    <row r="212" spans="2:10" x14ac:dyDescent="0.25">
      <c r="B212" s="1412" t="s">
        <v>912</v>
      </c>
      <c r="C212" s="1413">
        <v>2015</v>
      </c>
      <c r="D212" s="1412">
        <v>1210000</v>
      </c>
      <c r="E212" s="1414">
        <v>1204000</v>
      </c>
      <c r="F212" s="1415">
        <v>1053000</v>
      </c>
      <c r="G212" s="1412">
        <v>18.527999999999999</v>
      </c>
      <c r="H212" s="1414">
        <v>0.16494200000000001</v>
      </c>
      <c r="I212" s="1414">
        <v>2.9771000000000002E-4</v>
      </c>
      <c r="J212" s="1415">
        <v>23.579000000000001</v>
      </c>
    </row>
    <row r="213" spans="2:10" x14ac:dyDescent="0.25">
      <c r="B213" s="1412" t="s">
        <v>910</v>
      </c>
      <c r="C213" s="1413">
        <v>2015</v>
      </c>
      <c r="D213" s="1412">
        <v>1642000</v>
      </c>
      <c r="E213" s="1414">
        <v>724000</v>
      </c>
      <c r="F213" s="1415">
        <v>290600</v>
      </c>
      <c r="G213" s="1412">
        <v>41.042999999999999</v>
      </c>
      <c r="H213" s="1414">
        <v>0.1162</v>
      </c>
      <c r="I213" s="1414">
        <v>2.7609999999999999E-2</v>
      </c>
      <c r="J213" s="1415">
        <v>48.36</v>
      </c>
    </row>
    <row r="214" spans="2:10" x14ac:dyDescent="0.25">
      <c r="B214" s="1412" t="s">
        <v>913</v>
      </c>
      <c r="C214" s="1413">
        <v>2015</v>
      </c>
      <c r="D214" s="1412">
        <v>1252000</v>
      </c>
      <c r="E214" s="1414">
        <v>1245000</v>
      </c>
      <c r="F214" s="1415">
        <v>1081000</v>
      </c>
      <c r="G214" s="1412">
        <v>24.462</v>
      </c>
      <c r="H214" s="1414">
        <v>0.17067199999999999</v>
      </c>
      <c r="I214" s="1414">
        <v>3.8633E-4</v>
      </c>
      <c r="J214" s="1415">
        <v>29.811999999999998</v>
      </c>
    </row>
    <row r="215" spans="2:10" x14ac:dyDescent="0.25">
      <c r="B215" s="1412" t="s">
        <v>1081</v>
      </c>
      <c r="C215" s="1413">
        <v>2015</v>
      </c>
      <c r="D215" s="1412">
        <v>1191000</v>
      </c>
      <c r="E215" s="1414">
        <v>53390</v>
      </c>
      <c r="F215" s="1415">
        <v>29910</v>
      </c>
      <c r="G215" s="1412">
        <v>3.9701</v>
      </c>
      <c r="H215" s="1414">
        <v>8.6864999999999998E-3</v>
      </c>
      <c r="I215" s="1414">
        <v>-3.8232459999999998E-3</v>
      </c>
      <c r="J215" s="1415">
        <v>3.2326999999999999</v>
      </c>
    </row>
    <row r="216" spans="2:10" x14ac:dyDescent="0.25">
      <c r="B216" s="1412" t="s">
        <v>815</v>
      </c>
      <c r="C216" s="1413">
        <v>2015</v>
      </c>
      <c r="D216" s="1412">
        <v>1191000</v>
      </c>
      <c r="E216" s="1414">
        <v>53390</v>
      </c>
      <c r="F216" s="1415">
        <v>29910</v>
      </c>
      <c r="G216" s="1412">
        <v>3.9701</v>
      </c>
      <c r="H216" s="1414">
        <v>8.6864999999999998E-3</v>
      </c>
      <c r="I216" s="1414">
        <v>-3.8232459999999998E-3</v>
      </c>
      <c r="J216" s="1415">
        <v>3.2326999999999999</v>
      </c>
    </row>
    <row r="217" spans="2:10" x14ac:dyDescent="0.25">
      <c r="B217" s="1412" t="s">
        <v>824</v>
      </c>
      <c r="C217" s="1413">
        <v>2015</v>
      </c>
      <c r="D217" s="1412">
        <v>1191000</v>
      </c>
      <c r="E217" s="1414">
        <v>53390</v>
      </c>
      <c r="F217" s="1415">
        <v>29910</v>
      </c>
      <c r="G217" s="1412">
        <v>3.9701</v>
      </c>
      <c r="H217" s="1414">
        <v>8.6864999999999998E-3</v>
      </c>
      <c r="I217" s="1414">
        <v>-3.8232459999999998E-3</v>
      </c>
      <c r="J217" s="1415">
        <v>3.2326999999999999</v>
      </c>
    </row>
    <row r="218" spans="2:10" ht="13" thickBot="1" x14ac:dyDescent="0.3">
      <c r="B218" s="1416" t="s">
        <v>1088</v>
      </c>
      <c r="C218" s="1417">
        <v>2015</v>
      </c>
      <c r="D218" s="1416">
        <v>1385000</v>
      </c>
      <c r="E218" s="1418">
        <v>1384000</v>
      </c>
      <c r="F218" s="1419">
        <v>5105</v>
      </c>
      <c r="G218" s="1416">
        <v>78.707400000000007</v>
      </c>
      <c r="H218" s="1418">
        <v>0.27494000000000002</v>
      </c>
      <c r="I218" s="1418">
        <v>2.3330999999999998E-3</v>
      </c>
      <c r="J218" s="1419">
        <v>87.730800000000002</v>
      </c>
    </row>
    <row r="219" spans="2:10" x14ac:dyDescent="0.25">
      <c r="B219" s="1408" t="s">
        <v>1085</v>
      </c>
      <c r="C219" s="1409">
        <v>2020</v>
      </c>
      <c r="D219" s="1408">
        <v>1093000</v>
      </c>
      <c r="E219" s="1410">
        <v>1092000</v>
      </c>
      <c r="F219" s="1411">
        <v>3993</v>
      </c>
      <c r="G219" s="1408">
        <v>5.7995000000000001</v>
      </c>
      <c r="H219" s="1410">
        <v>0.18462100000000001</v>
      </c>
      <c r="I219" s="1410">
        <v>8.6209999999999998E-4</v>
      </c>
      <c r="J219" s="1411">
        <v>11.6227</v>
      </c>
    </row>
    <row r="220" spans="2:10" x14ac:dyDescent="0.25">
      <c r="B220" s="1412" t="s">
        <v>283</v>
      </c>
      <c r="C220" s="1413">
        <v>2020</v>
      </c>
      <c r="D220" s="1412">
        <v>1093000</v>
      </c>
      <c r="E220" s="1414">
        <v>1092000</v>
      </c>
      <c r="F220" s="1415">
        <v>3993</v>
      </c>
      <c r="G220" s="1412">
        <v>5.7995000000000001</v>
      </c>
      <c r="H220" s="1414">
        <v>0.18462100000000001</v>
      </c>
      <c r="I220" s="1414">
        <v>8.6209999999999998E-4</v>
      </c>
      <c r="J220" s="1415">
        <v>11.6227</v>
      </c>
    </row>
    <row r="221" spans="2:10" x14ac:dyDescent="0.25">
      <c r="B221" s="1412" t="s">
        <v>1086</v>
      </c>
      <c r="C221" s="1413">
        <v>2020</v>
      </c>
      <c r="D221" s="1412">
        <v>1093000</v>
      </c>
      <c r="E221" s="1414">
        <v>1092000</v>
      </c>
      <c r="F221" s="1415">
        <v>3993</v>
      </c>
      <c r="G221" s="1412">
        <v>5.7995000000000001</v>
      </c>
      <c r="H221" s="1414">
        <v>0.18462100000000001</v>
      </c>
      <c r="I221" s="1414">
        <v>8.6209999999999998E-4</v>
      </c>
      <c r="J221" s="1415">
        <v>11.6227</v>
      </c>
    </row>
    <row r="222" spans="2:10" x14ac:dyDescent="0.25">
      <c r="B222" s="1412" t="s">
        <v>681</v>
      </c>
      <c r="C222" s="1413">
        <v>2020</v>
      </c>
      <c r="D222" s="1412">
        <v>1093000</v>
      </c>
      <c r="E222" s="1414">
        <v>1092000</v>
      </c>
      <c r="F222" s="1415">
        <v>3993</v>
      </c>
      <c r="G222" s="1412">
        <v>5.7995000000000001</v>
      </c>
      <c r="H222" s="1414">
        <v>0.18462100000000001</v>
      </c>
      <c r="I222" s="1414">
        <v>8.6209999999999998E-4</v>
      </c>
      <c r="J222" s="1415">
        <v>11.6227</v>
      </c>
    </row>
    <row r="223" spans="2:10" x14ac:dyDescent="0.25">
      <c r="B223" s="1412" t="s">
        <v>682</v>
      </c>
      <c r="C223" s="1413">
        <v>2020</v>
      </c>
      <c r="D223" s="1412">
        <v>-1185000</v>
      </c>
      <c r="E223" s="1414">
        <v>0</v>
      </c>
      <c r="F223" s="1415">
        <v>0</v>
      </c>
      <c r="G223" s="1412">
        <v>-85.800000000000011</v>
      </c>
      <c r="H223" s="1414">
        <v>0.54700000000000004</v>
      </c>
      <c r="I223" s="1414">
        <v>-1.8286999999999999E-3</v>
      </c>
      <c r="J223" s="1415">
        <v>-70.08</v>
      </c>
    </row>
    <row r="224" spans="2:10" x14ac:dyDescent="0.25">
      <c r="B224" s="1412" t="s">
        <v>683</v>
      </c>
      <c r="C224" s="1413">
        <v>2020</v>
      </c>
      <c r="D224" s="1412">
        <v>1866000</v>
      </c>
      <c r="E224" s="1414">
        <v>1484000</v>
      </c>
      <c r="F224" s="1415">
        <v>26490</v>
      </c>
      <c r="G224" s="1412">
        <v>161.61000000000001</v>
      </c>
      <c r="H224" s="1414">
        <v>0.22423899999999999</v>
      </c>
      <c r="I224" s="1414">
        <v>2.4153E-3</v>
      </c>
      <c r="J224" s="1415">
        <v>168.06</v>
      </c>
    </row>
    <row r="225" spans="2:10" x14ac:dyDescent="0.25">
      <c r="B225" s="1412" t="s">
        <v>698</v>
      </c>
      <c r="C225" s="1413">
        <v>2020</v>
      </c>
      <c r="D225" s="1412">
        <v>1866000</v>
      </c>
      <c r="E225" s="1414">
        <v>1484000</v>
      </c>
      <c r="F225" s="1415">
        <v>26490</v>
      </c>
      <c r="G225" s="1412">
        <v>161.61000000000001</v>
      </c>
      <c r="H225" s="1414">
        <v>0.22423899999999999</v>
      </c>
      <c r="I225" s="1414">
        <v>2.4153E-3</v>
      </c>
      <c r="J225" s="1415">
        <v>168.06</v>
      </c>
    </row>
    <row r="226" spans="2:10" x14ac:dyDescent="0.25">
      <c r="B226" s="1412" t="s">
        <v>684</v>
      </c>
      <c r="C226" s="1413">
        <v>2020</v>
      </c>
      <c r="D226" s="1412">
        <v>1866000</v>
      </c>
      <c r="E226" s="1414">
        <v>1484000</v>
      </c>
      <c r="F226" s="1415">
        <v>26490</v>
      </c>
      <c r="G226" s="1412">
        <v>161.61000000000001</v>
      </c>
      <c r="H226" s="1414">
        <v>0.22423899999999999</v>
      </c>
      <c r="I226" s="1414">
        <v>2.4153E-3</v>
      </c>
      <c r="J226" s="1415">
        <v>168.06</v>
      </c>
    </row>
    <row r="227" spans="2:10" x14ac:dyDescent="0.25">
      <c r="B227" s="1412" t="s">
        <v>1087</v>
      </c>
      <c r="C227" s="1413">
        <v>2020</v>
      </c>
      <c r="D227" s="1412">
        <v>1022000</v>
      </c>
      <c r="E227" s="1414">
        <v>1021000</v>
      </c>
      <c r="F227" s="1415">
        <v>15530</v>
      </c>
      <c r="G227" s="1412">
        <v>1.7706</v>
      </c>
      <c r="H227" s="1414">
        <v>0.14096106</v>
      </c>
      <c r="I227" s="1414">
        <v>3.4058000000000005E-5</v>
      </c>
      <c r="J227" s="1415">
        <v>6.0322999999999993</v>
      </c>
    </row>
    <row r="228" spans="2:10" x14ac:dyDescent="0.25">
      <c r="B228" s="1412" t="s">
        <v>716</v>
      </c>
      <c r="C228" s="1413">
        <v>2020</v>
      </c>
      <c r="D228" s="1412">
        <v>1022000</v>
      </c>
      <c r="E228" s="1414">
        <v>1021000</v>
      </c>
      <c r="F228" s="1415">
        <v>15530</v>
      </c>
      <c r="G228" s="1412">
        <v>1.7706</v>
      </c>
      <c r="H228" s="1414">
        <v>0.14096106</v>
      </c>
      <c r="I228" s="1414">
        <v>3.4058000000000005E-5</v>
      </c>
      <c r="J228" s="1415">
        <v>6.0322999999999993</v>
      </c>
    </row>
    <row r="229" spans="2:10" x14ac:dyDescent="0.25">
      <c r="B229" s="1412" t="s">
        <v>717</v>
      </c>
      <c r="C229" s="1413">
        <v>2020</v>
      </c>
      <c r="D229" s="1412">
        <v>1022000</v>
      </c>
      <c r="E229" s="1414">
        <v>1021000</v>
      </c>
      <c r="F229" s="1415">
        <v>15530</v>
      </c>
      <c r="G229" s="1412">
        <v>1.7706</v>
      </c>
      <c r="H229" s="1414">
        <v>0.14096106</v>
      </c>
      <c r="I229" s="1414">
        <v>3.4058000000000005E-5</v>
      </c>
      <c r="J229" s="1415">
        <v>6.0322999999999993</v>
      </c>
    </row>
    <row r="230" spans="2:10" x14ac:dyDescent="0.25">
      <c r="B230" s="1412" t="s">
        <v>912</v>
      </c>
      <c r="C230" s="1413">
        <v>2020</v>
      </c>
      <c r="D230" s="1412">
        <v>1211000</v>
      </c>
      <c r="E230" s="1414">
        <v>1205000</v>
      </c>
      <c r="F230" s="1415">
        <v>1052000</v>
      </c>
      <c r="G230" s="1412">
        <v>18.605999999999998</v>
      </c>
      <c r="H230" s="1414">
        <v>0.162991</v>
      </c>
      <c r="I230" s="1414">
        <v>3.0018999999999998E-4</v>
      </c>
      <c r="J230" s="1415">
        <v>23.607999999999997</v>
      </c>
    </row>
    <row r="231" spans="2:10" x14ac:dyDescent="0.25">
      <c r="B231" s="1412" t="s">
        <v>910</v>
      </c>
      <c r="C231" s="1413">
        <v>2020</v>
      </c>
      <c r="D231" s="1412">
        <v>1591000</v>
      </c>
      <c r="E231" s="1414">
        <v>703100</v>
      </c>
      <c r="F231" s="1415">
        <v>286400</v>
      </c>
      <c r="G231" s="1412">
        <v>39.366999999999997</v>
      </c>
      <c r="H231" s="1414">
        <v>0.11210000000000001</v>
      </c>
      <c r="I231" s="1414">
        <v>2.5360000000000001E-2</v>
      </c>
      <c r="J231" s="1415">
        <v>46.16</v>
      </c>
    </row>
    <row r="232" spans="2:10" x14ac:dyDescent="0.25">
      <c r="B232" s="1412" t="s">
        <v>913</v>
      </c>
      <c r="C232" s="1413">
        <v>2020</v>
      </c>
      <c r="D232" s="1412">
        <v>1252000</v>
      </c>
      <c r="E232" s="1414">
        <v>1245000</v>
      </c>
      <c r="F232" s="1415">
        <v>1078000</v>
      </c>
      <c r="G232" s="1412">
        <v>24.533999999999999</v>
      </c>
      <c r="H232" s="1414">
        <v>0.16861900000000002</v>
      </c>
      <c r="I232" s="1414">
        <v>3.8906999999999999E-4</v>
      </c>
      <c r="J232" s="1415">
        <v>29.833999999999996</v>
      </c>
    </row>
    <row r="233" spans="2:10" x14ac:dyDescent="0.25">
      <c r="B233" s="1412" t="s">
        <v>1081</v>
      </c>
      <c r="C233" s="1413">
        <v>2020</v>
      </c>
      <c r="D233" s="1412">
        <v>1190000</v>
      </c>
      <c r="E233" s="1414">
        <v>52190</v>
      </c>
      <c r="F233" s="1415">
        <v>29260</v>
      </c>
      <c r="G233" s="1412">
        <v>3.8701999999999996</v>
      </c>
      <c r="H233" s="1414">
        <v>8.4535000000000009E-3</v>
      </c>
      <c r="I233" s="1414">
        <v>-3.824488E-3</v>
      </c>
      <c r="J233" s="1415">
        <v>3.1251000000000002</v>
      </c>
    </row>
    <row r="234" spans="2:10" x14ac:dyDescent="0.25">
      <c r="B234" s="1412" t="s">
        <v>815</v>
      </c>
      <c r="C234" s="1413">
        <v>2020</v>
      </c>
      <c r="D234" s="1412">
        <v>1190000</v>
      </c>
      <c r="E234" s="1414">
        <v>52190</v>
      </c>
      <c r="F234" s="1415">
        <v>29260</v>
      </c>
      <c r="G234" s="1412">
        <v>3.8701999999999996</v>
      </c>
      <c r="H234" s="1414">
        <v>8.4535000000000009E-3</v>
      </c>
      <c r="I234" s="1414">
        <v>-3.824488E-3</v>
      </c>
      <c r="J234" s="1415">
        <v>3.1251000000000002</v>
      </c>
    </row>
    <row r="235" spans="2:10" x14ac:dyDescent="0.25">
      <c r="B235" s="1412" t="s">
        <v>824</v>
      </c>
      <c r="C235" s="1413">
        <v>2020</v>
      </c>
      <c r="D235" s="1412">
        <v>1190000</v>
      </c>
      <c r="E235" s="1414">
        <v>52190</v>
      </c>
      <c r="F235" s="1415">
        <v>29260</v>
      </c>
      <c r="G235" s="1412">
        <v>3.8701999999999996</v>
      </c>
      <c r="H235" s="1414">
        <v>8.4535000000000009E-3</v>
      </c>
      <c r="I235" s="1414">
        <v>-3.824488E-3</v>
      </c>
      <c r="J235" s="1415">
        <v>3.1251000000000002</v>
      </c>
    </row>
    <row r="236" spans="2:10" ht="13" thickBot="1" x14ac:dyDescent="0.3">
      <c r="B236" s="1416" t="s">
        <v>1088</v>
      </c>
      <c r="C236" s="1417">
        <v>2020</v>
      </c>
      <c r="D236" s="1416">
        <v>1384000</v>
      </c>
      <c r="E236" s="1418">
        <v>1384000</v>
      </c>
      <c r="F236" s="1419">
        <v>5066</v>
      </c>
      <c r="G236" s="1416">
        <v>78.656899999999993</v>
      </c>
      <c r="H236" s="1418">
        <v>0.27494000000000002</v>
      </c>
      <c r="I236" s="1418">
        <v>2.3319E-3</v>
      </c>
      <c r="J236" s="1419">
        <v>87.680599999999998</v>
      </c>
    </row>
    <row r="237" spans="2:10" x14ac:dyDescent="0.25">
      <c r="B237" s="1408" t="s">
        <v>1085</v>
      </c>
      <c r="C237" s="1409">
        <v>2025</v>
      </c>
      <c r="D237" s="1408">
        <v>1093000</v>
      </c>
      <c r="E237" s="1410">
        <v>1092000</v>
      </c>
      <c r="F237" s="1411">
        <v>3984</v>
      </c>
      <c r="G237" s="1408">
        <v>5.7702</v>
      </c>
      <c r="H237" s="1410">
        <v>0.18462100000000001</v>
      </c>
      <c r="I237" s="1410">
        <v>8.6159999999999991E-4</v>
      </c>
      <c r="J237" s="1411">
        <v>11.5953</v>
      </c>
    </row>
    <row r="238" spans="2:10" x14ac:dyDescent="0.25">
      <c r="B238" s="1412" t="s">
        <v>283</v>
      </c>
      <c r="C238" s="1413">
        <v>2025</v>
      </c>
      <c r="D238" s="1412">
        <v>1093000</v>
      </c>
      <c r="E238" s="1414">
        <v>1092000</v>
      </c>
      <c r="F238" s="1415">
        <v>3984</v>
      </c>
      <c r="G238" s="1412">
        <v>5.7702</v>
      </c>
      <c r="H238" s="1414">
        <v>0.18462100000000001</v>
      </c>
      <c r="I238" s="1414">
        <v>8.6159999999999991E-4</v>
      </c>
      <c r="J238" s="1415">
        <v>11.5953</v>
      </c>
    </row>
    <row r="239" spans="2:10" x14ac:dyDescent="0.25">
      <c r="B239" s="1412" t="s">
        <v>1086</v>
      </c>
      <c r="C239" s="1413">
        <v>2025</v>
      </c>
      <c r="D239" s="1412">
        <v>1093000</v>
      </c>
      <c r="E239" s="1414">
        <v>1092000</v>
      </c>
      <c r="F239" s="1415">
        <v>3984</v>
      </c>
      <c r="G239" s="1412">
        <v>5.7702</v>
      </c>
      <c r="H239" s="1414">
        <v>0.18462100000000001</v>
      </c>
      <c r="I239" s="1414">
        <v>8.6159999999999991E-4</v>
      </c>
      <c r="J239" s="1415">
        <v>11.5953</v>
      </c>
    </row>
    <row r="240" spans="2:10" x14ac:dyDescent="0.25">
      <c r="B240" s="1412" t="s">
        <v>681</v>
      </c>
      <c r="C240" s="1413">
        <v>2025</v>
      </c>
      <c r="D240" s="1412">
        <v>1093000</v>
      </c>
      <c r="E240" s="1414">
        <v>1092000</v>
      </c>
      <c r="F240" s="1415">
        <v>3984</v>
      </c>
      <c r="G240" s="1412">
        <v>5.7702</v>
      </c>
      <c r="H240" s="1414">
        <v>0.18462100000000001</v>
      </c>
      <c r="I240" s="1414">
        <v>8.6159999999999991E-4</v>
      </c>
      <c r="J240" s="1415">
        <v>11.5953</v>
      </c>
    </row>
    <row r="241" spans="2:10" x14ac:dyDescent="0.25">
      <c r="B241" s="1412" t="s">
        <v>682</v>
      </c>
      <c r="C241" s="1413">
        <v>2025</v>
      </c>
      <c r="D241" s="1412">
        <v>-1185000</v>
      </c>
      <c r="E241" s="1414">
        <v>0</v>
      </c>
      <c r="F241" s="1415">
        <v>0</v>
      </c>
      <c r="G241" s="1412">
        <v>-85.800000000000011</v>
      </c>
      <c r="H241" s="1414">
        <v>0.54700000000000004</v>
      </c>
      <c r="I241" s="1414">
        <v>-1.8286999999999999E-3</v>
      </c>
      <c r="J241" s="1415">
        <v>-70.08</v>
      </c>
    </row>
    <row r="242" spans="2:10" x14ac:dyDescent="0.25">
      <c r="B242" s="1412" t="s">
        <v>683</v>
      </c>
      <c r="C242" s="1413">
        <v>2025</v>
      </c>
      <c r="D242" s="1412">
        <v>1787000</v>
      </c>
      <c r="E242" s="1414">
        <v>1356000</v>
      </c>
      <c r="F242" s="1415">
        <v>23200</v>
      </c>
      <c r="G242" s="1412">
        <v>145.11000000000001</v>
      </c>
      <c r="H242" s="1414">
        <v>0.20658799999999999</v>
      </c>
      <c r="I242" s="1414">
        <v>2.1538999999999998E-3</v>
      </c>
      <c r="J242" s="1415">
        <v>150.89999999999998</v>
      </c>
    </row>
    <row r="243" spans="2:10" x14ac:dyDescent="0.25">
      <c r="B243" s="1412" t="s">
        <v>698</v>
      </c>
      <c r="C243" s="1413">
        <v>2025</v>
      </c>
      <c r="D243" s="1412">
        <v>1787000</v>
      </c>
      <c r="E243" s="1414">
        <v>1356000</v>
      </c>
      <c r="F243" s="1415">
        <v>23200</v>
      </c>
      <c r="G243" s="1412">
        <v>145.11000000000001</v>
      </c>
      <c r="H243" s="1414">
        <v>0.20658799999999999</v>
      </c>
      <c r="I243" s="1414">
        <v>2.1538999999999998E-3</v>
      </c>
      <c r="J243" s="1415">
        <v>150.89999999999998</v>
      </c>
    </row>
    <row r="244" spans="2:10" x14ac:dyDescent="0.25">
      <c r="B244" s="1412" t="s">
        <v>684</v>
      </c>
      <c r="C244" s="1413">
        <v>2025</v>
      </c>
      <c r="D244" s="1412">
        <v>1787000</v>
      </c>
      <c r="E244" s="1414">
        <v>1356000</v>
      </c>
      <c r="F244" s="1415">
        <v>23200</v>
      </c>
      <c r="G244" s="1412">
        <v>145.11000000000001</v>
      </c>
      <c r="H244" s="1414">
        <v>0.20658799999999999</v>
      </c>
      <c r="I244" s="1414">
        <v>2.1538999999999998E-3</v>
      </c>
      <c r="J244" s="1415">
        <v>150.89999999999998</v>
      </c>
    </row>
    <row r="245" spans="2:10" x14ac:dyDescent="0.25">
      <c r="B245" s="1412" t="s">
        <v>1087</v>
      </c>
      <c r="C245" s="1413">
        <v>2025</v>
      </c>
      <c r="D245" s="1412">
        <v>1022000</v>
      </c>
      <c r="E245" s="1414">
        <v>1021000</v>
      </c>
      <c r="F245" s="1415">
        <v>15530</v>
      </c>
      <c r="G245" s="1412">
        <v>1.7374000000000001</v>
      </c>
      <c r="H245" s="1414">
        <v>0.14096106999999999</v>
      </c>
      <c r="I245" s="1414">
        <v>3.3522000000000002E-5</v>
      </c>
      <c r="J245" s="1415">
        <v>5.9969999999999999</v>
      </c>
    </row>
    <row r="246" spans="2:10" x14ac:dyDescent="0.25">
      <c r="B246" s="1412" t="s">
        <v>716</v>
      </c>
      <c r="C246" s="1413">
        <v>2025</v>
      </c>
      <c r="D246" s="1412">
        <v>1022000</v>
      </c>
      <c r="E246" s="1414">
        <v>1021000</v>
      </c>
      <c r="F246" s="1415">
        <v>15530</v>
      </c>
      <c r="G246" s="1412">
        <v>1.7374000000000001</v>
      </c>
      <c r="H246" s="1414">
        <v>0.14096106999999999</v>
      </c>
      <c r="I246" s="1414">
        <v>3.3522000000000002E-5</v>
      </c>
      <c r="J246" s="1415">
        <v>5.9969999999999999</v>
      </c>
    </row>
    <row r="247" spans="2:10" x14ac:dyDescent="0.25">
      <c r="B247" s="1412" t="s">
        <v>717</v>
      </c>
      <c r="C247" s="1413">
        <v>2025</v>
      </c>
      <c r="D247" s="1412">
        <v>1022000</v>
      </c>
      <c r="E247" s="1414">
        <v>1021000</v>
      </c>
      <c r="F247" s="1415">
        <v>15530</v>
      </c>
      <c r="G247" s="1412">
        <v>1.7374000000000001</v>
      </c>
      <c r="H247" s="1414">
        <v>0.14096106999999999</v>
      </c>
      <c r="I247" s="1414">
        <v>3.3522000000000002E-5</v>
      </c>
      <c r="J247" s="1415">
        <v>5.9969999999999999</v>
      </c>
    </row>
    <row r="248" spans="2:10" x14ac:dyDescent="0.25">
      <c r="B248" s="1412" t="s">
        <v>912</v>
      </c>
      <c r="C248" s="1413">
        <v>2025</v>
      </c>
      <c r="D248" s="1412">
        <v>1210000</v>
      </c>
      <c r="E248" s="1414">
        <v>1203000</v>
      </c>
      <c r="F248" s="1415">
        <v>1052000</v>
      </c>
      <c r="G248" s="1412">
        <v>18.323</v>
      </c>
      <c r="H248" s="1414">
        <v>0.16309799999999999</v>
      </c>
      <c r="I248" s="1414">
        <v>2.9605000000000001E-4</v>
      </c>
      <c r="J248" s="1415">
        <v>23.334</v>
      </c>
    </row>
    <row r="249" spans="2:10" x14ac:dyDescent="0.25">
      <c r="B249" s="1412" t="s">
        <v>910</v>
      </c>
      <c r="C249" s="1413">
        <v>2025</v>
      </c>
      <c r="D249" s="1412">
        <v>1588000</v>
      </c>
      <c r="E249" s="1414">
        <v>698600</v>
      </c>
      <c r="F249" s="1415">
        <v>286300</v>
      </c>
      <c r="G249" s="1412">
        <v>38.775999999999996</v>
      </c>
      <c r="H249" s="1414">
        <v>0.1116</v>
      </c>
      <c r="I249" s="1414">
        <v>2.5360000000000001E-2</v>
      </c>
      <c r="J249" s="1415">
        <v>45.71</v>
      </c>
    </row>
    <row r="250" spans="2:10" x14ac:dyDescent="0.25">
      <c r="B250" s="1412" t="s">
        <v>913</v>
      </c>
      <c r="C250" s="1413">
        <v>2025</v>
      </c>
      <c r="D250" s="1412">
        <v>1251000</v>
      </c>
      <c r="E250" s="1414">
        <v>1243000</v>
      </c>
      <c r="F250" s="1415">
        <v>1078000</v>
      </c>
      <c r="G250" s="1412">
        <v>24.223999999999997</v>
      </c>
      <c r="H250" s="1414">
        <v>0.16872600000000001</v>
      </c>
      <c r="I250" s="1414">
        <v>3.8451000000000002E-4</v>
      </c>
      <c r="J250" s="1415">
        <v>29.523000000000003</v>
      </c>
    </row>
    <row r="251" spans="2:10" x14ac:dyDescent="0.25">
      <c r="B251" s="1412" t="s">
        <v>1081</v>
      </c>
      <c r="C251" s="1413">
        <v>2025</v>
      </c>
      <c r="D251" s="1412">
        <v>1190000</v>
      </c>
      <c r="E251" s="1414">
        <v>51790</v>
      </c>
      <c r="F251" s="1415">
        <v>29250</v>
      </c>
      <c r="G251" s="1412">
        <v>3.8201000000000001</v>
      </c>
      <c r="H251" s="1414">
        <v>8.410599999999999E-3</v>
      </c>
      <c r="I251" s="1414">
        <v>-3.8247120000000001E-3</v>
      </c>
      <c r="J251" s="1415">
        <v>3.0718000000000001</v>
      </c>
    </row>
    <row r="252" spans="2:10" x14ac:dyDescent="0.25">
      <c r="B252" s="1412" t="s">
        <v>815</v>
      </c>
      <c r="C252" s="1413">
        <v>2025</v>
      </c>
      <c r="D252" s="1412">
        <v>1190000</v>
      </c>
      <c r="E252" s="1414">
        <v>51790</v>
      </c>
      <c r="F252" s="1415">
        <v>29250</v>
      </c>
      <c r="G252" s="1412">
        <v>3.8201000000000001</v>
      </c>
      <c r="H252" s="1414">
        <v>8.410599999999999E-3</v>
      </c>
      <c r="I252" s="1414">
        <v>-3.8247120000000001E-3</v>
      </c>
      <c r="J252" s="1415">
        <v>3.0718000000000001</v>
      </c>
    </row>
    <row r="253" spans="2:10" x14ac:dyDescent="0.25">
      <c r="B253" s="1412" t="s">
        <v>824</v>
      </c>
      <c r="C253" s="1413">
        <v>2025</v>
      </c>
      <c r="D253" s="1412">
        <v>1190000</v>
      </c>
      <c r="E253" s="1414">
        <v>51790</v>
      </c>
      <c r="F253" s="1415">
        <v>29250</v>
      </c>
      <c r="G253" s="1412">
        <v>3.8201000000000001</v>
      </c>
      <c r="H253" s="1414">
        <v>8.410599999999999E-3</v>
      </c>
      <c r="I253" s="1414">
        <v>-3.8247120000000001E-3</v>
      </c>
      <c r="J253" s="1415">
        <v>3.0718000000000001</v>
      </c>
    </row>
    <row r="254" spans="2:10" ht="13" thickBot="1" x14ac:dyDescent="0.3">
      <c r="B254" s="1416" t="s">
        <v>1088</v>
      </c>
      <c r="C254" s="1417">
        <v>2025</v>
      </c>
      <c r="D254" s="1416">
        <v>1384000</v>
      </c>
      <c r="E254" s="1418">
        <v>1383000</v>
      </c>
      <c r="F254" s="1419">
        <v>5053</v>
      </c>
      <c r="G254" s="1416">
        <v>78.616100000000003</v>
      </c>
      <c r="H254" s="1418">
        <v>0.27494000000000002</v>
      </c>
      <c r="I254" s="1418">
        <v>2.3316999999999999E-3</v>
      </c>
      <c r="J254" s="1419">
        <v>87.639700000000005</v>
      </c>
    </row>
    <row r="255" spans="2:10" x14ac:dyDescent="0.25">
      <c r="B255" s="1408" t="s">
        <v>1085</v>
      </c>
      <c r="C255" s="1409">
        <v>2030</v>
      </c>
      <c r="D255" s="1408">
        <v>1092000</v>
      </c>
      <c r="E255" s="1410">
        <v>1092000</v>
      </c>
      <c r="F255" s="1411">
        <v>3981</v>
      </c>
      <c r="G255" s="1408">
        <v>5.7552000000000003</v>
      </c>
      <c r="H255" s="1410">
        <v>0.18462100000000001</v>
      </c>
      <c r="I255" s="1410">
        <v>8.6129999999999996E-4</v>
      </c>
      <c r="J255" s="1411">
        <v>11.5802</v>
      </c>
    </row>
    <row r="256" spans="2:10" x14ac:dyDescent="0.25">
      <c r="B256" s="1412" t="s">
        <v>283</v>
      </c>
      <c r="C256" s="1413">
        <v>2030</v>
      </c>
      <c r="D256" s="1412">
        <v>1092000</v>
      </c>
      <c r="E256" s="1414">
        <v>1092000</v>
      </c>
      <c r="F256" s="1415">
        <v>3981</v>
      </c>
      <c r="G256" s="1412">
        <v>5.7552000000000003</v>
      </c>
      <c r="H256" s="1414">
        <v>0.18462100000000001</v>
      </c>
      <c r="I256" s="1414">
        <v>8.6129999999999996E-4</v>
      </c>
      <c r="J256" s="1415">
        <v>11.5802</v>
      </c>
    </row>
    <row r="257" spans="2:10" x14ac:dyDescent="0.25">
      <c r="B257" s="1412" t="s">
        <v>1086</v>
      </c>
      <c r="C257" s="1413">
        <v>2030</v>
      </c>
      <c r="D257" s="1412">
        <v>1092000</v>
      </c>
      <c r="E257" s="1414">
        <v>1092000</v>
      </c>
      <c r="F257" s="1415">
        <v>3981</v>
      </c>
      <c r="G257" s="1412">
        <v>5.7552000000000003</v>
      </c>
      <c r="H257" s="1414">
        <v>0.18462100000000001</v>
      </c>
      <c r="I257" s="1414">
        <v>8.6129999999999996E-4</v>
      </c>
      <c r="J257" s="1415">
        <v>11.5802</v>
      </c>
    </row>
    <row r="258" spans="2:10" x14ac:dyDescent="0.25">
      <c r="B258" s="1412" t="s">
        <v>681</v>
      </c>
      <c r="C258" s="1413">
        <v>2030</v>
      </c>
      <c r="D258" s="1412">
        <v>1092000</v>
      </c>
      <c r="E258" s="1414">
        <v>1092000</v>
      </c>
      <c r="F258" s="1415">
        <v>3981</v>
      </c>
      <c r="G258" s="1412">
        <v>5.7552000000000003</v>
      </c>
      <c r="H258" s="1414">
        <v>0.18462100000000001</v>
      </c>
      <c r="I258" s="1414">
        <v>8.6129999999999996E-4</v>
      </c>
      <c r="J258" s="1415">
        <v>11.5802</v>
      </c>
    </row>
    <row r="259" spans="2:10" x14ac:dyDescent="0.25">
      <c r="B259" s="1412" t="s">
        <v>682</v>
      </c>
      <c r="C259" s="1413">
        <v>2030</v>
      </c>
      <c r="D259" s="1412">
        <v>-1185000</v>
      </c>
      <c r="E259" s="1414">
        <v>0</v>
      </c>
      <c r="F259" s="1415">
        <v>0</v>
      </c>
      <c r="G259" s="1412">
        <v>-85.800000000000011</v>
      </c>
      <c r="H259" s="1414">
        <v>0.54700000000000004</v>
      </c>
      <c r="I259" s="1414">
        <v>-1.8286999999999999E-3</v>
      </c>
      <c r="J259" s="1415">
        <v>-70.08</v>
      </c>
    </row>
    <row r="260" spans="2:10" x14ac:dyDescent="0.25">
      <c r="B260" s="1412" t="s">
        <v>683</v>
      </c>
      <c r="C260" s="1413">
        <v>2030</v>
      </c>
      <c r="D260" s="1412">
        <v>1749000</v>
      </c>
      <c r="E260" s="1414">
        <v>1310000</v>
      </c>
      <c r="F260" s="1415">
        <v>19790</v>
      </c>
      <c r="G260" s="1412">
        <v>134.88</v>
      </c>
      <c r="H260" s="1414">
        <v>0.20275799999999999</v>
      </c>
      <c r="I260" s="1414">
        <v>1.9713E-3</v>
      </c>
      <c r="J260" s="1415">
        <v>140.09</v>
      </c>
    </row>
    <row r="261" spans="2:10" x14ac:dyDescent="0.25">
      <c r="B261" s="1412" t="s">
        <v>698</v>
      </c>
      <c r="C261" s="1413">
        <v>2030</v>
      </c>
      <c r="D261" s="1412">
        <v>1749000</v>
      </c>
      <c r="E261" s="1414">
        <v>1310000</v>
      </c>
      <c r="F261" s="1415">
        <v>19790</v>
      </c>
      <c r="G261" s="1412">
        <v>134.88</v>
      </c>
      <c r="H261" s="1414">
        <v>0.20275799999999999</v>
      </c>
      <c r="I261" s="1414">
        <v>1.9713E-3</v>
      </c>
      <c r="J261" s="1415">
        <v>140.09</v>
      </c>
    </row>
    <row r="262" spans="2:10" x14ac:dyDescent="0.25">
      <c r="B262" s="1412" t="s">
        <v>684</v>
      </c>
      <c r="C262" s="1413">
        <v>2030</v>
      </c>
      <c r="D262" s="1412">
        <v>1749000</v>
      </c>
      <c r="E262" s="1414">
        <v>1310000</v>
      </c>
      <c r="F262" s="1415">
        <v>19790</v>
      </c>
      <c r="G262" s="1412">
        <v>134.88</v>
      </c>
      <c r="H262" s="1414">
        <v>0.20275799999999999</v>
      </c>
      <c r="I262" s="1414">
        <v>1.9713E-3</v>
      </c>
      <c r="J262" s="1415">
        <v>140.09</v>
      </c>
    </row>
    <row r="263" spans="2:10" x14ac:dyDescent="0.25">
      <c r="B263" s="1412" t="s">
        <v>1087</v>
      </c>
      <c r="C263" s="1413">
        <v>2030</v>
      </c>
      <c r="D263" s="1412">
        <v>1022000</v>
      </c>
      <c r="E263" s="1414">
        <v>1021000</v>
      </c>
      <c r="F263" s="1415">
        <v>15520</v>
      </c>
      <c r="G263" s="1412">
        <v>1.716</v>
      </c>
      <c r="H263" s="1414">
        <v>0.14096175</v>
      </c>
      <c r="I263" s="1414">
        <v>3.3149000000000004E-5</v>
      </c>
      <c r="J263" s="1415">
        <v>5.9754000000000005</v>
      </c>
    </row>
    <row r="264" spans="2:10" x14ac:dyDescent="0.25">
      <c r="B264" s="1412" t="s">
        <v>716</v>
      </c>
      <c r="C264" s="1413">
        <v>2030</v>
      </c>
      <c r="D264" s="1412">
        <v>1022000</v>
      </c>
      <c r="E264" s="1414">
        <v>1021000</v>
      </c>
      <c r="F264" s="1415">
        <v>15520</v>
      </c>
      <c r="G264" s="1412">
        <v>1.716</v>
      </c>
      <c r="H264" s="1414">
        <v>0.14096175</v>
      </c>
      <c r="I264" s="1414">
        <v>3.3149000000000004E-5</v>
      </c>
      <c r="J264" s="1415">
        <v>5.9754000000000005</v>
      </c>
    </row>
    <row r="265" spans="2:10" x14ac:dyDescent="0.25">
      <c r="B265" s="1412" t="s">
        <v>717</v>
      </c>
      <c r="C265" s="1413">
        <v>2030</v>
      </c>
      <c r="D265" s="1412">
        <v>1022000</v>
      </c>
      <c r="E265" s="1414">
        <v>1021000</v>
      </c>
      <c r="F265" s="1415">
        <v>15520</v>
      </c>
      <c r="G265" s="1412">
        <v>1.716</v>
      </c>
      <c r="H265" s="1414">
        <v>0.14096175</v>
      </c>
      <c r="I265" s="1414">
        <v>3.3149000000000004E-5</v>
      </c>
      <c r="J265" s="1415">
        <v>5.9754000000000005</v>
      </c>
    </row>
    <row r="266" spans="2:10" x14ac:dyDescent="0.25">
      <c r="B266" s="1412" t="s">
        <v>912</v>
      </c>
      <c r="C266" s="1413">
        <v>2030</v>
      </c>
      <c r="D266" s="1412">
        <v>1209000</v>
      </c>
      <c r="E266" s="1414">
        <v>1202000</v>
      </c>
      <c r="F266" s="1415">
        <v>1052000</v>
      </c>
      <c r="G266" s="1412">
        <v>18.120999999999999</v>
      </c>
      <c r="H266" s="1414">
        <v>0.16412299999999999</v>
      </c>
      <c r="I266" s="1414">
        <v>2.9339999999999998E-4</v>
      </c>
      <c r="J266" s="1415">
        <v>23.162000000000003</v>
      </c>
    </row>
    <row r="267" spans="2:10" x14ac:dyDescent="0.25">
      <c r="B267" s="1412" t="s">
        <v>910</v>
      </c>
      <c r="C267" s="1413">
        <v>2030</v>
      </c>
      <c r="D267" s="1412">
        <v>1586000</v>
      </c>
      <c r="E267" s="1414">
        <v>697000</v>
      </c>
      <c r="F267" s="1415">
        <v>286200</v>
      </c>
      <c r="G267" s="1412">
        <v>38.404000000000003</v>
      </c>
      <c r="H267" s="1414">
        <v>0.1118</v>
      </c>
      <c r="I267" s="1414">
        <v>2.5350000000000001E-2</v>
      </c>
      <c r="J267" s="1415">
        <v>45.44</v>
      </c>
    </row>
    <row r="268" spans="2:10" x14ac:dyDescent="0.25">
      <c r="B268" s="1412" t="s">
        <v>913</v>
      </c>
      <c r="C268" s="1413">
        <v>2030</v>
      </c>
      <c r="D268" s="1412">
        <v>1250000</v>
      </c>
      <c r="E268" s="1414">
        <v>1242000</v>
      </c>
      <c r="F268" s="1415">
        <v>1078000</v>
      </c>
      <c r="G268" s="1412">
        <v>24.006999999999998</v>
      </c>
      <c r="H268" s="1414">
        <v>0.16975200000000001</v>
      </c>
      <c r="I268" s="1414">
        <v>3.8147000000000002E-4</v>
      </c>
      <c r="J268" s="1415">
        <v>29.335999999999999</v>
      </c>
    </row>
    <row r="269" spans="2:10" x14ac:dyDescent="0.25">
      <c r="B269" s="1412" t="s">
        <v>1081</v>
      </c>
      <c r="C269" s="1413">
        <v>2030</v>
      </c>
      <c r="D269" s="1412">
        <v>1190000</v>
      </c>
      <c r="E269" s="1414">
        <v>51650</v>
      </c>
      <c r="F269" s="1415">
        <v>29230</v>
      </c>
      <c r="G269" s="1412">
        <v>3.7881999999999998</v>
      </c>
      <c r="H269" s="1414">
        <v>8.4297E-3</v>
      </c>
      <c r="I269" s="1414">
        <v>-3.825901E-3</v>
      </c>
      <c r="J269" s="1415">
        <v>3.0377000000000001</v>
      </c>
    </row>
    <row r="270" spans="2:10" x14ac:dyDescent="0.25">
      <c r="B270" s="1412" t="s">
        <v>815</v>
      </c>
      <c r="C270" s="1413">
        <v>2030</v>
      </c>
      <c r="D270" s="1412">
        <v>1190000</v>
      </c>
      <c r="E270" s="1414">
        <v>51650</v>
      </c>
      <c r="F270" s="1415">
        <v>29230</v>
      </c>
      <c r="G270" s="1412">
        <v>3.7881999999999998</v>
      </c>
      <c r="H270" s="1414">
        <v>8.4297E-3</v>
      </c>
      <c r="I270" s="1414">
        <v>-3.825901E-3</v>
      </c>
      <c r="J270" s="1415">
        <v>3.0377000000000001</v>
      </c>
    </row>
    <row r="271" spans="2:10" x14ac:dyDescent="0.25">
      <c r="B271" s="1412" t="s">
        <v>824</v>
      </c>
      <c r="C271" s="1413">
        <v>2030</v>
      </c>
      <c r="D271" s="1412">
        <v>1190000</v>
      </c>
      <c r="E271" s="1414">
        <v>51650</v>
      </c>
      <c r="F271" s="1415">
        <v>29230</v>
      </c>
      <c r="G271" s="1412">
        <v>3.7881999999999998</v>
      </c>
      <c r="H271" s="1414">
        <v>8.4297E-3</v>
      </c>
      <c r="I271" s="1414">
        <v>-3.825901E-3</v>
      </c>
      <c r="J271" s="1415">
        <v>3.0377000000000001</v>
      </c>
    </row>
    <row r="272" spans="2:10" ht="13" thickBot="1" x14ac:dyDescent="0.3">
      <c r="B272" s="1416" t="s">
        <v>1088</v>
      </c>
      <c r="C272" s="1417">
        <v>2030</v>
      </c>
      <c r="D272" s="1416">
        <v>1384000</v>
      </c>
      <c r="E272" s="1418">
        <v>1383000</v>
      </c>
      <c r="F272" s="1419">
        <v>5048</v>
      </c>
      <c r="G272" s="1416">
        <v>78.598700000000008</v>
      </c>
      <c r="H272" s="1418">
        <v>0.27484000000000003</v>
      </c>
      <c r="I272" s="1418">
        <v>2.3306000000000004E-3</v>
      </c>
      <c r="J272" s="1419">
        <v>87.622100000000003</v>
      </c>
    </row>
    <row r="273" spans="2:10" x14ac:dyDescent="0.25">
      <c r="B273" s="1408" t="s">
        <v>1085</v>
      </c>
      <c r="C273" s="1409">
        <v>2035</v>
      </c>
      <c r="D273" s="1408">
        <v>1092000</v>
      </c>
      <c r="E273" s="1410">
        <v>1092000</v>
      </c>
      <c r="F273" s="1411">
        <v>3981</v>
      </c>
      <c r="G273" s="1408">
        <v>5.7552000000000003</v>
      </c>
      <c r="H273" s="1410">
        <v>0.18462100000000001</v>
      </c>
      <c r="I273" s="1410">
        <v>8.6129999999999996E-4</v>
      </c>
      <c r="J273" s="1411">
        <v>11.5802</v>
      </c>
    </row>
    <row r="274" spans="2:10" x14ac:dyDescent="0.25">
      <c r="B274" s="1412" t="s">
        <v>283</v>
      </c>
      <c r="C274" s="1413">
        <v>2035</v>
      </c>
      <c r="D274" s="1412">
        <v>1092000</v>
      </c>
      <c r="E274" s="1414">
        <v>1092000</v>
      </c>
      <c r="F274" s="1415">
        <v>3981</v>
      </c>
      <c r="G274" s="1412">
        <v>5.7552000000000003</v>
      </c>
      <c r="H274" s="1414">
        <v>0.18462100000000001</v>
      </c>
      <c r="I274" s="1414">
        <v>8.6129999999999996E-4</v>
      </c>
      <c r="J274" s="1415">
        <v>11.5802</v>
      </c>
    </row>
    <row r="275" spans="2:10" x14ac:dyDescent="0.25">
      <c r="B275" s="1412" t="s">
        <v>1086</v>
      </c>
      <c r="C275" s="1413">
        <v>2035</v>
      </c>
      <c r="D275" s="1412">
        <v>1092000</v>
      </c>
      <c r="E275" s="1414">
        <v>1092000</v>
      </c>
      <c r="F275" s="1415">
        <v>3981</v>
      </c>
      <c r="G275" s="1412">
        <v>5.7552000000000003</v>
      </c>
      <c r="H275" s="1414">
        <v>0.18462100000000001</v>
      </c>
      <c r="I275" s="1414">
        <v>8.6129999999999996E-4</v>
      </c>
      <c r="J275" s="1415">
        <v>11.5802</v>
      </c>
    </row>
    <row r="276" spans="2:10" x14ac:dyDescent="0.25">
      <c r="B276" s="1412" t="s">
        <v>681</v>
      </c>
      <c r="C276" s="1413">
        <v>2035</v>
      </c>
      <c r="D276" s="1412">
        <v>1092000</v>
      </c>
      <c r="E276" s="1414">
        <v>1092000</v>
      </c>
      <c r="F276" s="1415">
        <v>3981</v>
      </c>
      <c r="G276" s="1412">
        <v>5.7552000000000003</v>
      </c>
      <c r="H276" s="1414">
        <v>0.18462100000000001</v>
      </c>
      <c r="I276" s="1414">
        <v>8.6129999999999996E-4</v>
      </c>
      <c r="J276" s="1415">
        <v>11.5802</v>
      </c>
    </row>
    <row r="277" spans="2:10" x14ac:dyDescent="0.25">
      <c r="B277" s="1412" t="s">
        <v>682</v>
      </c>
      <c r="C277" s="1413">
        <v>2035</v>
      </c>
      <c r="D277" s="1412">
        <v>-1185000</v>
      </c>
      <c r="E277" s="1414">
        <v>0</v>
      </c>
      <c r="F277" s="1415">
        <v>0</v>
      </c>
      <c r="G277" s="1412">
        <v>-85.800000000000011</v>
      </c>
      <c r="H277" s="1414">
        <v>0.54700000000000004</v>
      </c>
      <c r="I277" s="1414">
        <v>-1.8286999999999999E-3</v>
      </c>
      <c r="J277" s="1415">
        <v>-70.08</v>
      </c>
    </row>
    <row r="278" spans="2:10" x14ac:dyDescent="0.25">
      <c r="B278" s="1412" t="s">
        <v>683</v>
      </c>
      <c r="C278" s="1413">
        <v>2035</v>
      </c>
      <c r="D278" s="1412">
        <v>1745000</v>
      </c>
      <c r="E278" s="1414">
        <v>1314000</v>
      </c>
      <c r="F278" s="1415">
        <v>18650</v>
      </c>
      <c r="G278" s="1412">
        <v>132.69</v>
      </c>
      <c r="H278" s="1414">
        <v>0.204869</v>
      </c>
      <c r="I278" s="1414">
        <v>1.9257999999999999E-3</v>
      </c>
      <c r="J278" s="1415">
        <v>137.91999999999999</v>
      </c>
    </row>
    <row r="279" spans="2:10" x14ac:dyDescent="0.25">
      <c r="B279" s="1412" t="s">
        <v>698</v>
      </c>
      <c r="C279" s="1413">
        <v>2035</v>
      </c>
      <c r="D279" s="1412">
        <v>1745000</v>
      </c>
      <c r="E279" s="1414">
        <v>1314000</v>
      </c>
      <c r="F279" s="1415">
        <v>18650</v>
      </c>
      <c r="G279" s="1412">
        <v>132.69</v>
      </c>
      <c r="H279" s="1414">
        <v>0.204869</v>
      </c>
      <c r="I279" s="1414">
        <v>1.9257999999999999E-3</v>
      </c>
      <c r="J279" s="1415">
        <v>137.91999999999999</v>
      </c>
    </row>
    <row r="280" spans="2:10" x14ac:dyDescent="0.25">
      <c r="B280" s="1412" t="s">
        <v>684</v>
      </c>
      <c r="C280" s="1413">
        <v>2035</v>
      </c>
      <c r="D280" s="1412">
        <v>1745000</v>
      </c>
      <c r="E280" s="1414">
        <v>1314000</v>
      </c>
      <c r="F280" s="1415">
        <v>18650</v>
      </c>
      <c r="G280" s="1412">
        <v>132.69</v>
      </c>
      <c r="H280" s="1414">
        <v>0.204869</v>
      </c>
      <c r="I280" s="1414">
        <v>1.9257999999999999E-3</v>
      </c>
      <c r="J280" s="1415">
        <v>137.91999999999999</v>
      </c>
    </row>
    <row r="281" spans="2:10" x14ac:dyDescent="0.25">
      <c r="B281" s="1412" t="s">
        <v>1087</v>
      </c>
      <c r="C281" s="1413">
        <v>2035</v>
      </c>
      <c r="D281" s="1412">
        <v>1022000</v>
      </c>
      <c r="E281" s="1414">
        <v>1021000</v>
      </c>
      <c r="F281" s="1415">
        <v>15520</v>
      </c>
      <c r="G281" s="1412">
        <v>1.7124999999999999</v>
      </c>
      <c r="H281" s="1414">
        <v>0.14096197999999999</v>
      </c>
      <c r="I281" s="1414">
        <v>3.3061000000000001E-5</v>
      </c>
      <c r="J281" s="1415">
        <v>5.9708000000000006</v>
      </c>
    </row>
    <row r="282" spans="2:10" x14ac:dyDescent="0.25">
      <c r="B282" s="1412" t="s">
        <v>716</v>
      </c>
      <c r="C282" s="1413">
        <v>2035</v>
      </c>
      <c r="D282" s="1412">
        <v>1022000</v>
      </c>
      <c r="E282" s="1414">
        <v>1021000</v>
      </c>
      <c r="F282" s="1415">
        <v>15520</v>
      </c>
      <c r="G282" s="1412">
        <v>1.7124999999999999</v>
      </c>
      <c r="H282" s="1414">
        <v>0.14096197999999999</v>
      </c>
      <c r="I282" s="1414">
        <v>3.3061000000000001E-5</v>
      </c>
      <c r="J282" s="1415">
        <v>5.9708000000000006</v>
      </c>
    </row>
    <row r="283" spans="2:10" x14ac:dyDescent="0.25">
      <c r="B283" s="1412" t="s">
        <v>717</v>
      </c>
      <c r="C283" s="1413">
        <v>2035</v>
      </c>
      <c r="D283" s="1412">
        <v>1022000</v>
      </c>
      <c r="E283" s="1414">
        <v>1021000</v>
      </c>
      <c r="F283" s="1415">
        <v>15520</v>
      </c>
      <c r="G283" s="1412">
        <v>1.7124999999999999</v>
      </c>
      <c r="H283" s="1414">
        <v>0.14096197999999999</v>
      </c>
      <c r="I283" s="1414">
        <v>3.3061000000000001E-5</v>
      </c>
      <c r="J283" s="1415">
        <v>5.9708000000000006</v>
      </c>
    </row>
    <row r="284" spans="2:10" x14ac:dyDescent="0.25">
      <c r="B284" s="1412" t="s">
        <v>912</v>
      </c>
      <c r="C284" s="1413">
        <v>2035</v>
      </c>
      <c r="D284" s="1412">
        <v>1209000</v>
      </c>
      <c r="E284" s="1414">
        <v>1202000</v>
      </c>
      <c r="F284" s="1415">
        <v>1052000</v>
      </c>
      <c r="G284" s="1412">
        <v>18.088999999999999</v>
      </c>
      <c r="H284" s="1414">
        <v>0.16412499999999999</v>
      </c>
      <c r="I284" s="1414">
        <v>2.9260000000000001E-4</v>
      </c>
      <c r="J284" s="1415">
        <v>23.119</v>
      </c>
    </row>
    <row r="285" spans="2:10" x14ac:dyDescent="0.25">
      <c r="B285" s="1412" t="s">
        <v>910</v>
      </c>
      <c r="C285" s="1413">
        <v>2035</v>
      </c>
      <c r="D285" s="1412">
        <v>1586000</v>
      </c>
      <c r="E285" s="1414">
        <v>697100</v>
      </c>
      <c r="F285" s="1415">
        <v>286100</v>
      </c>
      <c r="G285" s="1412">
        <v>38.326999999999998</v>
      </c>
      <c r="H285" s="1414">
        <v>0.1118</v>
      </c>
      <c r="I285" s="1414">
        <v>2.5350000000000001E-2</v>
      </c>
      <c r="J285" s="1415">
        <v>45.39</v>
      </c>
    </row>
    <row r="286" spans="2:10" x14ac:dyDescent="0.25">
      <c r="B286" s="1412" t="s">
        <v>913</v>
      </c>
      <c r="C286" s="1413">
        <v>2035</v>
      </c>
      <c r="D286" s="1412">
        <v>1250000</v>
      </c>
      <c r="E286" s="1414">
        <v>1242000</v>
      </c>
      <c r="F286" s="1415">
        <v>1078000</v>
      </c>
      <c r="G286" s="1412">
        <v>23.973999999999997</v>
      </c>
      <c r="H286" s="1414">
        <v>0.169854</v>
      </c>
      <c r="I286" s="1414">
        <v>3.8064000000000001E-4</v>
      </c>
      <c r="J286" s="1415">
        <v>29.302</v>
      </c>
    </row>
    <row r="287" spans="2:10" x14ac:dyDescent="0.25">
      <c r="B287" s="1412" t="s">
        <v>1081</v>
      </c>
      <c r="C287" s="1413">
        <v>2035</v>
      </c>
      <c r="D287" s="1412">
        <v>1190000</v>
      </c>
      <c r="E287" s="1414">
        <v>51660</v>
      </c>
      <c r="F287" s="1415">
        <v>29230</v>
      </c>
      <c r="G287" s="1412">
        <v>3.7818000000000001</v>
      </c>
      <c r="H287" s="1414">
        <v>8.4370999999999995E-3</v>
      </c>
      <c r="I287" s="1414">
        <v>-3.8259590000000003E-3</v>
      </c>
      <c r="J287" s="1415">
        <v>3.0312999999999999</v>
      </c>
    </row>
    <row r="288" spans="2:10" x14ac:dyDescent="0.25">
      <c r="B288" s="1412" t="s">
        <v>815</v>
      </c>
      <c r="C288" s="1413">
        <v>2035</v>
      </c>
      <c r="D288" s="1412">
        <v>1190000</v>
      </c>
      <c r="E288" s="1414">
        <v>51660</v>
      </c>
      <c r="F288" s="1415">
        <v>29230</v>
      </c>
      <c r="G288" s="1412">
        <v>3.7818000000000001</v>
      </c>
      <c r="H288" s="1414">
        <v>8.4370999999999995E-3</v>
      </c>
      <c r="I288" s="1414">
        <v>-3.8259590000000003E-3</v>
      </c>
      <c r="J288" s="1415">
        <v>3.0312999999999999</v>
      </c>
    </row>
    <row r="289" spans="2:10" x14ac:dyDescent="0.25">
      <c r="B289" s="1412" t="s">
        <v>824</v>
      </c>
      <c r="C289" s="1413">
        <v>2035</v>
      </c>
      <c r="D289" s="1412">
        <v>1190000</v>
      </c>
      <c r="E289" s="1414">
        <v>51660</v>
      </c>
      <c r="F289" s="1415">
        <v>29230</v>
      </c>
      <c r="G289" s="1412">
        <v>3.7818000000000001</v>
      </c>
      <c r="H289" s="1414">
        <v>8.4370999999999995E-3</v>
      </c>
      <c r="I289" s="1414">
        <v>-3.8259590000000003E-3</v>
      </c>
      <c r="J289" s="1415">
        <v>3.0312999999999999</v>
      </c>
    </row>
    <row r="290" spans="2:10" ht="13" thickBot="1" x14ac:dyDescent="0.3">
      <c r="B290" s="1416" t="s">
        <v>1088</v>
      </c>
      <c r="C290" s="1417">
        <v>2035</v>
      </c>
      <c r="D290" s="1416">
        <v>1384000</v>
      </c>
      <c r="E290" s="1418">
        <v>1383000</v>
      </c>
      <c r="F290" s="1419">
        <v>5034</v>
      </c>
      <c r="G290" s="1416">
        <v>78.571100000000001</v>
      </c>
      <c r="H290" s="1418">
        <v>0.27494000000000002</v>
      </c>
      <c r="I290" s="1418">
        <v>2.3304000000000003E-3</v>
      </c>
      <c r="J290" s="1419">
        <v>87.594300000000004</v>
      </c>
    </row>
    <row r="291" spans="2:10" x14ac:dyDescent="0.25">
      <c r="B291" s="1408" t="s">
        <v>1085</v>
      </c>
      <c r="C291" s="1409">
        <v>2040</v>
      </c>
      <c r="D291" s="1408">
        <v>1092000</v>
      </c>
      <c r="E291" s="1410">
        <v>1092000</v>
      </c>
      <c r="F291" s="1411">
        <v>3975</v>
      </c>
      <c r="G291" s="1408">
        <v>5.7453000000000003</v>
      </c>
      <c r="H291" s="1410">
        <v>0.18462200000000001</v>
      </c>
      <c r="I291" s="1410">
        <v>8.6110000000000006E-4</v>
      </c>
      <c r="J291" s="1411">
        <v>11.577199999999999</v>
      </c>
    </row>
    <row r="292" spans="2:10" x14ac:dyDescent="0.25">
      <c r="B292" s="1412" t="s">
        <v>283</v>
      </c>
      <c r="C292" s="1413">
        <v>2040</v>
      </c>
      <c r="D292" s="1412">
        <v>1092000</v>
      </c>
      <c r="E292" s="1414">
        <v>1092000</v>
      </c>
      <c r="F292" s="1415">
        <v>3975</v>
      </c>
      <c r="G292" s="1412">
        <v>5.7453000000000003</v>
      </c>
      <c r="H292" s="1414">
        <v>0.18462200000000001</v>
      </c>
      <c r="I292" s="1414">
        <v>8.6110000000000006E-4</v>
      </c>
      <c r="J292" s="1415">
        <v>11.577199999999999</v>
      </c>
    </row>
    <row r="293" spans="2:10" x14ac:dyDescent="0.25">
      <c r="B293" s="1412" t="s">
        <v>1086</v>
      </c>
      <c r="C293" s="1413">
        <v>2040</v>
      </c>
      <c r="D293" s="1412">
        <v>1092000</v>
      </c>
      <c r="E293" s="1414">
        <v>1092000</v>
      </c>
      <c r="F293" s="1415">
        <v>3975</v>
      </c>
      <c r="G293" s="1412">
        <v>5.7453000000000003</v>
      </c>
      <c r="H293" s="1414">
        <v>0.18462200000000001</v>
      </c>
      <c r="I293" s="1414">
        <v>8.6110000000000006E-4</v>
      </c>
      <c r="J293" s="1415">
        <v>11.577199999999999</v>
      </c>
    </row>
    <row r="294" spans="2:10" x14ac:dyDescent="0.25">
      <c r="B294" s="1412" t="s">
        <v>681</v>
      </c>
      <c r="C294" s="1413">
        <v>2040</v>
      </c>
      <c r="D294" s="1412">
        <v>1092000</v>
      </c>
      <c r="E294" s="1414">
        <v>1092000</v>
      </c>
      <c r="F294" s="1415">
        <v>3975</v>
      </c>
      <c r="G294" s="1412">
        <v>5.7453000000000003</v>
      </c>
      <c r="H294" s="1414">
        <v>0.18462200000000001</v>
      </c>
      <c r="I294" s="1414">
        <v>8.6110000000000006E-4</v>
      </c>
      <c r="J294" s="1415">
        <v>11.577199999999999</v>
      </c>
    </row>
    <row r="295" spans="2:10" x14ac:dyDescent="0.25">
      <c r="B295" s="1412" t="s">
        <v>682</v>
      </c>
      <c r="C295" s="1413">
        <v>2040</v>
      </c>
      <c r="D295" s="1412">
        <v>-1185000</v>
      </c>
      <c r="E295" s="1414">
        <v>0</v>
      </c>
      <c r="F295" s="1415">
        <v>0</v>
      </c>
      <c r="G295" s="1412">
        <v>-85.800000000000011</v>
      </c>
      <c r="H295" s="1414">
        <v>0.54700000000000004</v>
      </c>
      <c r="I295" s="1414">
        <v>-1.8286999999999999E-3</v>
      </c>
      <c r="J295" s="1415">
        <v>-70.08</v>
      </c>
    </row>
    <row r="296" spans="2:10" x14ac:dyDescent="0.25">
      <c r="B296" s="1412" t="s">
        <v>683</v>
      </c>
      <c r="C296" s="1413">
        <v>2040</v>
      </c>
      <c r="D296" s="1412">
        <v>1732000</v>
      </c>
      <c r="E296" s="1414">
        <v>1300000</v>
      </c>
      <c r="F296" s="1415">
        <v>17320</v>
      </c>
      <c r="G296" s="1412">
        <v>129.32</v>
      </c>
      <c r="H296" s="1414">
        <v>0.20383000000000001</v>
      </c>
      <c r="I296" s="1414">
        <v>1.8644999999999998E-3</v>
      </c>
      <c r="J296" s="1415">
        <v>134.37</v>
      </c>
    </row>
    <row r="297" spans="2:10" x14ac:dyDescent="0.25">
      <c r="B297" s="1412" t="s">
        <v>698</v>
      </c>
      <c r="C297" s="1413">
        <v>2040</v>
      </c>
      <c r="D297" s="1412">
        <v>1732000</v>
      </c>
      <c r="E297" s="1414">
        <v>1300000</v>
      </c>
      <c r="F297" s="1415">
        <v>17320</v>
      </c>
      <c r="G297" s="1412">
        <v>129.32</v>
      </c>
      <c r="H297" s="1414">
        <v>0.20383000000000001</v>
      </c>
      <c r="I297" s="1414">
        <v>1.8644999999999998E-3</v>
      </c>
      <c r="J297" s="1415">
        <v>134.37</v>
      </c>
    </row>
    <row r="298" spans="2:10" x14ac:dyDescent="0.25">
      <c r="B298" s="1412" t="s">
        <v>684</v>
      </c>
      <c r="C298" s="1413">
        <v>2040</v>
      </c>
      <c r="D298" s="1412">
        <v>1732000</v>
      </c>
      <c r="E298" s="1414">
        <v>1300000</v>
      </c>
      <c r="F298" s="1415">
        <v>17320</v>
      </c>
      <c r="G298" s="1412">
        <v>129.32</v>
      </c>
      <c r="H298" s="1414">
        <v>0.20383000000000001</v>
      </c>
      <c r="I298" s="1414">
        <v>1.8644999999999998E-3</v>
      </c>
      <c r="J298" s="1415">
        <v>134.37</v>
      </c>
    </row>
    <row r="299" spans="2:10" x14ac:dyDescent="0.25">
      <c r="B299" s="1412" t="s">
        <v>1087</v>
      </c>
      <c r="C299" s="1413">
        <v>2040</v>
      </c>
      <c r="D299" s="1412">
        <v>1022000</v>
      </c>
      <c r="E299" s="1414">
        <v>1021000</v>
      </c>
      <c r="F299" s="1415">
        <v>15510</v>
      </c>
      <c r="G299" s="1412">
        <v>1.7054</v>
      </c>
      <c r="H299" s="1414">
        <v>0.14096210000000001</v>
      </c>
      <c r="I299" s="1414">
        <v>3.2928999999999996E-5</v>
      </c>
      <c r="J299" s="1415">
        <v>5.9637000000000002</v>
      </c>
    </row>
    <row r="300" spans="2:10" x14ac:dyDescent="0.25">
      <c r="B300" s="1412" t="s">
        <v>716</v>
      </c>
      <c r="C300" s="1413">
        <v>2040</v>
      </c>
      <c r="D300" s="1412">
        <v>1022000</v>
      </c>
      <c r="E300" s="1414">
        <v>1021000</v>
      </c>
      <c r="F300" s="1415">
        <v>15510</v>
      </c>
      <c r="G300" s="1412">
        <v>1.7054</v>
      </c>
      <c r="H300" s="1414">
        <v>0.14096210000000001</v>
      </c>
      <c r="I300" s="1414">
        <v>3.2928999999999996E-5</v>
      </c>
      <c r="J300" s="1415">
        <v>5.9637000000000002</v>
      </c>
    </row>
    <row r="301" spans="2:10" x14ac:dyDescent="0.25">
      <c r="B301" s="1412" t="s">
        <v>717</v>
      </c>
      <c r="C301" s="1413">
        <v>2040</v>
      </c>
      <c r="D301" s="1412">
        <v>1022000</v>
      </c>
      <c r="E301" s="1414">
        <v>1021000</v>
      </c>
      <c r="F301" s="1415">
        <v>15510</v>
      </c>
      <c r="G301" s="1412">
        <v>1.7054</v>
      </c>
      <c r="H301" s="1414">
        <v>0.14096210000000001</v>
      </c>
      <c r="I301" s="1414">
        <v>3.2928999999999996E-5</v>
      </c>
      <c r="J301" s="1415">
        <v>5.9637000000000002</v>
      </c>
    </row>
    <row r="302" spans="2:10" x14ac:dyDescent="0.25">
      <c r="B302" s="1412" t="s">
        <v>912</v>
      </c>
      <c r="C302" s="1413">
        <v>2040</v>
      </c>
      <c r="D302" s="1412">
        <v>1209000</v>
      </c>
      <c r="E302" s="1414">
        <v>1202000</v>
      </c>
      <c r="F302" s="1415">
        <v>1052000</v>
      </c>
      <c r="G302" s="1412">
        <v>18.032</v>
      </c>
      <c r="H302" s="1414">
        <v>0.16412599999999999</v>
      </c>
      <c r="I302" s="1414">
        <v>2.9167E-4</v>
      </c>
      <c r="J302" s="1415">
        <v>23.062000000000001</v>
      </c>
    </row>
    <row r="303" spans="2:10" x14ac:dyDescent="0.25">
      <c r="B303" s="1412" t="s">
        <v>910</v>
      </c>
      <c r="C303" s="1413">
        <v>2040</v>
      </c>
      <c r="D303" s="1412">
        <v>1586000</v>
      </c>
      <c r="E303" s="1414">
        <v>696600</v>
      </c>
      <c r="F303" s="1415">
        <v>286100</v>
      </c>
      <c r="G303" s="1412">
        <v>38.200000000000003</v>
      </c>
      <c r="H303" s="1414">
        <v>0.1118</v>
      </c>
      <c r="I303" s="1414">
        <v>2.5350000000000001E-2</v>
      </c>
      <c r="J303" s="1415">
        <v>45.3</v>
      </c>
    </row>
    <row r="304" spans="2:10" x14ac:dyDescent="0.25">
      <c r="B304" s="1412" t="s">
        <v>913</v>
      </c>
      <c r="C304" s="1413">
        <v>2040</v>
      </c>
      <c r="D304" s="1412">
        <v>1250000</v>
      </c>
      <c r="E304" s="1414">
        <v>1242000</v>
      </c>
      <c r="F304" s="1415">
        <v>1078000</v>
      </c>
      <c r="G304" s="1412">
        <v>23.914999999999999</v>
      </c>
      <c r="H304" s="1414">
        <v>0.16985499999999998</v>
      </c>
      <c r="I304" s="1414">
        <v>3.7957999999999997E-4</v>
      </c>
      <c r="J304" s="1415">
        <v>29.232999999999997</v>
      </c>
    </row>
    <row r="305" spans="2:10" x14ac:dyDescent="0.25">
      <c r="B305" s="1412" t="s">
        <v>1081</v>
      </c>
      <c r="C305" s="1413">
        <v>2040</v>
      </c>
      <c r="D305" s="1412">
        <v>1190000</v>
      </c>
      <c r="E305" s="1414">
        <v>51610</v>
      </c>
      <c r="F305" s="1415">
        <v>29220</v>
      </c>
      <c r="G305" s="1412">
        <v>3.7715999999999998</v>
      </c>
      <c r="H305" s="1414">
        <v>8.4332999999999995E-3</v>
      </c>
      <c r="I305" s="1414">
        <v>-3.8260220000000001E-3</v>
      </c>
      <c r="J305" s="1415">
        <v>3.02</v>
      </c>
    </row>
    <row r="306" spans="2:10" x14ac:dyDescent="0.25">
      <c r="B306" s="1412" t="s">
        <v>815</v>
      </c>
      <c r="C306" s="1413">
        <v>2040</v>
      </c>
      <c r="D306" s="1412">
        <v>1190000</v>
      </c>
      <c r="E306" s="1414">
        <v>51610</v>
      </c>
      <c r="F306" s="1415">
        <v>29220</v>
      </c>
      <c r="G306" s="1412">
        <v>3.7715999999999998</v>
      </c>
      <c r="H306" s="1414">
        <v>8.4332999999999995E-3</v>
      </c>
      <c r="I306" s="1414">
        <v>-3.8260220000000001E-3</v>
      </c>
      <c r="J306" s="1415">
        <v>3.02</v>
      </c>
    </row>
    <row r="307" spans="2:10" x14ac:dyDescent="0.25">
      <c r="B307" s="1412" t="s">
        <v>824</v>
      </c>
      <c r="C307" s="1413">
        <v>2040</v>
      </c>
      <c r="D307" s="1412">
        <v>1190000</v>
      </c>
      <c r="E307" s="1414">
        <v>51610</v>
      </c>
      <c r="F307" s="1415">
        <v>29220</v>
      </c>
      <c r="G307" s="1412">
        <v>3.7715999999999998</v>
      </c>
      <c r="H307" s="1414">
        <v>8.4332999999999995E-3</v>
      </c>
      <c r="I307" s="1414">
        <v>-3.8260220000000001E-3</v>
      </c>
      <c r="J307" s="1415">
        <v>3.02</v>
      </c>
    </row>
    <row r="308" spans="2:10" ht="13" thickBot="1" x14ac:dyDescent="0.3">
      <c r="B308" s="1416" t="s">
        <v>1088</v>
      </c>
      <c r="C308" s="1417">
        <v>2040</v>
      </c>
      <c r="D308" s="1416">
        <v>1384000</v>
      </c>
      <c r="E308" s="1418">
        <v>1383000</v>
      </c>
      <c r="F308" s="1419">
        <v>5034</v>
      </c>
      <c r="G308" s="1416">
        <v>78.571100000000001</v>
      </c>
      <c r="H308" s="1418">
        <v>0.27494000000000002</v>
      </c>
      <c r="I308" s="1418">
        <v>2.3304000000000003E-3</v>
      </c>
      <c r="J308" s="1419">
        <v>87.594300000000004</v>
      </c>
    </row>
    <row r="309" spans="2:10" x14ac:dyDescent="0.25">
      <c r="B309" s="1408" t="s">
        <v>1085</v>
      </c>
      <c r="C309" s="1409">
        <v>2045</v>
      </c>
      <c r="D309" s="1408">
        <v>1092000</v>
      </c>
      <c r="E309" s="1410">
        <v>1092000</v>
      </c>
      <c r="F309" s="1411">
        <v>3972</v>
      </c>
      <c r="G309" s="1408">
        <v>5.7410000000000005</v>
      </c>
      <c r="H309" s="1410">
        <v>0.18462200000000001</v>
      </c>
      <c r="I309" s="1410">
        <v>8.6110000000000006E-4</v>
      </c>
      <c r="J309" s="1411">
        <v>11.565900000000001</v>
      </c>
    </row>
    <row r="310" spans="2:10" x14ac:dyDescent="0.25">
      <c r="B310" s="1412" t="s">
        <v>283</v>
      </c>
      <c r="C310" s="1413">
        <v>2045</v>
      </c>
      <c r="D310" s="1412">
        <v>1092000</v>
      </c>
      <c r="E310" s="1414">
        <v>1092000</v>
      </c>
      <c r="F310" s="1415">
        <v>3972</v>
      </c>
      <c r="G310" s="1412">
        <v>5.7410000000000005</v>
      </c>
      <c r="H310" s="1414">
        <v>0.18462200000000001</v>
      </c>
      <c r="I310" s="1414">
        <v>8.6110000000000006E-4</v>
      </c>
      <c r="J310" s="1415">
        <v>11.565900000000001</v>
      </c>
    </row>
    <row r="311" spans="2:10" x14ac:dyDescent="0.25">
      <c r="B311" s="1412" t="s">
        <v>1086</v>
      </c>
      <c r="C311" s="1413">
        <v>2045</v>
      </c>
      <c r="D311" s="1412">
        <v>1092000</v>
      </c>
      <c r="E311" s="1414">
        <v>1092000</v>
      </c>
      <c r="F311" s="1415">
        <v>3972</v>
      </c>
      <c r="G311" s="1412">
        <v>5.7410000000000005</v>
      </c>
      <c r="H311" s="1414">
        <v>0.18462200000000001</v>
      </c>
      <c r="I311" s="1414">
        <v>8.6110000000000006E-4</v>
      </c>
      <c r="J311" s="1415">
        <v>11.565900000000001</v>
      </c>
    </row>
    <row r="312" spans="2:10" x14ac:dyDescent="0.25">
      <c r="B312" s="1412" t="s">
        <v>681</v>
      </c>
      <c r="C312" s="1413">
        <v>2045</v>
      </c>
      <c r="D312" s="1412">
        <v>1092000</v>
      </c>
      <c r="E312" s="1414">
        <v>1092000</v>
      </c>
      <c r="F312" s="1415">
        <v>3972</v>
      </c>
      <c r="G312" s="1412">
        <v>5.7410000000000005</v>
      </c>
      <c r="H312" s="1414">
        <v>0.18462200000000001</v>
      </c>
      <c r="I312" s="1414">
        <v>8.6110000000000006E-4</v>
      </c>
      <c r="J312" s="1415">
        <v>11.565900000000001</v>
      </c>
    </row>
    <row r="313" spans="2:10" x14ac:dyDescent="0.25">
      <c r="B313" s="1412" t="s">
        <v>682</v>
      </c>
      <c r="C313" s="1413">
        <v>2045</v>
      </c>
      <c r="D313" s="1412">
        <v>-1185000</v>
      </c>
      <c r="E313" s="1414">
        <v>0</v>
      </c>
      <c r="F313" s="1415">
        <v>0</v>
      </c>
      <c r="G313" s="1412">
        <v>-85.800000000000011</v>
      </c>
      <c r="H313" s="1414">
        <v>0.54700000000000004</v>
      </c>
      <c r="I313" s="1414">
        <v>-1.8286999999999999E-3</v>
      </c>
      <c r="J313" s="1415">
        <v>-70.08</v>
      </c>
    </row>
    <row r="314" spans="2:10" x14ac:dyDescent="0.25">
      <c r="B314" s="1412" t="s">
        <v>683</v>
      </c>
      <c r="C314" s="1413">
        <v>2045</v>
      </c>
      <c r="D314" s="1412">
        <v>1724000</v>
      </c>
      <c r="E314" s="1414">
        <v>1293000</v>
      </c>
      <c r="F314" s="1415">
        <v>15580</v>
      </c>
      <c r="G314" s="1412">
        <v>126.71000000000001</v>
      </c>
      <c r="H314" s="1414">
        <v>0.203795</v>
      </c>
      <c r="I314" s="1414">
        <v>1.8165E-3</v>
      </c>
      <c r="J314" s="1415">
        <v>131.63</v>
      </c>
    </row>
    <row r="315" spans="2:10" x14ac:dyDescent="0.25">
      <c r="B315" s="1412" t="s">
        <v>698</v>
      </c>
      <c r="C315" s="1413">
        <v>2045</v>
      </c>
      <c r="D315" s="1412">
        <v>1724000</v>
      </c>
      <c r="E315" s="1414">
        <v>1293000</v>
      </c>
      <c r="F315" s="1415">
        <v>15580</v>
      </c>
      <c r="G315" s="1412">
        <v>126.71000000000001</v>
      </c>
      <c r="H315" s="1414">
        <v>0.203795</v>
      </c>
      <c r="I315" s="1414">
        <v>1.8165E-3</v>
      </c>
      <c r="J315" s="1415">
        <v>131.63</v>
      </c>
    </row>
    <row r="316" spans="2:10" x14ac:dyDescent="0.25">
      <c r="B316" s="1412" t="s">
        <v>684</v>
      </c>
      <c r="C316" s="1413">
        <v>2045</v>
      </c>
      <c r="D316" s="1412">
        <v>1724000</v>
      </c>
      <c r="E316" s="1414">
        <v>1293000</v>
      </c>
      <c r="F316" s="1415">
        <v>15580</v>
      </c>
      <c r="G316" s="1412">
        <v>126.71000000000001</v>
      </c>
      <c r="H316" s="1414">
        <v>0.203795</v>
      </c>
      <c r="I316" s="1414">
        <v>1.8165E-3</v>
      </c>
      <c r="J316" s="1415">
        <v>131.63</v>
      </c>
    </row>
    <row r="317" spans="2:10" x14ac:dyDescent="0.25">
      <c r="B317" s="1412" t="s">
        <v>1087</v>
      </c>
      <c r="C317" s="1413">
        <v>2045</v>
      </c>
      <c r="D317" s="1412">
        <v>1022000</v>
      </c>
      <c r="E317" s="1414">
        <v>1021000</v>
      </c>
      <c r="F317" s="1415">
        <v>15510</v>
      </c>
      <c r="G317" s="1412">
        <v>1.6997</v>
      </c>
      <c r="H317" s="1414">
        <v>0.14096223999999999</v>
      </c>
      <c r="I317" s="1414">
        <v>3.2833999999999998E-5</v>
      </c>
      <c r="J317" s="1415">
        <v>5.9580000000000002</v>
      </c>
    </row>
    <row r="318" spans="2:10" x14ac:dyDescent="0.25">
      <c r="B318" s="1412" t="s">
        <v>716</v>
      </c>
      <c r="C318" s="1413">
        <v>2045</v>
      </c>
      <c r="D318" s="1412">
        <v>1022000</v>
      </c>
      <c r="E318" s="1414">
        <v>1021000</v>
      </c>
      <c r="F318" s="1415">
        <v>15510</v>
      </c>
      <c r="G318" s="1412">
        <v>1.6997</v>
      </c>
      <c r="H318" s="1414">
        <v>0.14096223999999999</v>
      </c>
      <c r="I318" s="1414">
        <v>3.2833999999999998E-5</v>
      </c>
      <c r="J318" s="1415">
        <v>5.9580000000000002</v>
      </c>
    </row>
    <row r="319" spans="2:10" x14ac:dyDescent="0.25">
      <c r="B319" s="1412" t="s">
        <v>717</v>
      </c>
      <c r="C319" s="1413">
        <v>2045</v>
      </c>
      <c r="D319" s="1412">
        <v>1022000</v>
      </c>
      <c r="E319" s="1414">
        <v>1021000</v>
      </c>
      <c r="F319" s="1415">
        <v>15510</v>
      </c>
      <c r="G319" s="1412">
        <v>1.6997</v>
      </c>
      <c r="H319" s="1414">
        <v>0.14096223999999999</v>
      </c>
      <c r="I319" s="1414">
        <v>3.2833999999999998E-5</v>
      </c>
      <c r="J319" s="1415">
        <v>5.9580000000000002</v>
      </c>
    </row>
    <row r="320" spans="2:10" x14ac:dyDescent="0.25">
      <c r="B320" s="1412" t="s">
        <v>912</v>
      </c>
      <c r="C320" s="1413">
        <v>2045</v>
      </c>
      <c r="D320" s="1412">
        <v>1209000</v>
      </c>
      <c r="E320" s="1414">
        <v>1202000</v>
      </c>
      <c r="F320" s="1415">
        <v>1052000</v>
      </c>
      <c r="G320" s="1412">
        <v>17.989000000000001</v>
      </c>
      <c r="H320" s="1414">
        <v>0.164127</v>
      </c>
      <c r="I320" s="1414">
        <v>2.9079000000000003E-4</v>
      </c>
      <c r="J320" s="1415">
        <v>23.018999999999998</v>
      </c>
    </row>
    <row r="321" spans="2:10" x14ac:dyDescent="0.25">
      <c r="B321" s="1412" t="s">
        <v>910</v>
      </c>
      <c r="C321" s="1413">
        <v>2045</v>
      </c>
      <c r="D321" s="1412">
        <v>1586000</v>
      </c>
      <c r="E321" s="1414">
        <v>696300</v>
      </c>
      <c r="F321" s="1415">
        <v>286000</v>
      </c>
      <c r="G321" s="1412">
        <v>38.110999999999997</v>
      </c>
      <c r="H321" s="1414">
        <v>0.1118</v>
      </c>
      <c r="I321" s="1414">
        <v>2.5350000000000001E-2</v>
      </c>
      <c r="J321" s="1415">
        <v>45.23</v>
      </c>
    </row>
    <row r="322" spans="2:10" x14ac:dyDescent="0.25">
      <c r="B322" s="1412" t="s">
        <v>913</v>
      </c>
      <c r="C322" s="1413">
        <v>2045</v>
      </c>
      <c r="D322" s="1412">
        <v>1249000</v>
      </c>
      <c r="E322" s="1414">
        <v>1242000</v>
      </c>
      <c r="F322" s="1415">
        <v>1078000</v>
      </c>
      <c r="G322" s="1412">
        <v>23.861000000000001</v>
      </c>
      <c r="H322" s="1414">
        <v>0.16985599999999998</v>
      </c>
      <c r="I322" s="1414">
        <v>3.7867E-4</v>
      </c>
      <c r="J322" s="1415">
        <v>29.189</v>
      </c>
    </row>
    <row r="323" spans="2:10" x14ac:dyDescent="0.25">
      <c r="B323" s="1412" t="s">
        <v>1081</v>
      </c>
      <c r="C323" s="1413">
        <v>2045</v>
      </c>
      <c r="D323" s="1412">
        <v>1190000</v>
      </c>
      <c r="E323" s="1414">
        <v>51590</v>
      </c>
      <c r="F323" s="1415">
        <v>29220</v>
      </c>
      <c r="G323" s="1412">
        <v>3.7631000000000001</v>
      </c>
      <c r="H323" s="1414">
        <v>8.4335E-3</v>
      </c>
      <c r="I323" s="1414">
        <v>-3.8260760000000003E-3</v>
      </c>
      <c r="J323" s="1415">
        <v>3.0114000000000001</v>
      </c>
    </row>
    <row r="324" spans="2:10" x14ac:dyDescent="0.25">
      <c r="B324" s="1412" t="s">
        <v>815</v>
      </c>
      <c r="C324" s="1413">
        <v>2045</v>
      </c>
      <c r="D324" s="1412">
        <v>1190000</v>
      </c>
      <c r="E324" s="1414">
        <v>51590</v>
      </c>
      <c r="F324" s="1415">
        <v>29220</v>
      </c>
      <c r="G324" s="1412">
        <v>3.7631000000000001</v>
      </c>
      <c r="H324" s="1414">
        <v>8.4335E-3</v>
      </c>
      <c r="I324" s="1414">
        <v>-3.8260760000000003E-3</v>
      </c>
      <c r="J324" s="1415">
        <v>3.0114000000000001</v>
      </c>
    </row>
    <row r="325" spans="2:10" x14ac:dyDescent="0.25">
      <c r="B325" s="1412" t="s">
        <v>824</v>
      </c>
      <c r="C325" s="1413">
        <v>2045</v>
      </c>
      <c r="D325" s="1412">
        <v>1190000</v>
      </c>
      <c r="E325" s="1414">
        <v>51590</v>
      </c>
      <c r="F325" s="1415">
        <v>29220</v>
      </c>
      <c r="G325" s="1412">
        <v>3.7631000000000001</v>
      </c>
      <c r="H325" s="1414">
        <v>8.4335E-3</v>
      </c>
      <c r="I325" s="1414">
        <v>-3.8260760000000003E-3</v>
      </c>
      <c r="J325" s="1415">
        <v>3.0114000000000001</v>
      </c>
    </row>
    <row r="326" spans="2:10" ht="13" thickBot="1" x14ac:dyDescent="0.3">
      <c r="B326" s="1416" t="s">
        <v>1088</v>
      </c>
      <c r="C326" s="1417">
        <v>2045</v>
      </c>
      <c r="D326" s="1416">
        <v>1384000</v>
      </c>
      <c r="E326" s="1418">
        <v>1383000</v>
      </c>
      <c r="F326" s="1419">
        <v>5034</v>
      </c>
      <c r="G326" s="1416">
        <v>78.571100000000001</v>
      </c>
      <c r="H326" s="1418">
        <v>0.27494000000000002</v>
      </c>
      <c r="I326" s="1418">
        <v>2.3304000000000003E-3</v>
      </c>
      <c r="J326" s="1419">
        <v>87.594300000000004</v>
      </c>
    </row>
    <row r="327" spans="2:10" x14ac:dyDescent="0.25">
      <c r="B327" s="1408" t="s">
        <v>1085</v>
      </c>
      <c r="C327" s="1409">
        <v>2050</v>
      </c>
      <c r="D327" s="1408">
        <v>1092000</v>
      </c>
      <c r="E327" s="1410">
        <v>1092000</v>
      </c>
      <c r="F327" s="1411">
        <v>3971</v>
      </c>
      <c r="G327" s="1408">
        <v>5.7390999999999996</v>
      </c>
      <c r="H327" s="1410">
        <v>0.18462200000000001</v>
      </c>
      <c r="I327" s="1410">
        <v>8.61E-4</v>
      </c>
      <c r="J327" s="1411">
        <v>11.5648</v>
      </c>
    </row>
    <row r="328" spans="2:10" x14ac:dyDescent="0.25">
      <c r="B328" s="1412" t="s">
        <v>283</v>
      </c>
      <c r="C328" s="1413">
        <v>2050</v>
      </c>
      <c r="D328" s="1412">
        <v>1092000</v>
      </c>
      <c r="E328" s="1414">
        <v>1092000</v>
      </c>
      <c r="F328" s="1415">
        <v>3971</v>
      </c>
      <c r="G328" s="1412">
        <v>5.7390999999999996</v>
      </c>
      <c r="H328" s="1414">
        <v>0.18462200000000001</v>
      </c>
      <c r="I328" s="1414">
        <v>8.61E-4</v>
      </c>
      <c r="J328" s="1415">
        <v>11.5648</v>
      </c>
    </row>
    <row r="329" spans="2:10" x14ac:dyDescent="0.25">
      <c r="B329" s="1412" t="s">
        <v>1086</v>
      </c>
      <c r="C329" s="1413">
        <v>2050</v>
      </c>
      <c r="D329" s="1412">
        <v>1092000</v>
      </c>
      <c r="E329" s="1414">
        <v>1092000</v>
      </c>
      <c r="F329" s="1415">
        <v>3971</v>
      </c>
      <c r="G329" s="1412">
        <v>5.7390999999999996</v>
      </c>
      <c r="H329" s="1414">
        <v>0.18462200000000001</v>
      </c>
      <c r="I329" s="1414">
        <v>8.61E-4</v>
      </c>
      <c r="J329" s="1415">
        <v>11.5648</v>
      </c>
    </row>
    <row r="330" spans="2:10" x14ac:dyDescent="0.25">
      <c r="B330" s="1412" t="s">
        <v>681</v>
      </c>
      <c r="C330" s="1413">
        <v>2050</v>
      </c>
      <c r="D330" s="1412">
        <v>1092000</v>
      </c>
      <c r="E330" s="1414">
        <v>1092000</v>
      </c>
      <c r="F330" s="1415">
        <v>3971</v>
      </c>
      <c r="G330" s="1412">
        <v>5.7390999999999996</v>
      </c>
      <c r="H330" s="1414">
        <v>0.18462200000000001</v>
      </c>
      <c r="I330" s="1414">
        <v>8.61E-4</v>
      </c>
      <c r="J330" s="1415">
        <v>11.5648</v>
      </c>
    </row>
    <row r="331" spans="2:10" x14ac:dyDescent="0.25">
      <c r="B331" s="1412" t="s">
        <v>682</v>
      </c>
      <c r="C331" s="1413">
        <v>2050</v>
      </c>
      <c r="D331" s="1412">
        <v>-1185000</v>
      </c>
      <c r="E331" s="1414">
        <v>0</v>
      </c>
      <c r="F331" s="1415">
        <v>0</v>
      </c>
      <c r="G331" s="1412">
        <v>-85.800000000000011</v>
      </c>
      <c r="H331" s="1414">
        <v>0.54700000000000004</v>
      </c>
      <c r="I331" s="1414">
        <v>-1.8286999999999999E-3</v>
      </c>
      <c r="J331" s="1415">
        <v>-70.08</v>
      </c>
    </row>
    <row r="332" spans="2:10" x14ac:dyDescent="0.25">
      <c r="B332" s="1412" t="s">
        <v>683</v>
      </c>
      <c r="C332" s="1413">
        <v>2050</v>
      </c>
      <c r="D332" s="1412">
        <v>1721000</v>
      </c>
      <c r="E332" s="1414">
        <v>1293000</v>
      </c>
      <c r="F332" s="1415">
        <v>15050</v>
      </c>
      <c r="G332" s="1412">
        <v>125.08</v>
      </c>
      <c r="H332" s="1414">
        <v>0.20477100000000001</v>
      </c>
      <c r="I332" s="1414">
        <v>1.7827000000000001E-3</v>
      </c>
      <c r="J332" s="1415">
        <v>129.82</v>
      </c>
    </row>
    <row r="333" spans="2:10" x14ac:dyDescent="0.25">
      <c r="B333" s="1412" t="s">
        <v>698</v>
      </c>
      <c r="C333" s="1413">
        <v>2050</v>
      </c>
      <c r="D333" s="1412">
        <v>1721000</v>
      </c>
      <c r="E333" s="1414">
        <v>1293000</v>
      </c>
      <c r="F333" s="1415">
        <v>15050</v>
      </c>
      <c r="G333" s="1412">
        <v>125.08</v>
      </c>
      <c r="H333" s="1414">
        <v>0.20477100000000001</v>
      </c>
      <c r="I333" s="1414">
        <v>1.7827000000000001E-3</v>
      </c>
      <c r="J333" s="1415">
        <v>129.82</v>
      </c>
    </row>
    <row r="334" spans="2:10" x14ac:dyDescent="0.25">
      <c r="B334" s="1412" t="s">
        <v>684</v>
      </c>
      <c r="C334" s="1413">
        <v>2050</v>
      </c>
      <c r="D334" s="1412">
        <v>1721000</v>
      </c>
      <c r="E334" s="1414">
        <v>1293000</v>
      </c>
      <c r="F334" s="1415">
        <v>15050</v>
      </c>
      <c r="G334" s="1412">
        <v>125.08</v>
      </c>
      <c r="H334" s="1414">
        <v>0.20477100000000001</v>
      </c>
      <c r="I334" s="1414">
        <v>1.7827000000000001E-3</v>
      </c>
      <c r="J334" s="1415">
        <v>129.82</v>
      </c>
    </row>
    <row r="335" spans="2:10" x14ac:dyDescent="0.25">
      <c r="B335" s="1412" t="s">
        <v>1087</v>
      </c>
      <c r="C335" s="1413">
        <v>2050</v>
      </c>
      <c r="D335" s="1412">
        <v>1022000</v>
      </c>
      <c r="E335" s="1414">
        <v>1021000</v>
      </c>
      <c r="F335" s="1415">
        <v>15510</v>
      </c>
      <c r="G335" s="1412">
        <v>1.6964999999999999</v>
      </c>
      <c r="H335" s="1414">
        <v>0.14096238999999999</v>
      </c>
      <c r="I335" s="1414">
        <v>3.2765999999999998E-5</v>
      </c>
      <c r="J335" s="1415">
        <v>5.9536999999999995</v>
      </c>
    </row>
    <row r="336" spans="2:10" x14ac:dyDescent="0.25">
      <c r="B336" s="1412" t="s">
        <v>716</v>
      </c>
      <c r="C336" s="1413">
        <v>2050</v>
      </c>
      <c r="D336" s="1412">
        <v>1022000</v>
      </c>
      <c r="E336" s="1414">
        <v>1021000</v>
      </c>
      <c r="F336" s="1415">
        <v>15510</v>
      </c>
      <c r="G336" s="1412">
        <v>1.6964999999999999</v>
      </c>
      <c r="H336" s="1414">
        <v>0.14096238999999999</v>
      </c>
      <c r="I336" s="1414">
        <v>3.2765999999999998E-5</v>
      </c>
      <c r="J336" s="1415">
        <v>5.9536999999999995</v>
      </c>
    </row>
    <row r="337" spans="2:10" x14ac:dyDescent="0.25">
      <c r="B337" s="1412" t="s">
        <v>717</v>
      </c>
      <c r="C337" s="1413">
        <v>2050</v>
      </c>
      <c r="D337" s="1412">
        <v>1022000</v>
      </c>
      <c r="E337" s="1414">
        <v>1021000</v>
      </c>
      <c r="F337" s="1415">
        <v>15510</v>
      </c>
      <c r="G337" s="1412">
        <v>1.6964999999999999</v>
      </c>
      <c r="H337" s="1414">
        <v>0.14096238999999999</v>
      </c>
      <c r="I337" s="1414">
        <v>3.2765999999999998E-5</v>
      </c>
      <c r="J337" s="1415">
        <v>5.9536999999999995</v>
      </c>
    </row>
    <row r="338" spans="2:10" x14ac:dyDescent="0.25">
      <c r="B338" s="1412" t="s">
        <v>912</v>
      </c>
      <c r="C338" s="1413">
        <v>2050</v>
      </c>
      <c r="D338" s="1412">
        <v>1209000</v>
      </c>
      <c r="E338" s="1414">
        <v>1202000</v>
      </c>
      <c r="F338" s="1415">
        <v>1052000</v>
      </c>
      <c r="G338" s="1412">
        <v>17.969000000000001</v>
      </c>
      <c r="H338" s="1414">
        <v>0.164128</v>
      </c>
      <c r="I338" s="1414">
        <v>2.9025999999999998E-4</v>
      </c>
      <c r="J338" s="1415">
        <v>22.988</v>
      </c>
    </row>
    <row r="339" spans="2:10" x14ac:dyDescent="0.25">
      <c r="B339" s="1412" t="s">
        <v>910</v>
      </c>
      <c r="C339" s="1413">
        <v>2050</v>
      </c>
      <c r="D339" s="1412">
        <v>1585000</v>
      </c>
      <c r="E339" s="1414">
        <v>696300</v>
      </c>
      <c r="F339" s="1415">
        <v>286000</v>
      </c>
      <c r="G339" s="1412">
        <v>38.049999999999997</v>
      </c>
      <c r="H339" s="1414">
        <v>0.1118</v>
      </c>
      <c r="I339" s="1414">
        <v>2.5350000000000001E-2</v>
      </c>
      <c r="J339" s="1415">
        <v>45.19</v>
      </c>
    </row>
    <row r="340" spans="2:10" x14ac:dyDescent="0.25">
      <c r="B340" s="1412" t="s">
        <v>913</v>
      </c>
      <c r="C340" s="1413">
        <v>2050</v>
      </c>
      <c r="D340" s="1412">
        <v>1249000</v>
      </c>
      <c r="E340" s="1414">
        <v>1242000</v>
      </c>
      <c r="F340" s="1415">
        <v>1078000</v>
      </c>
      <c r="G340" s="1412">
        <v>23.84</v>
      </c>
      <c r="H340" s="1414">
        <v>0.16985799999999998</v>
      </c>
      <c r="I340" s="1414">
        <v>3.7813000000000001E-4</v>
      </c>
      <c r="J340" s="1415">
        <v>29.157000000000004</v>
      </c>
    </row>
    <row r="341" spans="2:10" x14ac:dyDescent="0.25">
      <c r="B341" s="1412" t="s">
        <v>1081</v>
      </c>
      <c r="C341" s="1413">
        <v>2050</v>
      </c>
      <c r="D341" s="1412">
        <v>1190000</v>
      </c>
      <c r="E341" s="1414">
        <v>51590</v>
      </c>
      <c r="F341" s="1415">
        <v>29220</v>
      </c>
      <c r="G341" s="1412">
        <v>3.7582</v>
      </c>
      <c r="H341" s="1414">
        <v>8.4366999999999984E-3</v>
      </c>
      <c r="I341" s="1414">
        <v>-3.8261190000000002E-3</v>
      </c>
      <c r="J341" s="1415">
        <v>3.0054000000000003</v>
      </c>
    </row>
    <row r="342" spans="2:10" x14ac:dyDescent="0.25">
      <c r="B342" s="1412" t="s">
        <v>815</v>
      </c>
      <c r="C342" s="1413">
        <v>2050</v>
      </c>
      <c r="D342" s="1412">
        <v>1190000</v>
      </c>
      <c r="E342" s="1414">
        <v>51590</v>
      </c>
      <c r="F342" s="1415">
        <v>29220</v>
      </c>
      <c r="G342" s="1412">
        <v>3.7582</v>
      </c>
      <c r="H342" s="1414">
        <v>8.4366999999999984E-3</v>
      </c>
      <c r="I342" s="1414">
        <v>-3.8261190000000002E-3</v>
      </c>
      <c r="J342" s="1415">
        <v>3.0054000000000003</v>
      </c>
    </row>
    <row r="343" spans="2:10" x14ac:dyDescent="0.25">
      <c r="B343" s="1412" t="s">
        <v>824</v>
      </c>
      <c r="C343" s="1413">
        <v>2050</v>
      </c>
      <c r="D343" s="1412">
        <v>1190000</v>
      </c>
      <c r="E343" s="1414">
        <v>51590</v>
      </c>
      <c r="F343" s="1415">
        <v>29220</v>
      </c>
      <c r="G343" s="1412">
        <v>3.7582</v>
      </c>
      <c r="H343" s="1414">
        <v>8.4366999999999984E-3</v>
      </c>
      <c r="I343" s="1414">
        <v>-3.8261190000000002E-3</v>
      </c>
      <c r="J343" s="1415">
        <v>3.0054000000000003</v>
      </c>
    </row>
    <row r="344" spans="2:10" ht="13" thickBot="1" x14ac:dyDescent="0.3">
      <c r="B344" s="1416" t="s">
        <v>1088</v>
      </c>
      <c r="C344" s="1417">
        <v>2050</v>
      </c>
      <c r="D344" s="1416">
        <v>1384000</v>
      </c>
      <c r="E344" s="1418">
        <v>1383000</v>
      </c>
      <c r="F344" s="1419">
        <v>5034</v>
      </c>
      <c r="G344" s="1416">
        <v>78.571100000000001</v>
      </c>
      <c r="H344" s="1418">
        <v>0.27494000000000002</v>
      </c>
      <c r="I344" s="1418">
        <v>2.3304000000000003E-3</v>
      </c>
      <c r="J344" s="1419">
        <v>87.594300000000004</v>
      </c>
    </row>
    <row r="345" spans="2:10" x14ac:dyDescent="0.25">
      <c r="B345" s="1408" t="s">
        <v>1085</v>
      </c>
      <c r="C345" s="1409">
        <v>2055</v>
      </c>
      <c r="D345" s="1408">
        <v>1092000</v>
      </c>
      <c r="E345" s="1410">
        <v>1092000</v>
      </c>
      <c r="F345" s="1411">
        <v>3971</v>
      </c>
      <c r="G345" s="1408">
        <v>5.7390999999999996</v>
      </c>
      <c r="H345" s="1410">
        <v>0.18462200000000001</v>
      </c>
      <c r="I345" s="1410">
        <v>8.61E-4</v>
      </c>
      <c r="J345" s="1411">
        <v>11.5648</v>
      </c>
    </row>
    <row r="346" spans="2:10" x14ac:dyDescent="0.25">
      <c r="B346" s="1412" t="s">
        <v>283</v>
      </c>
      <c r="C346" s="1413">
        <v>2055</v>
      </c>
      <c r="D346" s="1412">
        <v>1092000</v>
      </c>
      <c r="E346" s="1414">
        <v>1092000</v>
      </c>
      <c r="F346" s="1415">
        <v>3971</v>
      </c>
      <c r="G346" s="1412">
        <v>5.7390999999999996</v>
      </c>
      <c r="H346" s="1414">
        <v>0.18462200000000001</v>
      </c>
      <c r="I346" s="1414">
        <v>8.61E-4</v>
      </c>
      <c r="J346" s="1415">
        <v>11.5648</v>
      </c>
    </row>
    <row r="347" spans="2:10" x14ac:dyDescent="0.25">
      <c r="B347" s="1412" t="s">
        <v>1086</v>
      </c>
      <c r="C347" s="1413">
        <v>2055</v>
      </c>
      <c r="D347" s="1412">
        <v>1092000</v>
      </c>
      <c r="E347" s="1414">
        <v>1092000</v>
      </c>
      <c r="F347" s="1415">
        <v>3971</v>
      </c>
      <c r="G347" s="1412">
        <v>5.7390999999999996</v>
      </c>
      <c r="H347" s="1414">
        <v>0.18462200000000001</v>
      </c>
      <c r="I347" s="1414">
        <v>8.61E-4</v>
      </c>
      <c r="J347" s="1415">
        <v>11.5648</v>
      </c>
    </row>
    <row r="348" spans="2:10" x14ac:dyDescent="0.25">
      <c r="B348" s="1412" t="s">
        <v>681</v>
      </c>
      <c r="C348" s="1413">
        <v>2055</v>
      </c>
      <c r="D348" s="1412">
        <v>1092000</v>
      </c>
      <c r="E348" s="1414">
        <v>1092000</v>
      </c>
      <c r="F348" s="1415">
        <v>3971</v>
      </c>
      <c r="G348" s="1412">
        <v>5.7390999999999996</v>
      </c>
      <c r="H348" s="1414">
        <v>0.18462200000000001</v>
      </c>
      <c r="I348" s="1414">
        <v>8.61E-4</v>
      </c>
      <c r="J348" s="1415">
        <v>11.5648</v>
      </c>
    </row>
    <row r="349" spans="2:10" x14ac:dyDescent="0.25">
      <c r="B349" s="1412" t="s">
        <v>682</v>
      </c>
      <c r="C349" s="1413">
        <v>2055</v>
      </c>
      <c r="D349" s="1412">
        <v>-1185000</v>
      </c>
      <c r="E349" s="1414">
        <v>0</v>
      </c>
      <c r="F349" s="1415">
        <v>0</v>
      </c>
      <c r="G349" s="1412">
        <v>-85.800000000000011</v>
      </c>
      <c r="H349" s="1414">
        <v>0.54700000000000004</v>
      </c>
      <c r="I349" s="1414">
        <v>-1.8286999999999999E-3</v>
      </c>
      <c r="J349" s="1415">
        <v>-70.08</v>
      </c>
    </row>
    <row r="350" spans="2:10" x14ac:dyDescent="0.25">
      <c r="B350" s="1412" t="s">
        <v>683</v>
      </c>
      <c r="C350" s="1413">
        <v>2055</v>
      </c>
      <c r="D350" s="1412">
        <v>1721000</v>
      </c>
      <c r="E350" s="1414">
        <v>1293000</v>
      </c>
      <c r="F350" s="1415">
        <v>15050</v>
      </c>
      <c r="G350" s="1412">
        <v>125.08</v>
      </c>
      <c r="H350" s="1414">
        <v>0.20477100000000001</v>
      </c>
      <c r="I350" s="1414">
        <v>1.7827000000000001E-3</v>
      </c>
      <c r="J350" s="1415">
        <v>129.82</v>
      </c>
    </row>
    <row r="351" spans="2:10" x14ac:dyDescent="0.25">
      <c r="B351" s="1412" t="s">
        <v>698</v>
      </c>
      <c r="C351" s="1413">
        <v>2055</v>
      </c>
      <c r="D351" s="1412">
        <v>1721000</v>
      </c>
      <c r="E351" s="1414">
        <v>1293000</v>
      </c>
      <c r="F351" s="1415">
        <v>15050</v>
      </c>
      <c r="G351" s="1412">
        <v>125.08</v>
      </c>
      <c r="H351" s="1414">
        <v>0.20477100000000001</v>
      </c>
      <c r="I351" s="1414">
        <v>1.7827000000000001E-3</v>
      </c>
      <c r="J351" s="1415">
        <v>129.82</v>
      </c>
    </row>
    <row r="352" spans="2:10" x14ac:dyDescent="0.25">
      <c r="B352" s="1412" t="s">
        <v>684</v>
      </c>
      <c r="C352" s="1413">
        <v>2055</v>
      </c>
      <c r="D352" s="1412">
        <v>1721000</v>
      </c>
      <c r="E352" s="1414">
        <v>1293000</v>
      </c>
      <c r="F352" s="1415">
        <v>15050</v>
      </c>
      <c r="G352" s="1412">
        <v>125.08</v>
      </c>
      <c r="H352" s="1414">
        <v>0.20477100000000001</v>
      </c>
      <c r="I352" s="1414">
        <v>1.7827000000000001E-3</v>
      </c>
      <c r="J352" s="1415">
        <v>129.82</v>
      </c>
    </row>
    <row r="353" spans="2:10" x14ac:dyDescent="0.25">
      <c r="B353" s="1412" t="s">
        <v>1087</v>
      </c>
      <c r="C353" s="1413">
        <v>2055</v>
      </c>
      <c r="D353" s="1412">
        <v>1022000</v>
      </c>
      <c r="E353" s="1414">
        <v>1021000</v>
      </c>
      <c r="F353" s="1415">
        <v>15510</v>
      </c>
      <c r="G353" s="1412">
        <v>1.6964999999999999</v>
      </c>
      <c r="H353" s="1414">
        <v>0.14096238999999999</v>
      </c>
      <c r="I353" s="1414">
        <v>3.2765999999999998E-5</v>
      </c>
      <c r="J353" s="1415">
        <v>5.9536999999999995</v>
      </c>
    </row>
    <row r="354" spans="2:10" x14ac:dyDescent="0.25">
      <c r="B354" s="1412" t="s">
        <v>716</v>
      </c>
      <c r="C354" s="1413">
        <v>2055</v>
      </c>
      <c r="D354" s="1412">
        <v>1022000</v>
      </c>
      <c r="E354" s="1414">
        <v>1021000</v>
      </c>
      <c r="F354" s="1415">
        <v>15510</v>
      </c>
      <c r="G354" s="1412">
        <v>1.6964999999999999</v>
      </c>
      <c r="H354" s="1414">
        <v>0.14096238999999999</v>
      </c>
      <c r="I354" s="1414">
        <v>3.2765999999999998E-5</v>
      </c>
      <c r="J354" s="1415">
        <v>5.9536999999999995</v>
      </c>
    </row>
    <row r="355" spans="2:10" x14ac:dyDescent="0.25">
      <c r="B355" s="1412" t="s">
        <v>717</v>
      </c>
      <c r="C355" s="1413">
        <v>2055</v>
      </c>
      <c r="D355" s="1412">
        <v>1022000</v>
      </c>
      <c r="E355" s="1414">
        <v>1021000</v>
      </c>
      <c r="F355" s="1415">
        <v>15510</v>
      </c>
      <c r="G355" s="1412">
        <v>1.6964999999999999</v>
      </c>
      <c r="H355" s="1414">
        <v>0.14096238999999999</v>
      </c>
      <c r="I355" s="1414">
        <v>3.2765999999999998E-5</v>
      </c>
      <c r="J355" s="1415">
        <v>5.9536999999999995</v>
      </c>
    </row>
    <row r="356" spans="2:10" x14ac:dyDescent="0.25">
      <c r="B356" s="1412" t="s">
        <v>912</v>
      </c>
      <c r="C356" s="1413">
        <v>2055</v>
      </c>
      <c r="D356" s="1412">
        <v>1209000</v>
      </c>
      <c r="E356" s="1414">
        <v>1202000</v>
      </c>
      <c r="F356" s="1415">
        <v>1052000</v>
      </c>
      <c r="G356" s="1412">
        <v>17.969000000000001</v>
      </c>
      <c r="H356" s="1414">
        <v>0.164128</v>
      </c>
      <c r="I356" s="1414">
        <v>2.9025999999999998E-4</v>
      </c>
      <c r="J356" s="1415">
        <v>22.988</v>
      </c>
    </row>
    <row r="357" spans="2:10" x14ac:dyDescent="0.25">
      <c r="B357" s="1412" t="s">
        <v>910</v>
      </c>
      <c r="C357" s="1413">
        <v>2055</v>
      </c>
      <c r="D357" s="1412">
        <v>1585000</v>
      </c>
      <c r="E357" s="1414">
        <v>696300</v>
      </c>
      <c r="F357" s="1415">
        <v>286000</v>
      </c>
      <c r="G357" s="1412">
        <v>38.049999999999997</v>
      </c>
      <c r="H357" s="1414">
        <v>0.1118</v>
      </c>
      <c r="I357" s="1414">
        <v>2.5350000000000001E-2</v>
      </c>
      <c r="J357" s="1415">
        <v>45.19</v>
      </c>
    </row>
    <row r="358" spans="2:10" x14ac:dyDescent="0.25">
      <c r="B358" s="1412" t="s">
        <v>913</v>
      </c>
      <c r="C358" s="1413">
        <v>2055</v>
      </c>
      <c r="D358" s="1412">
        <v>1249000</v>
      </c>
      <c r="E358" s="1414">
        <v>1242000</v>
      </c>
      <c r="F358" s="1415">
        <v>1078000</v>
      </c>
      <c r="G358" s="1412">
        <v>23.84</v>
      </c>
      <c r="H358" s="1414">
        <v>0.16985799999999998</v>
      </c>
      <c r="I358" s="1414">
        <v>3.7813000000000001E-4</v>
      </c>
      <c r="J358" s="1415">
        <v>29.157000000000004</v>
      </c>
    </row>
    <row r="359" spans="2:10" x14ac:dyDescent="0.25">
      <c r="B359" s="1412" t="s">
        <v>1081</v>
      </c>
      <c r="C359" s="1413">
        <v>2055</v>
      </c>
      <c r="D359" s="1412">
        <v>1190000</v>
      </c>
      <c r="E359" s="1414">
        <v>51590</v>
      </c>
      <c r="F359" s="1415">
        <v>29220</v>
      </c>
      <c r="G359" s="1412">
        <v>3.7582</v>
      </c>
      <c r="H359" s="1414">
        <v>8.4366999999999984E-3</v>
      </c>
      <c r="I359" s="1414">
        <v>-3.8261190000000002E-3</v>
      </c>
      <c r="J359" s="1415">
        <v>3.0054000000000003</v>
      </c>
    </row>
    <row r="360" spans="2:10" x14ac:dyDescent="0.25">
      <c r="B360" s="1412" t="s">
        <v>815</v>
      </c>
      <c r="C360" s="1413">
        <v>2055</v>
      </c>
      <c r="D360" s="1412">
        <v>1190000</v>
      </c>
      <c r="E360" s="1414">
        <v>51590</v>
      </c>
      <c r="F360" s="1415">
        <v>29220</v>
      </c>
      <c r="G360" s="1412">
        <v>3.7582</v>
      </c>
      <c r="H360" s="1414">
        <v>8.4366999999999984E-3</v>
      </c>
      <c r="I360" s="1414">
        <v>-3.8261190000000002E-3</v>
      </c>
      <c r="J360" s="1415">
        <v>3.0054000000000003</v>
      </c>
    </row>
    <row r="361" spans="2:10" x14ac:dyDescent="0.25">
      <c r="B361" s="1412" t="s">
        <v>824</v>
      </c>
      <c r="C361" s="1413">
        <v>2055</v>
      </c>
      <c r="D361" s="1412">
        <v>1190000</v>
      </c>
      <c r="E361" s="1414">
        <v>51590</v>
      </c>
      <c r="F361" s="1415">
        <v>29220</v>
      </c>
      <c r="G361" s="1412">
        <v>3.7582</v>
      </c>
      <c r="H361" s="1414">
        <v>8.4366999999999984E-3</v>
      </c>
      <c r="I361" s="1414">
        <v>-3.8261190000000002E-3</v>
      </c>
      <c r="J361" s="1415">
        <v>3.0054000000000003</v>
      </c>
    </row>
    <row r="362" spans="2:10" ht="13" thickBot="1" x14ac:dyDescent="0.3">
      <c r="B362" s="1416" t="s">
        <v>1088</v>
      </c>
      <c r="C362" s="1417">
        <v>2055</v>
      </c>
      <c r="D362" s="1416">
        <v>1384000</v>
      </c>
      <c r="E362" s="1418">
        <v>1383000</v>
      </c>
      <c r="F362" s="1419">
        <v>5034</v>
      </c>
      <c r="G362" s="1416">
        <v>78.571100000000001</v>
      </c>
      <c r="H362" s="1418">
        <v>0.27494000000000002</v>
      </c>
      <c r="I362" s="1418">
        <v>2.3304000000000003E-3</v>
      </c>
      <c r="J362" s="1419">
        <v>87.594300000000004</v>
      </c>
    </row>
    <row r="363" spans="2:10" x14ac:dyDescent="0.25">
      <c r="B363" s="1408" t="s">
        <v>1085</v>
      </c>
      <c r="C363" s="1409">
        <v>2060</v>
      </c>
      <c r="D363" s="1408">
        <v>1092000</v>
      </c>
      <c r="E363" s="1410">
        <v>1092000</v>
      </c>
      <c r="F363" s="1411">
        <v>3971</v>
      </c>
      <c r="G363" s="1408">
        <v>5.7390999999999996</v>
      </c>
      <c r="H363" s="1410">
        <v>0.18462200000000001</v>
      </c>
      <c r="I363" s="1410">
        <v>8.61E-4</v>
      </c>
      <c r="J363" s="1411">
        <v>11.5648</v>
      </c>
    </row>
    <row r="364" spans="2:10" x14ac:dyDescent="0.25">
      <c r="B364" s="1412" t="s">
        <v>283</v>
      </c>
      <c r="C364" s="1413">
        <v>2060</v>
      </c>
      <c r="D364" s="1412">
        <v>1092000</v>
      </c>
      <c r="E364" s="1414">
        <v>1092000</v>
      </c>
      <c r="F364" s="1415">
        <v>3971</v>
      </c>
      <c r="G364" s="1412">
        <v>5.7390999999999996</v>
      </c>
      <c r="H364" s="1414">
        <v>0.18462200000000001</v>
      </c>
      <c r="I364" s="1414">
        <v>8.61E-4</v>
      </c>
      <c r="J364" s="1415">
        <v>11.5648</v>
      </c>
    </row>
    <row r="365" spans="2:10" x14ac:dyDescent="0.25">
      <c r="B365" s="1412" t="s">
        <v>1086</v>
      </c>
      <c r="C365" s="1413">
        <v>2060</v>
      </c>
      <c r="D365" s="1412">
        <v>1092000</v>
      </c>
      <c r="E365" s="1414">
        <v>1092000</v>
      </c>
      <c r="F365" s="1415">
        <v>3971</v>
      </c>
      <c r="G365" s="1412">
        <v>5.7390999999999996</v>
      </c>
      <c r="H365" s="1414">
        <v>0.18462200000000001</v>
      </c>
      <c r="I365" s="1414">
        <v>8.61E-4</v>
      </c>
      <c r="J365" s="1415">
        <v>11.5648</v>
      </c>
    </row>
    <row r="366" spans="2:10" x14ac:dyDescent="0.25">
      <c r="B366" s="1412" t="s">
        <v>681</v>
      </c>
      <c r="C366" s="1413">
        <v>2060</v>
      </c>
      <c r="D366" s="1412">
        <v>1092000</v>
      </c>
      <c r="E366" s="1414">
        <v>1092000</v>
      </c>
      <c r="F366" s="1415">
        <v>3971</v>
      </c>
      <c r="G366" s="1412">
        <v>5.7390999999999996</v>
      </c>
      <c r="H366" s="1414">
        <v>0.18462200000000001</v>
      </c>
      <c r="I366" s="1414">
        <v>8.61E-4</v>
      </c>
      <c r="J366" s="1415">
        <v>11.5648</v>
      </c>
    </row>
    <row r="367" spans="2:10" x14ac:dyDescent="0.25">
      <c r="B367" s="1412" t="s">
        <v>682</v>
      </c>
      <c r="C367" s="1413">
        <v>2060</v>
      </c>
      <c r="D367" s="1412">
        <v>-1185000</v>
      </c>
      <c r="E367" s="1414">
        <v>0</v>
      </c>
      <c r="F367" s="1415">
        <v>0</v>
      </c>
      <c r="G367" s="1412">
        <v>-85.800000000000011</v>
      </c>
      <c r="H367" s="1414">
        <v>0.54700000000000004</v>
      </c>
      <c r="I367" s="1414">
        <v>-1.8286999999999999E-3</v>
      </c>
      <c r="J367" s="1415">
        <v>-70.08</v>
      </c>
    </row>
    <row r="368" spans="2:10" x14ac:dyDescent="0.25">
      <c r="B368" s="1412" t="s">
        <v>683</v>
      </c>
      <c r="C368" s="1413">
        <v>2060</v>
      </c>
      <c r="D368" s="1412">
        <v>1721000</v>
      </c>
      <c r="E368" s="1414">
        <v>1293000</v>
      </c>
      <c r="F368" s="1415">
        <v>15050</v>
      </c>
      <c r="G368" s="1412">
        <v>125.08</v>
      </c>
      <c r="H368" s="1414">
        <v>0.20477100000000001</v>
      </c>
      <c r="I368" s="1414">
        <v>1.7827000000000001E-3</v>
      </c>
      <c r="J368" s="1415">
        <v>129.82</v>
      </c>
    </row>
    <row r="369" spans="2:10" x14ac:dyDescent="0.25">
      <c r="B369" s="1412" t="s">
        <v>698</v>
      </c>
      <c r="C369" s="1413">
        <v>2060</v>
      </c>
      <c r="D369" s="1412">
        <v>1721000</v>
      </c>
      <c r="E369" s="1414">
        <v>1293000</v>
      </c>
      <c r="F369" s="1415">
        <v>15050</v>
      </c>
      <c r="G369" s="1412">
        <v>125.08</v>
      </c>
      <c r="H369" s="1414">
        <v>0.20477100000000001</v>
      </c>
      <c r="I369" s="1414">
        <v>1.7827000000000001E-3</v>
      </c>
      <c r="J369" s="1415">
        <v>129.82</v>
      </c>
    </row>
    <row r="370" spans="2:10" x14ac:dyDescent="0.25">
      <c r="B370" s="1412" t="s">
        <v>684</v>
      </c>
      <c r="C370" s="1413">
        <v>2060</v>
      </c>
      <c r="D370" s="1412">
        <v>1721000</v>
      </c>
      <c r="E370" s="1414">
        <v>1293000</v>
      </c>
      <c r="F370" s="1415">
        <v>15050</v>
      </c>
      <c r="G370" s="1412">
        <v>125.08</v>
      </c>
      <c r="H370" s="1414">
        <v>0.20477100000000001</v>
      </c>
      <c r="I370" s="1414">
        <v>1.7827000000000001E-3</v>
      </c>
      <c r="J370" s="1415">
        <v>129.82</v>
      </c>
    </row>
    <row r="371" spans="2:10" x14ac:dyDescent="0.25">
      <c r="B371" s="1412" t="s">
        <v>1087</v>
      </c>
      <c r="C371" s="1413">
        <v>2060</v>
      </c>
      <c r="D371" s="1412">
        <v>1022000</v>
      </c>
      <c r="E371" s="1414">
        <v>1021000</v>
      </c>
      <c r="F371" s="1415">
        <v>15510</v>
      </c>
      <c r="G371" s="1412">
        <v>1.6964999999999999</v>
      </c>
      <c r="H371" s="1414">
        <v>0.14096238999999999</v>
      </c>
      <c r="I371" s="1414">
        <v>3.2765999999999998E-5</v>
      </c>
      <c r="J371" s="1415">
        <v>5.9536999999999995</v>
      </c>
    </row>
    <row r="372" spans="2:10" x14ac:dyDescent="0.25">
      <c r="B372" s="1412" t="s">
        <v>716</v>
      </c>
      <c r="C372" s="1413">
        <v>2060</v>
      </c>
      <c r="D372" s="1412">
        <v>1022000</v>
      </c>
      <c r="E372" s="1414">
        <v>1021000</v>
      </c>
      <c r="F372" s="1415">
        <v>15510</v>
      </c>
      <c r="G372" s="1412">
        <v>1.6964999999999999</v>
      </c>
      <c r="H372" s="1414">
        <v>0.14096238999999999</v>
      </c>
      <c r="I372" s="1414">
        <v>3.2765999999999998E-5</v>
      </c>
      <c r="J372" s="1415">
        <v>5.9536999999999995</v>
      </c>
    </row>
    <row r="373" spans="2:10" x14ac:dyDescent="0.25">
      <c r="B373" s="1412" t="s">
        <v>717</v>
      </c>
      <c r="C373" s="1413">
        <v>2060</v>
      </c>
      <c r="D373" s="1412">
        <v>1022000</v>
      </c>
      <c r="E373" s="1414">
        <v>1021000</v>
      </c>
      <c r="F373" s="1415">
        <v>15510</v>
      </c>
      <c r="G373" s="1412">
        <v>1.6964999999999999</v>
      </c>
      <c r="H373" s="1414">
        <v>0.14096238999999999</v>
      </c>
      <c r="I373" s="1414">
        <v>3.2765999999999998E-5</v>
      </c>
      <c r="J373" s="1415">
        <v>5.9536999999999995</v>
      </c>
    </row>
    <row r="374" spans="2:10" x14ac:dyDescent="0.25">
      <c r="B374" s="1412" t="s">
        <v>912</v>
      </c>
      <c r="C374" s="1413">
        <v>2060</v>
      </c>
      <c r="D374" s="1412">
        <v>1209000</v>
      </c>
      <c r="E374" s="1414">
        <v>1202000</v>
      </c>
      <c r="F374" s="1415">
        <v>1052000</v>
      </c>
      <c r="G374" s="1412">
        <v>17.969000000000001</v>
      </c>
      <c r="H374" s="1414">
        <v>0.164128</v>
      </c>
      <c r="I374" s="1414">
        <v>2.9025999999999998E-4</v>
      </c>
      <c r="J374" s="1415">
        <v>22.988</v>
      </c>
    </row>
    <row r="375" spans="2:10" x14ac:dyDescent="0.25">
      <c r="B375" s="1412" t="s">
        <v>910</v>
      </c>
      <c r="C375" s="1413">
        <v>2060</v>
      </c>
      <c r="D375" s="1412">
        <v>1585000</v>
      </c>
      <c r="E375" s="1414">
        <v>696300</v>
      </c>
      <c r="F375" s="1415">
        <v>286000</v>
      </c>
      <c r="G375" s="1412">
        <v>38.049999999999997</v>
      </c>
      <c r="H375" s="1414">
        <v>0.1118</v>
      </c>
      <c r="I375" s="1414">
        <v>2.5350000000000001E-2</v>
      </c>
      <c r="J375" s="1415">
        <v>45.19</v>
      </c>
    </row>
    <row r="376" spans="2:10" x14ac:dyDescent="0.25">
      <c r="B376" s="1412" t="s">
        <v>913</v>
      </c>
      <c r="C376" s="1413">
        <v>2060</v>
      </c>
      <c r="D376" s="1412">
        <v>1249000</v>
      </c>
      <c r="E376" s="1414">
        <v>1242000</v>
      </c>
      <c r="F376" s="1415">
        <v>1078000</v>
      </c>
      <c r="G376" s="1412">
        <v>23.84</v>
      </c>
      <c r="H376" s="1414">
        <v>0.16985799999999998</v>
      </c>
      <c r="I376" s="1414">
        <v>3.7813000000000001E-4</v>
      </c>
      <c r="J376" s="1415">
        <v>29.157000000000004</v>
      </c>
    </row>
    <row r="377" spans="2:10" x14ac:dyDescent="0.25">
      <c r="B377" s="1412" t="s">
        <v>1081</v>
      </c>
      <c r="C377" s="1413">
        <v>2060</v>
      </c>
      <c r="D377" s="1412">
        <v>1190000</v>
      </c>
      <c r="E377" s="1414">
        <v>51590</v>
      </c>
      <c r="F377" s="1415">
        <v>29220</v>
      </c>
      <c r="G377" s="1412">
        <v>3.7582</v>
      </c>
      <c r="H377" s="1414">
        <v>8.4366999999999984E-3</v>
      </c>
      <c r="I377" s="1414">
        <v>-3.8261190000000002E-3</v>
      </c>
      <c r="J377" s="1415">
        <v>3.0054000000000003</v>
      </c>
    </row>
    <row r="378" spans="2:10" x14ac:dyDescent="0.25">
      <c r="B378" s="1412" t="s">
        <v>815</v>
      </c>
      <c r="C378" s="1413">
        <v>2060</v>
      </c>
      <c r="D378" s="1412">
        <v>1190000</v>
      </c>
      <c r="E378" s="1414">
        <v>51590</v>
      </c>
      <c r="F378" s="1415">
        <v>29220</v>
      </c>
      <c r="G378" s="1412">
        <v>3.7582</v>
      </c>
      <c r="H378" s="1414">
        <v>8.4366999999999984E-3</v>
      </c>
      <c r="I378" s="1414">
        <v>-3.8261190000000002E-3</v>
      </c>
      <c r="J378" s="1415">
        <v>3.0054000000000003</v>
      </c>
    </row>
    <row r="379" spans="2:10" x14ac:dyDescent="0.25">
      <c r="B379" s="1412" t="s">
        <v>824</v>
      </c>
      <c r="C379" s="1413">
        <v>2060</v>
      </c>
      <c r="D379" s="1412">
        <v>1190000</v>
      </c>
      <c r="E379" s="1414">
        <v>51590</v>
      </c>
      <c r="F379" s="1415">
        <v>29220</v>
      </c>
      <c r="G379" s="1412">
        <v>3.7582</v>
      </c>
      <c r="H379" s="1414">
        <v>8.4366999999999984E-3</v>
      </c>
      <c r="I379" s="1414">
        <v>-3.8261190000000002E-3</v>
      </c>
      <c r="J379" s="1415">
        <v>3.0054000000000003</v>
      </c>
    </row>
    <row r="380" spans="2:10" ht="13" thickBot="1" x14ac:dyDescent="0.3">
      <c r="B380" s="1416" t="s">
        <v>1088</v>
      </c>
      <c r="C380" s="1417">
        <v>2060</v>
      </c>
      <c r="D380" s="1416">
        <v>1384000</v>
      </c>
      <c r="E380" s="1418">
        <v>1383000</v>
      </c>
      <c r="F380" s="1419">
        <v>5034</v>
      </c>
      <c r="G380" s="1416">
        <v>78.571100000000001</v>
      </c>
      <c r="H380" s="1418">
        <v>0.27494000000000002</v>
      </c>
      <c r="I380" s="1418">
        <v>2.3304000000000003E-3</v>
      </c>
      <c r="J380" s="1419">
        <v>87.594300000000004</v>
      </c>
    </row>
    <row r="381" spans="2:10" x14ac:dyDescent="0.25">
      <c r="B381" s="1408" t="s">
        <v>1085</v>
      </c>
      <c r="C381" s="1409">
        <v>2065</v>
      </c>
      <c r="D381" s="1408">
        <v>1092000</v>
      </c>
      <c r="E381" s="1410">
        <v>1092000</v>
      </c>
      <c r="F381" s="1411">
        <v>3971</v>
      </c>
      <c r="G381" s="1408">
        <v>5.7390999999999996</v>
      </c>
      <c r="H381" s="1410">
        <v>0.18462200000000001</v>
      </c>
      <c r="I381" s="1410">
        <v>8.61E-4</v>
      </c>
      <c r="J381" s="1411">
        <v>11.5648</v>
      </c>
    </row>
    <row r="382" spans="2:10" x14ac:dyDescent="0.25">
      <c r="B382" s="1412" t="s">
        <v>283</v>
      </c>
      <c r="C382" s="1413">
        <v>2065</v>
      </c>
      <c r="D382" s="1412">
        <v>1092000</v>
      </c>
      <c r="E382" s="1414">
        <v>1092000</v>
      </c>
      <c r="F382" s="1415">
        <v>3971</v>
      </c>
      <c r="G382" s="1412">
        <v>5.7390999999999996</v>
      </c>
      <c r="H382" s="1414">
        <v>0.18462200000000001</v>
      </c>
      <c r="I382" s="1414">
        <v>8.61E-4</v>
      </c>
      <c r="J382" s="1415">
        <v>11.5648</v>
      </c>
    </row>
    <row r="383" spans="2:10" x14ac:dyDescent="0.25">
      <c r="B383" s="1412" t="s">
        <v>1086</v>
      </c>
      <c r="C383" s="1413">
        <v>2065</v>
      </c>
      <c r="D383" s="1412">
        <v>1092000</v>
      </c>
      <c r="E383" s="1414">
        <v>1092000</v>
      </c>
      <c r="F383" s="1415">
        <v>3971</v>
      </c>
      <c r="G383" s="1412">
        <v>5.7390999999999996</v>
      </c>
      <c r="H383" s="1414">
        <v>0.18462200000000001</v>
      </c>
      <c r="I383" s="1414">
        <v>8.61E-4</v>
      </c>
      <c r="J383" s="1415">
        <v>11.5648</v>
      </c>
    </row>
    <row r="384" spans="2:10" x14ac:dyDescent="0.25">
      <c r="B384" s="1412" t="s">
        <v>681</v>
      </c>
      <c r="C384" s="1413">
        <v>2065</v>
      </c>
      <c r="D384" s="1412">
        <v>1092000</v>
      </c>
      <c r="E384" s="1414">
        <v>1092000</v>
      </c>
      <c r="F384" s="1415">
        <v>3971</v>
      </c>
      <c r="G384" s="1412">
        <v>5.7390999999999996</v>
      </c>
      <c r="H384" s="1414">
        <v>0.18462200000000001</v>
      </c>
      <c r="I384" s="1414">
        <v>8.61E-4</v>
      </c>
      <c r="J384" s="1415">
        <v>11.5648</v>
      </c>
    </row>
    <row r="385" spans="2:10" x14ac:dyDescent="0.25">
      <c r="B385" s="1412" t="s">
        <v>682</v>
      </c>
      <c r="C385" s="1413">
        <v>2065</v>
      </c>
      <c r="D385" s="1412">
        <v>-1185000</v>
      </c>
      <c r="E385" s="1414">
        <v>0</v>
      </c>
      <c r="F385" s="1415">
        <v>0</v>
      </c>
      <c r="G385" s="1412">
        <v>-85.800000000000011</v>
      </c>
      <c r="H385" s="1414">
        <v>0.54700000000000004</v>
      </c>
      <c r="I385" s="1414">
        <v>-1.8286999999999999E-3</v>
      </c>
      <c r="J385" s="1415">
        <v>-70.08</v>
      </c>
    </row>
    <row r="386" spans="2:10" x14ac:dyDescent="0.25">
      <c r="B386" s="1412" t="s">
        <v>683</v>
      </c>
      <c r="C386" s="1413">
        <v>2065</v>
      </c>
      <c r="D386" s="1412">
        <v>1721000</v>
      </c>
      <c r="E386" s="1414">
        <v>1293000</v>
      </c>
      <c r="F386" s="1415">
        <v>15050</v>
      </c>
      <c r="G386" s="1412">
        <v>125.08</v>
      </c>
      <c r="H386" s="1414">
        <v>0.20477100000000001</v>
      </c>
      <c r="I386" s="1414">
        <v>1.7827000000000001E-3</v>
      </c>
      <c r="J386" s="1415">
        <v>129.82</v>
      </c>
    </row>
    <row r="387" spans="2:10" x14ac:dyDescent="0.25">
      <c r="B387" s="1412" t="s">
        <v>698</v>
      </c>
      <c r="C387" s="1413">
        <v>2065</v>
      </c>
      <c r="D387" s="1412">
        <v>1721000</v>
      </c>
      <c r="E387" s="1414">
        <v>1293000</v>
      </c>
      <c r="F387" s="1415">
        <v>15050</v>
      </c>
      <c r="G387" s="1412">
        <v>125.08</v>
      </c>
      <c r="H387" s="1414">
        <v>0.20477100000000001</v>
      </c>
      <c r="I387" s="1414">
        <v>1.7827000000000001E-3</v>
      </c>
      <c r="J387" s="1415">
        <v>129.82</v>
      </c>
    </row>
    <row r="388" spans="2:10" x14ac:dyDescent="0.25">
      <c r="B388" s="1412" t="s">
        <v>684</v>
      </c>
      <c r="C388" s="1413">
        <v>2065</v>
      </c>
      <c r="D388" s="1412">
        <v>1721000</v>
      </c>
      <c r="E388" s="1414">
        <v>1293000</v>
      </c>
      <c r="F388" s="1415">
        <v>15050</v>
      </c>
      <c r="G388" s="1412">
        <v>125.08</v>
      </c>
      <c r="H388" s="1414">
        <v>0.20477100000000001</v>
      </c>
      <c r="I388" s="1414">
        <v>1.7827000000000001E-3</v>
      </c>
      <c r="J388" s="1415">
        <v>129.82</v>
      </c>
    </row>
    <row r="389" spans="2:10" x14ac:dyDescent="0.25">
      <c r="B389" s="1412" t="s">
        <v>1087</v>
      </c>
      <c r="C389" s="1413">
        <v>2065</v>
      </c>
      <c r="D389" s="1412">
        <v>1022000</v>
      </c>
      <c r="E389" s="1414">
        <v>1021000</v>
      </c>
      <c r="F389" s="1415">
        <v>15510</v>
      </c>
      <c r="G389" s="1412">
        <v>1.6964999999999999</v>
      </c>
      <c r="H389" s="1414">
        <v>0.14096238999999999</v>
      </c>
      <c r="I389" s="1414">
        <v>3.2765999999999998E-5</v>
      </c>
      <c r="J389" s="1415">
        <v>5.9536999999999995</v>
      </c>
    </row>
    <row r="390" spans="2:10" x14ac:dyDescent="0.25">
      <c r="B390" s="1412" t="s">
        <v>716</v>
      </c>
      <c r="C390" s="1413">
        <v>2065</v>
      </c>
      <c r="D390" s="1412">
        <v>1022000</v>
      </c>
      <c r="E390" s="1414">
        <v>1021000</v>
      </c>
      <c r="F390" s="1415">
        <v>15510</v>
      </c>
      <c r="G390" s="1412">
        <v>1.6964999999999999</v>
      </c>
      <c r="H390" s="1414">
        <v>0.14096238999999999</v>
      </c>
      <c r="I390" s="1414">
        <v>3.2765999999999998E-5</v>
      </c>
      <c r="J390" s="1415">
        <v>5.9536999999999995</v>
      </c>
    </row>
    <row r="391" spans="2:10" x14ac:dyDescent="0.25">
      <c r="B391" s="1412" t="s">
        <v>717</v>
      </c>
      <c r="C391" s="1413">
        <v>2065</v>
      </c>
      <c r="D391" s="1412">
        <v>1022000</v>
      </c>
      <c r="E391" s="1414">
        <v>1021000</v>
      </c>
      <c r="F391" s="1415">
        <v>15510</v>
      </c>
      <c r="G391" s="1412">
        <v>1.6964999999999999</v>
      </c>
      <c r="H391" s="1414">
        <v>0.14096238999999999</v>
      </c>
      <c r="I391" s="1414">
        <v>3.2765999999999998E-5</v>
      </c>
      <c r="J391" s="1415">
        <v>5.9536999999999995</v>
      </c>
    </row>
    <row r="392" spans="2:10" x14ac:dyDescent="0.25">
      <c r="B392" s="1412" t="s">
        <v>912</v>
      </c>
      <c r="C392" s="1413">
        <v>2065</v>
      </c>
      <c r="D392" s="1412">
        <v>1209000</v>
      </c>
      <c r="E392" s="1414">
        <v>1202000</v>
      </c>
      <c r="F392" s="1415">
        <v>1052000</v>
      </c>
      <c r="G392" s="1412">
        <v>17.969000000000001</v>
      </c>
      <c r="H392" s="1414">
        <v>0.164128</v>
      </c>
      <c r="I392" s="1414">
        <v>2.9025999999999998E-4</v>
      </c>
      <c r="J392" s="1415">
        <v>22.988</v>
      </c>
    </row>
    <row r="393" spans="2:10" x14ac:dyDescent="0.25">
      <c r="B393" s="1412" t="s">
        <v>910</v>
      </c>
      <c r="C393" s="1413">
        <v>2065</v>
      </c>
      <c r="D393" s="1412">
        <v>1585000</v>
      </c>
      <c r="E393" s="1414">
        <v>696300</v>
      </c>
      <c r="F393" s="1415">
        <v>286000</v>
      </c>
      <c r="G393" s="1412">
        <v>38.049999999999997</v>
      </c>
      <c r="H393" s="1414">
        <v>0.1118</v>
      </c>
      <c r="I393" s="1414">
        <v>2.5350000000000001E-2</v>
      </c>
      <c r="J393" s="1415">
        <v>45.19</v>
      </c>
    </row>
    <row r="394" spans="2:10" x14ac:dyDescent="0.25">
      <c r="B394" s="1412" t="s">
        <v>913</v>
      </c>
      <c r="C394" s="1413">
        <v>2065</v>
      </c>
      <c r="D394" s="1412">
        <v>1249000</v>
      </c>
      <c r="E394" s="1414">
        <v>1242000</v>
      </c>
      <c r="F394" s="1415">
        <v>1078000</v>
      </c>
      <c r="G394" s="1412">
        <v>23.84</v>
      </c>
      <c r="H394" s="1414">
        <v>0.16985799999999998</v>
      </c>
      <c r="I394" s="1414">
        <v>3.7813000000000001E-4</v>
      </c>
      <c r="J394" s="1415">
        <v>29.157000000000004</v>
      </c>
    </row>
    <row r="395" spans="2:10" x14ac:dyDescent="0.25">
      <c r="B395" s="1412" t="s">
        <v>1081</v>
      </c>
      <c r="C395" s="1413">
        <v>2065</v>
      </c>
      <c r="D395" s="1412">
        <v>1190000</v>
      </c>
      <c r="E395" s="1414">
        <v>51590</v>
      </c>
      <c r="F395" s="1415">
        <v>29220</v>
      </c>
      <c r="G395" s="1412">
        <v>3.7582</v>
      </c>
      <c r="H395" s="1414">
        <v>8.4366999999999984E-3</v>
      </c>
      <c r="I395" s="1414">
        <v>-3.8261190000000002E-3</v>
      </c>
      <c r="J395" s="1415">
        <v>3.0054000000000003</v>
      </c>
    </row>
    <row r="396" spans="2:10" x14ac:dyDescent="0.25">
      <c r="B396" s="1412" t="s">
        <v>815</v>
      </c>
      <c r="C396" s="1413">
        <v>2065</v>
      </c>
      <c r="D396" s="1412">
        <v>1190000</v>
      </c>
      <c r="E396" s="1414">
        <v>51590</v>
      </c>
      <c r="F396" s="1415">
        <v>29220</v>
      </c>
      <c r="G396" s="1412">
        <v>3.7582</v>
      </c>
      <c r="H396" s="1414">
        <v>8.4366999999999984E-3</v>
      </c>
      <c r="I396" s="1414">
        <v>-3.8261190000000002E-3</v>
      </c>
      <c r="J396" s="1415">
        <v>3.0054000000000003</v>
      </c>
    </row>
    <row r="397" spans="2:10" x14ac:dyDescent="0.25">
      <c r="B397" s="1412" t="s">
        <v>824</v>
      </c>
      <c r="C397" s="1413">
        <v>2065</v>
      </c>
      <c r="D397" s="1412">
        <v>1190000</v>
      </c>
      <c r="E397" s="1414">
        <v>51590</v>
      </c>
      <c r="F397" s="1415">
        <v>29220</v>
      </c>
      <c r="G397" s="1412">
        <v>3.7582</v>
      </c>
      <c r="H397" s="1414">
        <v>8.4366999999999984E-3</v>
      </c>
      <c r="I397" s="1414">
        <v>-3.8261190000000002E-3</v>
      </c>
      <c r="J397" s="1415">
        <v>3.0054000000000003</v>
      </c>
    </row>
    <row r="398" spans="2:10" ht="13" thickBot="1" x14ac:dyDescent="0.3">
      <c r="B398" s="1416" t="s">
        <v>1088</v>
      </c>
      <c r="C398" s="1417">
        <v>2065</v>
      </c>
      <c r="D398" s="1416">
        <v>1384000</v>
      </c>
      <c r="E398" s="1418">
        <v>1383000</v>
      </c>
      <c r="F398" s="1419">
        <v>5034</v>
      </c>
      <c r="G398" s="1416">
        <v>78.571100000000001</v>
      </c>
      <c r="H398" s="1418">
        <v>0.27494000000000002</v>
      </c>
      <c r="I398" s="1418">
        <v>2.3304000000000003E-3</v>
      </c>
      <c r="J398" s="1419">
        <v>87.594300000000004</v>
      </c>
    </row>
    <row r="399" spans="2:10" x14ac:dyDescent="0.25">
      <c r="B399" s="1408" t="s">
        <v>1085</v>
      </c>
      <c r="C399" s="1409">
        <v>2070</v>
      </c>
      <c r="D399" s="1408">
        <v>1092000</v>
      </c>
      <c r="E399" s="1410">
        <v>1092000</v>
      </c>
      <c r="F399" s="1411">
        <v>3971</v>
      </c>
      <c r="G399" s="1408">
        <v>5.7390999999999996</v>
      </c>
      <c r="H399" s="1410">
        <v>0.18462200000000001</v>
      </c>
      <c r="I399" s="1410">
        <v>8.61E-4</v>
      </c>
      <c r="J399" s="1411">
        <v>11.5648</v>
      </c>
    </row>
    <row r="400" spans="2:10" x14ac:dyDescent="0.25">
      <c r="B400" s="1412" t="s">
        <v>283</v>
      </c>
      <c r="C400" s="1413">
        <v>2070</v>
      </c>
      <c r="D400" s="1412">
        <v>1092000</v>
      </c>
      <c r="E400" s="1414">
        <v>1092000</v>
      </c>
      <c r="F400" s="1415">
        <v>3971</v>
      </c>
      <c r="G400" s="1412">
        <v>5.7390999999999996</v>
      </c>
      <c r="H400" s="1414">
        <v>0.18462200000000001</v>
      </c>
      <c r="I400" s="1414">
        <v>8.61E-4</v>
      </c>
      <c r="J400" s="1415">
        <v>11.5648</v>
      </c>
    </row>
    <row r="401" spans="2:10" x14ac:dyDescent="0.25">
      <c r="B401" s="1412" t="s">
        <v>1086</v>
      </c>
      <c r="C401" s="1413">
        <v>2070</v>
      </c>
      <c r="D401" s="1412">
        <v>1092000</v>
      </c>
      <c r="E401" s="1414">
        <v>1092000</v>
      </c>
      <c r="F401" s="1415">
        <v>3971</v>
      </c>
      <c r="G401" s="1412">
        <v>5.7390999999999996</v>
      </c>
      <c r="H401" s="1414">
        <v>0.18462200000000001</v>
      </c>
      <c r="I401" s="1414">
        <v>8.61E-4</v>
      </c>
      <c r="J401" s="1415">
        <v>11.5648</v>
      </c>
    </row>
    <row r="402" spans="2:10" x14ac:dyDescent="0.25">
      <c r="B402" s="1412" t="s">
        <v>681</v>
      </c>
      <c r="C402" s="1413">
        <v>2070</v>
      </c>
      <c r="D402" s="1412">
        <v>1092000</v>
      </c>
      <c r="E402" s="1414">
        <v>1092000</v>
      </c>
      <c r="F402" s="1415">
        <v>3971</v>
      </c>
      <c r="G402" s="1412">
        <v>5.7390999999999996</v>
      </c>
      <c r="H402" s="1414">
        <v>0.18462200000000001</v>
      </c>
      <c r="I402" s="1414">
        <v>8.61E-4</v>
      </c>
      <c r="J402" s="1415">
        <v>11.5648</v>
      </c>
    </row>
    <row r="403" spans="2:10" x14ac:dyDescent="0.25">
      <c r="B403" s="1412" t="s">
        <v>682</v>
      </c>
      <c r="C403" s="1413">
        <v>2070</v>
      </c>
      <c r="D403" s="1412">
        <v>-1185000</v>
      </c>
      <c r="E403" s="1414">
        <v>0</v>
      </c>
      <c r="F403" s="1415">
        <v>0</v>
      </c>
      <c r="G403" s="1412">
        <v>-85.800000000000011</v>
      </c>
      <c r="H403" s="1414">
        <v>0.54700000000000004</v>
      </c>
      <c r="I403" s="1414">
        <v>-1.8286999999999999E-3</v>
      </c>
      <c r="J403" s="1415">
        <v>-70.08</v>
      </c>
    </row>
    <row r="404" spans="2:10" x14ac:dyDescent="0.25">
      <c r="B404" s="1412" t="s">
        <v>683</v>
      </c>
      <c r="C404" s="1413">
        <v>2070</v>
      </c>
      <c r="D404" s="1412">
        <v>1721000</v>
      </c>
      <c r="E404" s="1414">
        <v>1293000</v>
      </c>
      <c r="F404" s="1415">
        <v>15050</v>
      </c>
      <c r="G404" s="1412">
        <v>125.08</v>
      </c>
      <c r="H404" s="1414">
        <v>0.20477100000000001</v>
      </c>
      <c r="I404" s="1414">
        <v>1.7827000000000001E-3</v>
      </c>
      <c r="J404" s="1415">
        <v>129.82</v>
      </c>
    </row>
    <row r="405" spans="2:10" x14ac:dyDescent="0.25">
      <c r="B405" s="1412" t="s">
        <v>698</v>
      </c>
      <c r="C405" s="1413">
        <v>2070</v>
      </c>
      <c r="D405" s="1412">
        <v>1721000</v>
      </c>
      <c r="E405" s="1414">
        <v>1293000</v>
      </c>
      <c r="F405" s="1415">
        <v>15050</v>
      </c>
      <c r="G405" s="1412">
        <v>125.08</v>
      </c>
      <c r="H405" s="1414">
        <v>0.20477100000000001</v>
      </c>
      <c r="I405" s="1414">
        <v>1.7827000000000001E-3</v>
      </c>
      <c r="J405" s="1415">
        <v>129.82</v>
      </c>
    </row>
    <row r="406" spans="2:10" x14ac:dyDescent="0.25">
      <c r="B406" s="1412" t="s">
        <v>684</v>
      </c>
      <c r="C406" s="1413">
        <v>2070</v>
      </c>
      <c r="D406" s="1412">
        <v>1721000</v>
      </c>
      <c r="E406" s="1414">
        <v>1293000</v>
      </c>
      <c r="F406" s="1415">
        <v>15050</v>
      </c>
      <c r="G406" s="1412">
        <v>125.08</v>
      </c>
      <c r="H406" s="1414">
        <v>0.20477100000000001</v>
      </c>
      <c r="I406" s="1414">
        <v>1.7827000000000001E-3</v>
      </c>
      <c r="J406" s="1415">
        <v>129.82</v>
      </c>
    </row>
    <row r="407" spans="2:10" x14ac:dyDescent="0.25">
      <c r="B407" s="1412" t="s">
        <v>1087</v>
      </c>
      <c r="C407" s="1413">
        <v>2070</v>
      </c>
      <c r="D407" s="1412">
        <v>1022000</v>
      </c>
      <c r="E407" s="1414">
        <v>1021000</v>
      </c>
      <c r="F407" s="1415">
        <v>15510</v>
      </c>
      <c r="G407" s="1412">
        <v>1.6964999999999999</v>
      </c>
      <c r="H407" s="1414">
        <v>0.14096238999999999</v>
      </c>
      <c r="I407" s="1414">
        <v>3.2765999999999998E-5</v>
      </c>
      <c r="J407" s="1415">
        <v>5.9536999999999995</v>
      </c>
    </row>
    <row r="408" spans="2:10" x14ac:dyDescent="0.25">
      <c r="B408" s="1412" t="s">
        <v>716</v>
      </c>
      <c r="C408" s="1413">
        <v>2070</v>
      </c>
      <c r="D408" s="1412">
        <v>1022000</v>
      </c>
      <c r="E408" s="1414">
        <v>1021000</v>
      </c>
      <c r="F408" s="1415">
        <v>15510</v>
      </c>
      <c r="G408" s="1412">
        <v>1.6964999999999999</v>
      </c>
      <c r="H408" s="1414">
        <v>0.14096238999999999</v>
      </c>
      <c r="I408" s="1414">
        <v>3.2765999999999998E-5</v>
      </c>
      <c r="J408" s="1415">
        <v>5.9536999999999995</v>
      </c>
    </row>
    <row r="409" spans="2:10" x14ac:dyDescent="0.25">
      <c r="B409" s="1412" t="s">
        <v>717</v>
      </c>
      <c r="C409" s="1413">
        <v>2070</v>
      </c>
      <c r="D409" s="1412">
        <v>1022000</v>
      </c>
      <c r="E409" s="1414">
        <v>1021000</v>
      </c>
      <c r="F409" s="1415">
        <v>15510</v>
      </c>
      <c r="G409" s="1412">
        <v>1.6964999999999999</v>
      </c>
      <c r="H409" s="1414">
        <v>0.14096238999999999</v>
      </c>
      <c r="I409" s="1414">
        <v>3.2765999999999998E-5</v>
      </c>
      <c r="J409" s="1415">
        <v>5.9536999999999995</v>
      </c>
    </row>
    <row r="410" spans="2:10" x14ac:dyDescent="0.25">
      <c r="B410" s="1412" t="s">
        <v>912</v>
      </c>
      <c r="C410" s="1413">
        <v>2070</v>
      </c>
      <c r="D410" s="1412">
        <v>1209000</v>
      </c>
      <c r="E410" s="1414">
        <v>1202000</v>
      </c>
      <c r="F410" s="1415">
        <v>1052000</v>
      </c>
      <c r="G410" s="1412">
        <v>17.969000000000001</v>
      </c>
      <c r="H410" s="1414">
        <v>0.164128</v>
      </c>
      <c r="I410" s="1414">
        <v>2.9025999999999998E-4</v>
      </c>
      <c r="J410" s="1415">
        <v>22.988</v>
      </c>
    </row>
    <row r="411" spans="2:10" x14ac:dyDescent="0.25">
      <c r="B411" s="1412" t="s">
        <v>910</v>
      </c>
      <c r="C411" s="1413">
        <v>2070</v>
      </c>
      <c r="D411" s="1412">
        <v>1585000</v>
      </c>
      <c r="E411" s="1414">
        <v>696300</v>
      </c>
      <c r="F411" s="1415">
        <v>286000</v>
      </c>
      <c r="G411" s="1412">
        <v>38.049999999999997</v>
      </c>
      <c r="H411" s="1414">
        <v>0.1118</v>
      </c>
      <c r="I411" s="1414">
        <v>2.5350000000000001E-2</v>
      </c>
      <c r="J411" s="1415">
        <v>45.19</v>
      </c>
    </row>
    <row r="412" spans="2:10" x14ac:dyDescent="0.25">
      <c r="B412" s="1412" t="s">
        <v>913</v>
      </c>
      <c r="C412" s="1413">
        <v>2070</v>
      </c>
      <c r="D412" s="1412">
        <v>1249000</v>
      </c>
      <c r="E412" s="1414">
        <v>1242000</v>
      </c>
      <c r="F412" s="1415">
        <v>1078000</v>
      </c>
      <c r="G412" s="1412">
        <v>23.84</v>
      </c>
      <c r="H412" s="1414">
        <v>0.16985799999999998</v>
      </c>
      <c r="I412" s="1414">
        <v>3.7813000000000001E-4</v>
      </c>
      <c r="J412" s="1415">
        <v>29.157000000000004</v>
      </c>
    </row>
    <row r="413" spans="2:10" x14ac:dyDescent="0.25">
      <c r="B413" s="1412" t="s">
        <v>1081</v>
      </c>
      <c r="C413" s="1413">
        <v>2070</v>
      </c>
      <c r="D413" s="1412">
        <v>1190000</v>
      </c>
      <c r="E413" s="1414">
        <v>51590</v>
      </c>
      <c r="F413" s="1415">
        <v>29220</v>
      </c>
      <c r="G413" s="1412">
        <v>3.7582</v>
      </c>
      <c r="H413" s="1414">
        <v>8.4366999999999984E-3</v>
      </c>
      <c r="I413" s="1414">
        <v>-3.8261190000000002E-3</v>
      </c>
      <c r="J413" s="1415">
        <v>3.0054000000000003</v>
      </c>
    </row>
    <row r="414" spans="2:10" x14ac:dyDescent="0.25">
      <c r="B414" s="1412" t="s">
        <v>815</v>
      </c>
      <c r="C414" s="1413">
        <v>2070</v>
      </c>
      <c r="D414" s="1412">
        <v>1190000</v>
      </c>
      <c r="E414" s="1414">
        <v>51590</v>
      </c>
      <c r="F414" s="1415">
        <v>29220</v>
      </c>
      <c r="G414" s="1412">
        <v>3.7582</v>
      </c>
      <c r="H414" s="1414">
        <v>8.4366999999999984E-3</v>
      </c>
      <c r="I414" s="1414">
        <v>-3.8261190000000002E-3</v>
      </c>
      <c r="J414" s="1415">
        <v>3.0054000000000003</v>
      </c>
    </row>
    <row r="415" spans="2:10" x14ac:dyDescent="0.25">
      <c r="B415" s="1412" t="s">
        <v>824</v>
      </c>
      <c r="C415" s="1413">
        <v>2070</v>
      </c>
      <c r="D415" s="1412">
        <v>1190000</v>
      </c>
      <c r="E415" s="1414">
        <v>51590</v>
      </c>
      <c r="F415" s="1415">
        <v>29220</v>
      </c>
      <c r="G415" s="1412">
        <v>3.7582</v>
      </c>
      <c r="H415" s="1414">
        <v>8.4366999999999984E-3</v>
      </c>
      <c r="I415" s="1414">
        <v>-3.8261190000000002E-3</v>
      </c>
      <c r="J415" s="1415">
        <v>3.0054000000000003</v>
      </c>
    </row>
    <row r="416" spans="2:10" ht="13" thickBot="1" x14ac:dyDescent="0.3">
      <c r="B416" s="1416" t="s">
        <v>1088</v>
      </c>
      <c r="C416" s="1417">
        <v>2070</v>
      </c>
      <c r="D416" s="1416">
        <v>1384000</v>
      </c>
      <c r="E416" s="1418">
        <v>1383000</v>
      </c>
      <c r="F416" s="1419">
        <v>5034</v>
      </c>
      <c r="G416" s="1416">
        <v>78.571100000000001</v>
      </c>
      <c r="H416" s="1418">
        <v>0.27494000000000002</v>
      </c>
      <c r="I416" s="1418">
        <v>2.3304000000000003E-3</v>
      </c>
      <c r="J416" s="1419">
        <v>87.594300000000004</v>
      </c>
    </row>
    <row r="417" spans="2:10" x14ac:dyDescent="0.25">
      <c r="B417" s="1408" t="s">
        <v>1085</v>
      </c>
      <c r="C417" s="1409">
        <v>2075</v>
      </c>
      <c r="D417" s="1408">
        <v>1092000</v>
      </c>
      <c r="E417" s="1410">
        <v>1092000</v>
      </c>
      <c r="F417" s="1411">
        <v>3971</v>
      </c>
      <c r="G417" s="1408">
        <v>5.7390999999999996</v>
      </c>
      <c r="H417" s="1410">
        <v>0.18462200000000001</v>
      </c>
      <c r="I417" s="1410">
        <v>8.61E-4</v>
      </c>
      <c r="J417" s="1411">
        <v>11.5648</v>
      </c>
    </row>
    <row r="418" spans="2:10" x14ac:dyDescent="0.25">
      <c r="B418" s="1412" t="s">
        <v>283</v>
      </c>
      <c r="C418" s="1413">
        <v>2075</v>
      </c>
      <c r="D418" s="1412">
        <v>1092000</v>
      </c>
      <c r="E418" s="1414">
        <v>1092000</v>
      </c>
      <c r="F418" s="1415">
        <v>3971</v>
      </c>
      <c r="G418" s="1412">
        <v>5.7390999999999996</v>
      </c>
      <c r="H418" s="1414">
        <v>0.18462200000000001</v>
      </c>
      <c r="I418" s="1414">
        <v>8.61E-4</v>
      </c>
      <c r="J418" s="1415">
        <v>11.5648</v>
      </c>
    </row>
    <row r="419" spans="2:10" x14ac:dyDescent="0.25">
      <c r="B419" s="1412" t="s">
        <v>1086</v>
      </c>
      <c r="C419" s="1413">
        <v>2075</v>
      </c>
      <c r="D419" s="1412">
        <v>1092000</v>
      </c>
      <c r="E419" s="1414">
        <v>1092000</v>
      </c>
      <c r="F419" s="1415">
        <v>3971</v>
      </c>
      <c r="G419" s="1412">
        <v>5.7390999999999996</v>
      </c>
      <c r="H419" s="1414">
        <v>0.18462200000000001</v>
      </c>
      <c r="I419" s="1414">
        <v>8.61E-4</v>
      </c>
      <c r="J419" s="1415">
        <v>11.5648</v>
      </c>
    </row>
    <row r="420" spans="2:10" x14ac:dyDescent="0.25">
      <c r="B420" s="1412" t="s">
        <v>681</v>
      </c>
      <c r="C420" s="1413">
        <v>2075</v>
      </c>
      <c r="D420" s="1412">
        <v>1092000</v>
      </c>
      <c r="E420" s="1414">
        <v>1092000</v>
      </c>
      <c r="F420" s="1415">
        <v>3971</v>
      </c>
      <c r="G420" s="1412">
        <v>5.7390999999999996</v>
      </c>
      <c r="H420" s="1414">
        <v>0.18462200000000001</v>
      </c>
      <c r="I420" s="1414">
        <v>8.61E-4</v>
      </c>
      <c r="J420" s="1415">
        <v>11.5648</v>
      </c>
    </row>
    <row r="421" spans="2:10" x14ac:dyDescent="0.25">
      <c r="B421" s="1412" t="s">
        <v>682</v>
      </c>
      <c r="C421" s="1413">
        <v>2075</v>
      </c>
      <c r="D421" s="1412">
        <v>-1185000</v>
      </c>
      <c r="E421" s="1414">
        <v>0</v>
      </c>
      <c r="F421" s="1415">
        <v>0</v>
      </c>
      <c r="G421" s="1412">
        <v>-85.800000000000011</v>
      </c>
      <c r="H421" s="1414">
        <v>0.54700000000000004</v>
      </c>
      <c r="I421" s="1414">
        <v>-1.8286999999999999E-3</v>
      </c>
      <c r="J421" s="1415">
        <v>-70.08</v>
      </c>
    </row>
    <row r="422" spans="2:10" x14ac:dyDescent="0.25">
      <c r="B422" s="1412" t="s">
        <v>683</v>
      </c>
      <c r="C422" s="1413">
        <v>2075</v>
      </c>
      <c r="D422" s="1412">
        <v>1721000</v>
      </c>
      <c r="E422" s="1414">
        <v>1293000</v>
      </c>
      <c r="F422" s="1415">
        <v>15050</v>
      </c>
      <c r="G422" s="1412">
        <v>125.08</v>
      </c>
      <c r="H422" s="1414">
        <v>0.20477100000000001</v>
      </c>
      <c r="I422" s="1414">
        <v>1.7827000000000001E-3</v>
      </c>
      <c r="J422" s="1415">
        <v>129.82</v>
      </c>
    </row>
    <row r="423" spans="2:10" x14ac:dyDescent="0.25">
      <c r="B423" s="1412" t="s">
        <v>698</v>
      </c>
      <c r="C423" s="1413">
        <v>2075</v>
      </c>
      <c r="D423" s="1412">
        <v>1721000</v>
      </c>
      <c r="E423" s="1414">
        <v>1293000</v>
      </c>
      <c r="F423" s="1415">
        <v>15050</v>
      </c>
      <c r="G423" s="1412">
        <v>125.08</v>
      </c>
      <c r="H423" s="1414">
        <v>0.20477100000000001</v>
      </c>
      <c r="I423" s="1414">
        <v>1.7827000000000001E-3</v>
      </c>
      <c r="J423" s="1415">
        <v>129.82</v>
      </c>
    </row>
    <row r="424" spans="2:10" x14ac:dyDescent="0.25">
      <c r="B424" s="1412" t="s">
        <v>684</v>
      </c>
      <c r="C424" s="1413">
        <v>2075</v>
      </c>
      <c r="D424" s="1412">
        <v>1721000</v>
      </c>
      <c r="E424" s="1414">
        <v>1293000</v>
      </c>
      <c r="F424" s="1415">
        <v>15050</v>
      </c>
      <c r="G424" s="1412">
        <v>125.08</v>
      </c>
      <c r="H424" s="1414">
        <v>0.20477100000000001</v>
      </c>
      <c r="I424" s="1414">
        <v>1.7827000000000001E-3</v>
      </c>
      <c r="J424" s="1415">
        <v>129.82</v>
      </c>
    </row>
    <row r="425" spans="2:10" x14ac:dyDescent="0.25">
      <c r="B425" s="1412" t="s">
        <v>1087</v>
      </c>
      <c r="C425" s="1413">
        <v>2075</v>
      </c>
      <c r="D425" s="1412">
        <v>1022000</v>
      </c>
      <c r="E425" s="1414">
        <v>1021000</v>
      </c>
      <c r="F425" s="1415">
        <v>15510</v>
      </c>
      <c r="G425" s="1412">
        <v>1.6964999999999999</v>
      </c>
      <c r="H425" s="1414">
        <v>0.14096238999999999</v>
      </c>
      <c r="I425" s="1414">
        <v>3.2765999999999998E-5</v>
      </c>
      <c r="J425" s="1415">
        <v>5.9536999999999995</v>
      </c>
    </row>
    <row r="426" spans="2:10" x14ac:dyDescent="0.25">
      <c r="B426" s="1412" t="s">
        <v>716</v>
      </c>
      <c r="C426" s="1413">
        <v>2075</v>
      </c>
      <c r="D426" s="1412">
        <v>1022000</v>
      </c>
      <c r="E426" s="1414">
        <v>1021000</v>
      </c>
      <c r="F426" s="1415">
        <v>15510</v>
      </c>
      <c r="G426" s="1412">
        <v>1.6964999999999999</v>
      </c>
      <c r="H426" s="1414">
        <v>0.14096238999999999</v>
      </c>
      <c r="I426" s="1414">
        <v>3.2765999999999998E-5</v>
      </c>
      <c r="J426" s="1415">
        <v>5.9536999999999995</v>
      </c>
    </row>
    <row r="427" spans="2:10" x14ac:dyDescent="0.25">
      <c r="B427" s="1412" t="s">
        <v>717</v>
      </c>
      <c r="C427" s="1413">
        <v>2075</v>
      </c>
      <c r="D427" s="1412">
        <v>1022000</v>
      </c>
      <c r="E427" s="1414">
        <v>1021000</v>
      </c>
      <c r="F427" s="1415">
        <v>15510</v>
      </c>
      <c r="G427" s="1412">
        <v>1.6964999999999999</v>
      </c>
      <c r="H427" s="1414">
        <v>0.14096238999999999</v>
      </c>
      <c r="I427" s="1414">
        <v>3.2765999999999998E-5</v>
      </c>
      <c r="J427" s="1415">
        <v>5.9536999999999995</v>
      </c>
    </row>
    <row r="428" spans="2:10" x14ac:dyDescent="0.25">
      <c r="B428" s="1412" t="s">
        <v>912</v>
      </c>
      <c r="C428" s="1413">
        <v>2075</v>
      </c>
      <c r="D428" s="1412">
        <v>1209000</v>
      </c>
      <c r="E428" s="1414">
        <v>1202000</v>
      </c>
      <c r="F428" s="1415">
        <v>1052000</v>
      </c>
      <c r="G428" s="1412">
        <v>17.969000000000001</v>
      </c>
      <c r="H428" s="1414">
        <v>0.164128</v>
      </c>
      <c r="I428" s="1414">
        <v>2.9025999999999998E-4</v>
      </c>
      <c r="J428" s="1415">
        <v>22.988</v>
      </c>
    </row>
    <row r="429" spans="2:10" x14ac:dyDescent="0.25">
      <c r="B429" s="1412" t="s">
        <v>910</v>
      </c>
      <c r="C429" s="1413">
        <v>2075</v>
      </c>
      <c r="D429" s="1412">
        <v>1585000</v>
      </c>
      <c r="E429" s="1414">
        <v>696300</v>
      </c>
      <c r="F429" s="1415">
        <v>286000</v>
      </c>
      <c r="G429" s="1412">
        <v>38.049999999999997</v>
      </c>
      <c r="H429" s="1414">
        <v>0.1118</v>
      </c>
      <c r="I429" s="1414">
        <v>2.5350000000000001E-2</v>
      </c>
      <c r="J429" s="1415">
        <v>45.19</v>
      </c>
    </row>
    <row r="430" spans="2:10" x14ac:dyDescent="0.25">
      <c r="B430" s="1412" t="s">
        <v>913</v>
      </c>
      <c r="C430" s="1413">
        <v>2075</v>
      </c>
      <c r="D430" s="1412">
        <v>1249000</v>
      </c>
      <c r="E430" s="1414">
        <v>1242000</v>
      </c>
      <c r="F430" s="1415">
        <v>1078000</v>
      </c>
      <c r="G430" s="1412">
        <v>23.84</v>
      </c>
      <c r="H430" s="1414">
        <v>0.16985799999999998</v>
      </c>
      <c r="I430" s="1414">
        <v>3.7813000000000001E-4</v>
      </c>
      <c r="J430" s="1415">
        <v>29.157000000000004</v>
      </c>
    </row>
    <row r="431" spans="2:10" x14ac:dyDescent="0.25">
      <c r="B431" s="1412" t="s">
        <v>1081</v>
      </c>
      <c r="C431" s="1413">
        <v>2075</v>
      </c>
      <c r="D431" s="1412">
        <v>1190000</v>
      </c>
      <c r="E431" s="1414">
        <v>51590</v>
      </c>
      <c r="F431" s="1415">
        <v>29220</v>
      </c>
      <c r="G431" s="1412">
        <v>3.7582</v>
      </c>
      <c r="H431" s="1414">
        <v>8.4366999999999984E-3</v>
      </c>
      <c r="I431" s="1414">
        <v>-3.8261190000000002E-3</v>
      </c>
      <c r="J431" s="1415">
        <v>3.0054000000000003</v>
      </c>
    </row>
    <row r="432" spans="2:10" x14ac:dyDescent="0.25">
      <c r="B432" s="1412" t="s">
        <v>815</v>
      </c>
      <c r="C432" s="1413">
        <v>2075</v>
      </c>
      <c r="D432" s="1412">
        <v>1190000</v>
      </c>
      <c r="E432" s="1414">
        <v>51590</v>
      </c>
      <c r="F432" s="1415">
        <v>29220</v>
      </c>
      <c r="G432" s="1412">
        <v>3.7582</v>
      </c>
      <c r="H432" s="1414">
        <v>8.4366999999999984E-3</v>
      </c>
      <c r="I432" s="1414">
        <v>-3.8261190000000002E-3</v>
      </c>
      <c r="J432" s="1415">
        <v>3.0054000000000003</v>
      </c>
    </row>
    <row r="433" spans="2:10" x14ac:dyDescent="0.25">
      <c r="B433" s="1412" t="s">
        <v>824</v>
      </c>
      <c r="C433" s="1413">
        <v>2075</v>
      </c>
      <c r="D433" s="1412">
        <v>1190000</v>
      </c>
      <c r="E433" s="1414">
        <v>51590</v>
      </c>
      <c r="F433" s="1415">
        <v>29220</v>
      </c>
      <c r="G433" s="1412">
        <v>3.7582</v>
      </c>
      <c r="H433" s="1414">
        <v>8.4366999999999984E-3</v>
      </c>
      <c r="I433" s="1414">
        <v>-3.8261190000000002E-3</v>
      </c>
      <c r="J433" s="1415">
        <v>3.0054000000000003</v>
      </c>
    </row>
    <row r="434" spans="2:10" ht="13" thickBot="1" x14ac:dyDescent="0.3">
      <c r="B434" s="1416" t="s">
        <v>1088</v>
      </c>
      <c r="C434" s="1417">
        <v>2075</v>
      </c>
      <c r="D434" s="1416">
        <v>1384000</v>
      </c>
      <c r="E434" s="1418">
        <v>1383000</v>
      </c>
      <c r="F434" s="1419">
        <v>5034</v>
      </c>
      <c r="G434" s="1416">
        <v>78.571100000000001</v>
      </c>
      <c r="H434" s="1418">
        <v>0.27494000000000002</v>
      </c>
      <c r="I434" s="1418">
        <v>2.3304000000000003E-3</v>
      </c>
      <c r="J434" s="1419">
        <v>87.594300000000004</v>
      </c>
    </row>
    <row r="435" spans="2:10" x14ac:dyDescent="0.25">
      <c r="B435" s="1408" t="s">
        <v>1085</v>
      </c>
      <c r="C435" s="1409">
        <v>2080</v>
      </c>
      <c r="D435" s="1408">
        <v>1092000</v>
      </c>
      <c r="E435" s="1410">
        <v>1092000</v>
      </c>
      <c r="F435" s="1411">
        <v>3971</v>
      </c>
      <c r="G435" s="1408">
        <v>5.7390999999999996</v>
      </c>
      <c r="H435" s="1410">
        <v>0.18462200000000001</v>
      </c>
      <c r="I435" s="1410">
        <v>8.61E-4</v>
      </c>
      <c r="J435" s="1411">
        <v>11.5648</v>
      </c>
    </row>
    <row r="436" spans="2:10" x14ac:dyDescent="0.25">
      <c r="B436" s="1412" t="s">
        <v>283</v>
      </c>
      <c r="C436" s="1413">
        <v>2080</v>
      </c>
      <c r="D436" s="1412">
        <v>1092000</v>
      </c>
      <c r="E436" s="1414">
        <v>1092000</v>
      </c>
      <c r="F436" s="1415">
        <v>3971</v>
      </c>
      <c r="G436" s="1412">
        <v>5.7390999999999996</v>
      </c>
      <c r="H436" s="1414">
        <v>0.18462200000000001</v>
      </c>
      <c r="I436" s="1414">
        <v>8.61E-4</v>
      </c>
      <c r="J436" s="1415">
        <v>11.5648</v>
      </c>
    </row>
    <row r="437" spans="2:10" x14ac:dyDescent="0.25">
      <c r="B437" s="1412" t="s">
        <v>1086</v>
      </c>
      <c r="C437" s="1413">
        <v>2080</v>
      </c>
      <c r="D437" s="1412">
        <v>1092000</v>
      </c>
      <c r="E437" s="1414">
        <v>1092000</v>
      </c>
      <c r="F437" s="1415">
        <v>3971</v>
      </c>
      <c r="G437" s="1412">
        <v>5.7390999999999996</v>
      </c>
      <c r="H437" s="1414">
        <v>0.18462200000000001</v>
      </c>
      <c r="I437" s="1414">
        <v>8.61E-4</v>
      </c>
      <c r="J437" s="1415">
        <v>11.5648</v>
      </c>
    </row>
    <row r="438" spans="2:10" x14ac:dyDescent="0.25">
      <c r="B438" s="1412" t="s">
        <v>681</v>
      </c>
      <c r="C438" s="1413">
        <v>2080</v>
      </c>
      <c r="D438" s="1412">
        <v>1092000</v>
      </c>
      <c r="E438" s="1414">
        <v>1092000</v>
      </c>
      <c r="F438" s="1415">
        <v>3971</v>
      </c>
      <c r="G438" s="1412">
        <v>5.7390999999999996</v>
      </c>
      <c r="H438" s="1414">
        <v>0.18462200000000001</v>
      </c>
      <c r="I438" s="1414">
        <v>8.61E-4</v>
      </c>
      <c r="J438" s="1415">
        <v>11.5648</v>
      </c>
    </row>
    <row r="439" spans="2:10" x14ac:dyDescent="0.25">
      <c r="B439" s="1412" t="s">
        <v>682</v>
      </c>
      <c r="C439" s="1413">
        <v>2080</v>
      </c>
      <c r="D439" s="1412">
        <v>-1185000</v>
      </c>
      <c r="E439" s="1414">
        <v>0</v>
      </c>
      <c r="F439" s="1415">
        <v>0</v>
      </c>
      <c r="G439" s="1412">
        <v>-85.800000000000011</v>
      </c>
      <c r="H439" s="1414">
        <v>0.54700000000000004</v>
      </c>
      <c r="I439" s="1414">
        <v>-1.8286999999999999E-3</v>
      </c>
      <c r="J439" s="1415">
        <v>-70.08</v>
      </c>
    </row>
    <row r="440" spans="2:10" x14ac:dyDescent="0.25">
      <c r="B440" s="1412" t="s">
        <v>683</v>
      </c>
      <c r="C440" s="1413">
        <v>2080</v>
      </c>
      <c r="D440" s="1412">
        <v>1721000</v>
      </c>
      <c r="E440" s="1414">
        <v>1293000</v>
      </c>
      <c r="F440" s="1415">
        <v>15050</v>
      </c>
      <c r="G440" s="1412">
        <v>125.08</v>
      </c>
      <c r="H440" s="1414">
        <v>0.20477100000000001</v>
      </c>
      <c r="I440" s="1414">
        <v>1.7827000000000001E-3</v>
      </c>
      <c r="J440" s="1415">
        <v>129.82</v>
      </c>
    </row>
    <row r="441" spans="2:10" x14ac:dyDescent="0.25">
      <c r="B441" s="1412" t="s">
        <v>698</v>
      </c>
      <c r="C441" s="1413">
        <v>2080</v>
      </c>
      <c r="D441" s="1412">
        <v>1721000</v>
      </c>
      <c r="E441" s="1414">
        <v>1293000</v>
      </c>
      <c r="F441" s="1415">
        <v>15050</v>
      </c>
      <c r="G441" s="1412">
        <v>125.08</v>
      </c>
      <c r="H441" s="1414">
        <v>0.20477100000000001</v>
      </c>
      <c r="I441" s="1414">
        <v>1.7827000000000001E-3</v>
      </c>
      <c r="J441" s="1415">
        <v>129.82</v>
      </c>
    </row>
    <row r="442" spans="2:10" x14ac:dyDescent="0.25">
      <c r="B442" s="1412" t="s">
        <v>684</v>
      </c>
      <c r="C442" s="1413">
        <v>2080</v>
      </c>
      <c r="D442" s="1412">
        <v>1721000</v>
      </c>
      <c r="E442" s="1414">
        <v>1293000</v>
      </c>
      <c r="F442" s="1415">
        <v>15050</v>
      </c>
      <c r="G442" s="1412">
        <v>125.08</v>
      </c>
      <c r="H442" s="1414">
        <v>0.20477100000000001</v>
      </c>
      <c r="I442" s="1414">
        <v>1.7827000000000001E-3</v>
      </c>
      <c r="J442" s="1415">
        <v>129.82</v>
      </c>
    </row>
    <row r="443" spans="2:10" x14ac:dyDescent="0.25">
      <c r="B443" s="1412" t="s">
        <v>1087</v>
      </c>
      <c r="C443" s="1413">
        <v>2080</v>
      </c>
      <c r="D443" s="1412">
        <v>1022000</v>
      </c>
      <c r="E443" s="1414">
        <v>1021000</v>
      </c>
      <c r="F443" s="1415">
        <v>15510</v>
      </c>
      <c r="G443" s="1412">
        <v>1.6964999999999999</v>
      </c>
      <c r="H443" s="1414">
        <v>0.14096238999999999</v>
      </c>
      <c r="I443" s="1414">
        <v>3.2765999999999998E-5</v>
      </c>
      <c r="J443" s="1415">
        <v>5.9536999999999995</v>
      </c>
    </row>
    <row r="444" spans="2:10" x14ac:dyDescent="0.25">
      <c r="B444" s="1412" t="s">
        <v>716</v>
      </c>
      <c r="C444" s="1413">
        <v>2080</v>
      </c>
      <c r="D444" s="1412">
        <v>1022000</v>
      </c>
      <c r="E444" s="1414">
        <v>1021000</v>
      </c>
      <c r="F444" s="1415">
        <v>15510</v>
      </c>
      <c r="G444" s="1412">
        <v>1.6964999999999999</v>
      </c>
      <c r="H444" s="1414">
        <v>0.14096238999999999</v>
      </c>
      <c r="I444" s="1414">
        <v>3.2765999999999998E-5</v>
      </c>
      <c r="J444" s="1415">
        <v>5.9536999999999995</v>
      </c>
    </row>
    <row r="445" spans="2:10" x14ac:dyDescent="0.25">
      <c r="B445" s="1412" t="s">
        <v>717</v>
      </c>
      <c r="C445" s="1413">
        <v>2080</v>
      </c>
      <c r="D445" s="1412">
        <v>1022000</v>
      </c>
      <c r="E445" s="1414">
        <v>1021000</v>
      </c>
      <c r="F445" s="1415">
        <v>15510</v>
      </c>
      <c r="G445" s="1412">
        <v>1.6964999999999999</v>
      </c>
      <c r="H445" s="1414">
        <v>0.14096238999999999</v>
      </c>
      <c r="I445" s="1414">
        <v>3.2765999999999998E-5</v>
      </c>
      <c r="J445" s="1415">
        <v>5.9536999999999995</v>
      </c>
    </row>
    <row r="446" spans="2:10" x14ac:dyDescent="0.25">
      <c r="B446" s="1412" t="s">
        <v>912</v>
      </c>
      <c r="C446" s="1413">
        <v>2080</v>
      </c>
      <c r="D446" s="1412">
        <v>1209000</v>
      </c>
      <c r="E446" s="1414">
        <v>1202000</v>
      </c>
      <c r="F446" s="1415">
        <v>1052000</v>
      </c>
      <c r="G446" s="1412">
        <v>17.969000000000001</v>
      </c>
      <c r="H446" s="1414">
        <v>0.164128</v>
      </c>
      <c r="I446" s="1414">
        <v>2.9025999999999998E-4</v>
      </c>
      <c r="J446" s="1415">
        <v>22.988</v>
      </c>
    </row>
    <row r="447" spans="2:10" x14ac:dyDescent="0.25">
      <c r="B447" s="1412" t="s">
        <v>910</v>
      </c>
      <c r="C447" s="1413">
        <v>2080</v>
      </c>
      <c r="D447" s="1412">
        <v>1585000</v>
      </c>
      <c r="E447" s="1414">
        <v>696300</v>
      </c>
      <c r="F447" s="1415">
        <v>286000</v>
      </c>
      <c r="G447" s="1412">
        <v>38.049999999999997</v>
      </c>
      <c r="H447" s="1414">
        <v>0.1118</v>
      </c>
      <c r="I447" s="1414">
        <v>2.5350000000000001E-2</v>
      </c>
      <c r="J447" s="1415">
        <v>45.19</v>
      </c>
    </row>
    <row r="448" spans="2:10" x14ac:dyDescent="0.25">
      <c r="B448" s="1412" t="s">
        <v>913</v>
      </c>
      <c r="C448" s="1413">
        <v>2080</v>
      </c>
      <c r="D448" s="1412">
        <v>1249000</v>
      </c>
      <c r="E448" s="1414">
        <v>1242000</v>
      </c>
      <c r="F448" s="1415">
        <v>1078000</v>
      </c>
      <c r="G448" s="1412">
        <v>23.84</v>
      </c>
      <c r="H448" s="1414">
        <v>0.16985799999999998</v>
      </c>
      <c r="I448" s="1414">
        <v>3.7813000000000001E-4</v>
      </c>
      <c r="J448" s="1415">
        <v>29.157000000000004</v>
      </c>
    </row>
    <row r="449" spans="2:10" x14ac:dyDescent="0.25">
      <c r="B449" s="1412" t="s">
        <v>1081</v>
      </c>
      <c r="C449" s="1413">
        <v>2080</v>
      </c>
      <c r="D449" s="1412">
        <v>1190000</v>
      </c>
      <c r="E449" s="1414">
        <v>51590</v>
      </c>
      <c r="F449" s="1415">
        <v>29220</v>
      </c>
      <c r="G449" s="1412">
        <v>3.7582</v>
      </c>
      <c r="H449" s="1414">
        <v>8.4366999999999984E-3</v>
      </c>
      <c r="I449" s="1414">
        <v>-3.8261190000000002E-3</v>
      </c>
      <c r="J449" s="1415">
        <v>3.0054000000000003</v>
      </c>
    </row>
    <row r="450" spans="2:10" x14ac:dyDescent="0.25">
      <c r="B450" s="1412" t="s">
        <v>815</v>
      </c>
      <c r="C450" s="1413">
        <v>2080</v>
      </c>
      <c r="D450" s="1412">
        <v>1190000</v>
      </c>
      <c r="E450" s="1414">
        <v>51590</v>
      </c>
      <c r="F450" s="1415">
        <v>29220</v>
      </c>
      <c r="G450" s="1412">
        <v>3.7582</v>
      </c>
      <c r="H450" s="1414">
        <v>8.4366999999999984E-3</v>
      </c>
      <c r="I450" s="1414">
        <v>-3.8261190000000002E-3</v>
      </c>
      <c r="J450" s="1415">
        <v>3.0054000000000003</v>
      </c>
    </row>
    <row r="451" spans="2:10" x14ac:dyDescent="0.25">
      <c r="B451" s="1412" t="s">
        <v>824</v>
      </c>
      <c r="C451" s="1413">
        <v>2080</v>
      </c>
      <c r="D451" s="1412">
        <v>1190000</v>
      </c>
      <c r="E451" s="1414">
        <v>51590</v>
      </c>
      <c r="F451" s="1415">
        <v>29220</v>
      </c>
      <c r="G451" s="1412">
        <v>3.7582</v>
      </c>
      <c r="H451" s="1414">
        <v>8.4366999999999984E-3</v>
      </c>
      <c r="I451" s="1414">
        <v>-3.8261190000000002E-3</v>
      </c>
      <c r="J451" s="1415">
        <v>3.0054000000000003</v>
      </c>
    </row>
    <row r="452" spans="2:10" ht="13" thickBot="1" x14ac:dyDescent="0.3">
      <c r="B452" s="1416" t="s">
        <v>1088</v>
      </c>
      <c r="C452" s="1417">
        <v>2080</v>
      </c>
      <c r="D452" s="1416">
        <v>1384000</v>
      </c>
      <c r="E452" s="1418">
        <v>1383000</v>
      </c>
      <c r="F452" s="1419">
        <v>5034</v>
      </c>
      <c r="G452" s="1416">
        <v>78.571100000000001</v>
      </c>
      <c r="H452" s="1418">
        <v>0.27494000000000002</v>
      </c>
      <c r="I452" s="1418">
        <v>2.3304000000000003E-3</v>
      </c>
      <c r="J452" s="1419">
        <v>87.594300000000004</v>
      </c>
    </row>
    <row r="453" spans="2:10" x14ac:dyDescent="0.25">
      <c r="B453" s="1408" t="s">
        <v>1085</v>
      </c>
      <c r="C453" s="1409">
        <v>2085</v>
      </c>
      <c r="D453" s="1408">
        <v>1092000</v>
      </c>
      <c r="E453" s="1410">
        <v>1092000</v>
      </c>
      <c r="F453" s="1411">
        <v>3971</v>
      </c>
      <c r="G453" s="1408">
        <v>5.7390999999999996</v>
      </c>
      <c r="H453" s="1410">
        <v>0.18462200000000001</v>
      </c>
      <c r="I453" s="1410">
        <v>8.61E-4</v>
      </c>
      <c r="J453" s="1411">
        <v>11.5648</v>
      </c>
    </row>
    <row r="454" spans="2:10" x14ac:dyDescent="0.25">
      <c r="B454" s="1412" t="s">
        <v>283</v>
      </c>
      <c r="C454" s="1413">
        <v>2085</v>
      </c>
      <c r="D454" s="1412">
        <v>1092000</v>
      </c>
      <c r="E454" s="1414">
        <v>1092000</v>
      </c>
      <c r="F454" s="1415">
        <v>3971</v>
      </c>
      <c r="G454" s="1412">
        <v>5.7390999999999996</v>
      </c>
      <c r="H454" s="1414">
        <v>0.18462200000000001</v>
      </c>
      <c r="I454" s="1414">
        <v>8.61E-4</v>
      </c>
      <c r="J454" s="1415">
        <v>11.5648</v>
      </c>
    </row>
    <row r="455" spans="2:10" x14ac:dyDescent="0.25">
      <c r="B455" s="1412" t="s">
        <v>1086</v>
      </c>
      <c r="C455" s="1413">
        <v>2085</v>
      </c>
      <c r="D455" s="1412">
        <v>1092000</v>
      </c>
      <c r="E455" s="1414">
        <v>1092000</v>
      </c>
      <c r="F455" s="1415">
        <v>3971</v>
      </c>
      <c r="G455" s="1412">
        <v>5.7390999999999996</v>
      </c>
      <c r="H455" s="1414">
        <v>0.18462200000000001</v>
      </c>
      <c r="I455" s="1414">
        <v>8.61E-4</v>
      </c>
      <c r="J455" s="1415">
        <v>11.5648</v>
      </c>
    </row>
    <row r="456" spans="2:10" x14ac:dyDescent="0.25">
      <c r="B456" s="1412" t="s">
        <v>681</v>
      </c>
      <c r="C456" s="1413">
        <v>2085</v>
      </c>
      <c r="D456" s="1412">
        <v>1092000</v>
      </c>
      <c r="E456" s="1414">
        <v>1092000</v>
      </c>
      <c r="F456" s="1415">
        <v>3971</v>
      </c>
      <c r="G456" s="1412">
        <v>5.7390999999999996</v>
      </c>
      <c r="H456" s="1414">
        <v>0.18462200000000001</v>
      </c>
      <c r="I456" s="1414">
        <v>8.61E-4</v>
      </c>
      <c r="J456" s="1415">
        <v>11.5648</v>
      </c>
    </row>
    <row r="457" spans="2:10" x14ac:dyDescent="0.25">
      <c r="B457" s="1412" t="s">
        <v>682</v>
      </c>
      <c r="C457" s="1413">
        <v>2085</v>
      </c>
      <c r="D457" s="1412">
        <v>-1185000</v>
      </c>
      <c r="E457" s="1414">
        <v>0</v>
      </c>
      <c r="F457" s="1415">
        <v>0</v>
      </c>
      <c r="G457" s="1412">
        <v>-85.800000000000011</v>
      </c>
      <c r="H457" s="1414">
        <v>0.54700000000000004</v>
      </c>
      <c r="I457" s="1414">
        <v>-1.8286999999999999E-3</v>
      </c>
      <c r="J457" s="1415">
        <v>-70.08</v>
      </c>
    </row>
    <row r="458" spans="2:10" x14ac:dyDescent="0.25">
      <c r="B458" s="1412" t="s">
        <v>683</v>
      </c>
      <c r="C458" s="1413">
        <v>2085</v>
      </c>
      <c r="D458" s="1412">
        <v>1721000</v>
      </c>
      <c r="E458" s="1414">
        <v>1293000</v>
      </c>
      <c r="F458" s="1415">
        <v>15050</v>
      </c>
      <c r="G458" s="1412">
        <v>125.08</v>
      </c>
      <c r="H458" s="1414">
        <v>0.20477100000000001</v>
      </c>
      <c r="I458" s="1414">
        <v>1.7827000000000001E-3</v>
      </c>
      <c r="J458" s="1415">
        <v>129.82</v>
      </c>
    </row>
    <row r="459" spans="2:10" x14ac:dyDescent="0.25">
      <c r="B459" s="1412" t="s">
        <v>698</v>
      </c>
      <c r="C459" s="1413">
        <v>2085</v>
      </c>
      <c r="D459" s="1412">
        <v>1721000</v>
      </c>
      <c r="E459" s="1414">
        <v>1293000</v>
      </c>
      <c r="F459" s="1415">
        <v>15050</v>
      </c>
      <c r="G459" s="1412">
        <v>125.08</v>
      </c>
      <c r="H459" s="1414">
        <v>0.20477100000000001</v>
      </c>
      <c r="I459" s="1414">
        <v>1.7827000000000001E-3</v>
      </c>
      <c r="J459" s="1415">
        <v>129.82</v>
      </c>
    </row>
    <row r="460" spans="2:10" x14ac:dyDescent="0.25">
      <c r="B460" s="1412" t="s">
        <v>684</v>
      </c>
      <c r="C460" s="1413">
        <v>2085</v>
      </c>
      <c r="D460" s="1412">
        <v>1721000</v>
      </c>
      <c r="E460" s="1414">
        <v>1293000</v>
      </c>
      <c r="F460" s="1415">
        <v>15050</v>
      </c>
      <c r="G460" s="1412">
        <v>125.08</v>
      </c>
      <c r="H460" s="1414">
        <v>0.20477100000000001</v>
      </c>
      <c r="I460" s="1414">
        <v>1.7827000000000001E-3</v>
      </c>
      <c r="J460" s="1415">
        <v>129.82</v>
      </c>
    </row>
    <row r="461" spans="2:10" x14ac:dyDescent="0.25">
      <c r="B461" s="1412" t="s">
        <v>1087</v>
      </c>
      <c r="C461" s="1413">
        <v>2085</v>
      </c>
      <c r="D461" s="1412">
        <v>1022000</v>
      </c>
      <c r="E461" s="1414">
        <v>1021000</v>
      </c>
      <c r="F461" s="1415">
        <v>15510</v>
      </c>
      <c r="G461" s="1412">
        <v>1.6964999999999999</v>
      </c>
      <c r="H461" s="1414">
        <v>0.14096238999999999</v>
      </c>
      <c r="I461" s="1414">
        <v>3.2765999999999998E-5</v>
      </c>
      <c r="J461" s="1415">
        <v>5.9536999999999995</v>
      </c>
    </row>
    <row r="462" spans="2:10" x14ac:dyDescent="0.25">
      <c r="B462" s="1412" t="s">
        <v>716</v>
      </c>
      <c r="C462" s="1413">
        <v>2085</v>
      </c>
      <c r="D462" s="1412">
        <v>1022000</v>
      </c>
      <c r="E462" s="1414">
        <v>1021000</v>
      </c>
      <c r="F462" s="1415">
        <v>15510</v>
      </c>
      <c r="G462" s="1412">
        <v>1.6964999999999999</v>
      </c>
      <c r="H462" s="1414">
        <v>0.14096238999999999</v>
      </c>
      <c r="I462" s="1414">
        <v>3.2765999999999998E-5</v>
      </c>
      <c r="J462" s="1415">
        <v>5.9536999999999995</v>
      </c>
    </row>
    <row r="463" spans="2:10" x14ac:dyDescent="0.25">
      <c r="B463" s="1412" t="s">
        <v>717</v>
      </c>
      <c r="C463" s="1413">
        <v>2085</v>
      </c>
      <c r="D463" s="1412">
        <v>1022000</v>
      </c>
      <c r="E463" s="1414">
        <v>1021000</v>
      </c>
      <c r="F463" s="1415">
        <v>15510</v>
      </c>
      <c r="G463" s="1412">
        <v>1.6964999999999999</v>
      </c>
      <c r="H463" s="1414">
        <v>0.14096238999999999</v>
      </c>
      <c r="I463" s="1414">
        <v>3.2765999999999998E-5</v>
      </c>
      <c r="J463" s="1415">
        <v>5.9536999999999995</v>
      </c>
    </row>
    <row r="464" spans="2:10" x14ac:dyDescent="0.25">
      <c r="B464" s="1412" t="s">
        <v>912</v>
      </c>
      <c r="C464" s="1413">
        <v>2085</v>
      </c>
      <c r="D464" s="1412">
        <v>1209000</v>
      </c>
      <c r="E464" s="1414">
        <v>1202000</v>
      </c>
      <c r="F464" s="1415">
        <v>1052000</v>
      </c>
      <c r="G464" s="1412">
        <v>17.969000000000001</v>
      </c>
      <c r="H464" s="1414">
        <v>0.164128</v>
      </c>
      <c r="I464" s="1414">
        <v>2.9025999999999998E-4</v>
      </c>
      <c r="J464" s="1415">
        <v>22.988</v>
      </c>
    </row>
    <row r="465" spans="2:10" x14ac:dyDescent="0.25">
      <c r="B465" s="1412" t="s">
        <v>910</v>
      </c>
      <c r="C465" s="1413">
        <v>2085</v>
      </c>
      <c r="D465" s="1412">
        <v>1585000</v>
      </c>
      <c r="E465" s="1414">
        <v>696300</v>
      </c>
      <c r="F465" s="1415">
        <v>286000</v>
      </c>
      <c r="G465" s="1412">
        <v>38.049999999999997</v>
      </c>
      <c r="H465" s="1414">
        <v>0.1118</v>
      </c>
      <c r="I465" s="1414">
        <v>2.5350000000000001E-2</v>
      </c>
      <c r="J465" s="1415">
        <v>45.19</v>
      </c>
    </row>
    <row r="466" spans="2:10" x14ac:dyDescent="0.25">
      <c r="B466" s="1412" t="s">
        <v>913</v>
      </c>
      <c r="C466" s="1413">
        <v>2085</v>
      </c>
      <c r="D466" s="1412">
        <v>1249000</v>
      </c>
      <c r="E466" s="1414">
        <v>1242000</v>
      </c>
      <c r="F466" s="1415">
        <v>1078000</v>
      </c>
      <c r="G466" s="1412">
        <v>23.84</v>
      </c>
      <c r="H466" s="1414">
        <v>0.16985799999999998</v>
      </c>
      <c r="I466" s="1414">
        <v>3.7813000000000001E-4</v>
      </c>
      <c r="J466" s="1415">
        <v>29.157000000000004</v>
      </c>
    </row>
    <row r="467" spans="2:10" x14ac:dyDescent="0.25">
      <c r="B467" s="1412" t="s">
        <v>1081</v>
      </c>
      <c r="C467" s="1413">
        <v>2085</v>
      </c>
      <c r="D467" s="1412">
        <v>1190000</v>
      </c>
      <c r="E467" s="1414">
        <v>51590</v>
      </c>
      <c r="F467" s="1415">
        <v>29220</v>
      </c>
      <c r="G467" s="1412">
        <v>3.7582</v>
      </c>
      <c r="H467" s="1414">
        <v>8.4366999999999984E-3</v>
      </c>
      <c r="I467" s="1414">
        <v>-3.8261190000000002E-3</v>
      </c>
      <c r="J467" s="1415">
        <v>3.0054000000000003</v>
      </c>
    </row>
    <row r="468" spans="2:10" x14ac:dyDescent="0.25">
      <c r="B468" s="1412" t="s">
        <v>815</v>
      </c>
      <c r="C468" s="1413">
        <v>2085</v>
      </c>
      <c r="D468" s="1412">
        <v>1190000</v>
      </c>
      <c r="E468" s="1414">
        <v>51590</v>
      </c>
      <c r="F468" s="1415">
        <v>29220</v>
      </c>
      <c r="G468" s="1412">
        <v>3.7582</v>
      </c>
      <c r="H468" s="1414">
        <v>8.4366999999999984E-3</v>
      </c>
      <c r="I468" s="1414">
        <v>-3.8261190000000002E-3</v>
      </c>
      <c r="J468" s="1415">
        <v>3.0054000000000003</v>
      </c>
    </row>
    <row r="469" spans="2:10" x14ac:dyDescent="0.25">
      <c r="B469" s="1412" t="s">
        <v>824</v>
      </c>
      <c r="C469" s="1413">
        <v>2085</v>
      </c>
      <c r="D469" s="1412">
        <v>1190000</v>
      </c>
      <c r="E469" s="1414">
        <v>51590</v>
      </c>
      <c r="F469" s="1415">
        <v>29220</v>
      </c>
      <c r="G469" s="1412">
        <v>3.7582</v>
      </c>
      <c r="H469" s="1414">
        <v>8.4366999999999984E-3</v>
      </c>
      <c r="I469" s="1414">
        <v>-3.8261190000000002E-3</v>
      </c>
      <c r="J469" s="1415">
        <v>3.0054000000000003</v>
      </c>
    </row>
    <row r="470" spans="2:10" ht="13" thickBot="1" x14ac:dyDescent="0.3">
      <c r="B470" s="1416" t="s">
        <v>1088</v>
      </c>
      <c r="C470" s="1417">
        <v>2085</v>
      </c>
      <c r="D470" s="1416">
        <v>1384000</v>
      </c>
      <c r="E470" s="1418">
        <v>1383000</v>
      </c>
      <c r="F470" s="1419">
        <v>5034</v>
      </c>
      <c r="G470" s="1416">
        <v>78.571100000000001</v>
      </c>
      <c r="H470" s="1418">
        <v>0.27494000000000002</v>
      </c>
      <c r="I470" s="1418">
        <v>2.3304000000000003E-3</v>
      </c>
      <c r="J470" s="1419">
        <v>87.594300000000004</v>
      </c>
    </row>
    <row r="471" spans="2:10" x14ac:dyDescent="0.25">
      <c r="B471" s="1408" t="s">
        <v>1085</v>
      </c>
      <c r="C471" s="1409">
        <v>2090</v>
      </c>
      <c r="D471" s="1408">
        <v>1092000</v>
      </c>
      <c r="E471" s="1410">
        <v>1092000</v>
      </c>
      <c r="F471" s="1411">
        <v>3971</v>
      </c>
      <c r="G471" s="1408">
        <v>5.7390999999999996</v>
      </c>
      <c r="H471" s="1410">
        <v>0.18462200000000001</v>
      </c>
      <c r="I471" s="1410">
        <v>8.61E-4</v>
      </c>
      <c r="J471" s="1411">
        <v>11.5648</v>
      </c>
    </row>
    <row r="472" spans="2:10" x14ac:dyDescent="0.25">
      <c r="B472" s="1412" t="s">
        <v>283</v>
      </c>
      <c r="C472" s="1413">
        <v>2090</v>
      </c>
      <c r="D472" s="1412">
        <v>1092000</v>
      </c>
      <c r="E472" s="1414">
        <v>1092000</v>
      </c>
      <c r="F472" s="1415">
        <v>3971</v>
      </c>
      <c r="G472" s="1412">
        <v>5.7390999999999996</v>
      </c>
      <c r="H472" s="1414">
        <v>0.18462200000000001</v>
      </c>
      <c r="I472" s="1414">
        <v>8.61E-4</v>
      </c>
      <c r="J472" s="1415">
        <v>11.5648</v>
      </c>
    </row>
    <row r="473" spans="2:10" x14ac:dyDescent="0.25">
      <c r="B473" s="1412" t="s">
        <v>1086</v>
      </c>
      <c r="C473" s="1413">
        <v>2090</v>
      </c>
      <c r="D473" s="1412">
        <v>1092000</v>
      </c>
      <c r="E473" s="1414">
        <v>1092000</v>
      </c>
      <c r="F473" s="1415">
        <v>3971</v>
      </c>
      <c r="G473" s="1412">
        <v>5.7390999999999996</v>
      </c>
      <c r="H473" s="1414">
        <v>0.18462200000000001</v>
      </c>
      <c r="I473" s="1414">
        <v>8.61E-4</v>
      </c>
      <c r="J473" s="1415">
        <v>11.5648</v>
      </c>
    </row>
    <row r="474" spans="2:10" x14ac:dyDescent="0.25">
      <c r="B474" s="1412" t="s">
        <v>681</v>
      </c>
      <c r="C474" s="1413">
        <v>2090</v>
      </c>
      <c r="D474" s="1412">
        <v>1092000</v>
      </c>
      <c r="E474" s="1414">
        <v>1092000</v>
      </c>
      <c r="F474" s="1415">
        <v>3971</v>
      </c>
      <c r="G474" s="1412">
        <v>5.7390999999999996</v>
      </c>
      <c r="H474" s="1414">
        <v>0.18462200000000001</v>
      </c>
      <c r="I474" s="1414">
        <v>8.61E-4</v>
      </c>
      <c r="J474" s="1415">
        <v>11.5648</v>
      </c>
    </row>
    <row r="475" spans="2:10" x14ac:dyDescent="0.25">
      <c r="B475" s="1412" t="s">
        <v>682</v>
      </c>
      <c r="C475" s="1413">
        <v>2090</v>
      </c>
      <c r="D475" s="1412">
        <v>-1185000</v>
      </c>
      <c r="E475" s="1414">
        <v>0</v>
      </c>
      <c r="F475" s="1415">
        <v>0</v>
      </c>
      <c r="G475" s="1412">
        <v>-85.800000000000011</v>
      </c>
      <c r="H475" s="1414">
        <v>0.54700000000000004</v>
      </c>
      <c r="I475" s="1414">
        <v>-1.8286999999999999E-3</v>
      </c>
      <c r="J475" s="1415">
        <v>-70.08</v>
      </c>
    </row>
    <row r="476" spans="2:10" x14ac:dyDescent="0.25">
      <c r="B476" s="1412" t="s">
        <v>683</v>
      </c>
      <c r="C476" s="1413">
        <v>2090</v>
      </c>
      <c r="D476" s="1412">
        <v>1721000</v>
      </c>
      <c r="E476" s="1414">
        <v>1293000</v>
      </c>
      <c r="F476" s="1415">
        <v>15050</v>
      </c>
      <c r="G476" s="1412">
        <v>125.08</v>
      </c>
      <c r="H476" s="1414">
        <v>0.20477100000000001</v>
      </c>
      <c r="I476" s="1414">
        <v>1.7827000000000001E-3</v>
      </c>
      <c r="J476" s="1415">
        <v>129.82</v>
      </c>
    </row>
    <row r="477" spans="2:10" x14ac:dyDescent="0.25">
      <c r="B477" s="1412" t="s">
        <v>698</v>
      </c>
      <c r="C477" s="1413">
        <v>2090</v>
      </c>
      <c r="D477" s="1412">
        <v>1721000</v>
      </c>
      <c r="E477" s="1414">
        <v>1293000</v>
      </c>
      <c r="F477" s="1415">
        <v>15050</v>
      </c>
      <c r="G477" s="1412">
        <v>125.08</v>
      </c>
      <c r="H477" s="1414">
        <v>0.20477100000000001</v>
      </c>
      <c r="I477" s="1414">
        <v>1.7827000000000001E-3</v>
      </c>
      <c r="J477" s="1415">
        <v>129.82</v>
      </c>
    </row>
    <row r="478" spans="2:10" x14ac:dyDescent="0.25">
      <c r="B478" s="1412" t="s">
        <v>684</v>
      </c>
      <c r="C478" s="1413">
        <v>2090</v>
      </c>
      <c r="D478" s="1412">
        <v>1721000</v>
      </c>
      <c r="E478" s="1414">
        <v>1293000</v>
      </c>
      <c r="F478" s="1415">
        <v>15050</v>
      </c>
      <c r="G478" s="1412">
        <v>125.08</v>
      </c>
      <c r="H478" s="1414">
        <v>0.20477100000000001</v>
      </c>
      <c r="I478" s="1414">
        <v>1.7827000000000001E-3</v>
      </c>
      <c r="J478" s="1415">
        <v>129.82</v>
      </c>
    </row>
    <row r="479" spans="2:10" x14ac:dyDescent="0.25">
      <c r="B479" s="1412" t="s">
        <v>1087</v>
      </c>
      <c r="C479" s="1413">
        <v>2090</v>
      </c>
      <c r="D479" s="1412">
        <v>1022000</v>
      </c>
      <c r="E479" s="1414">
        <v>1021000</v>
      </c>
      <c r="F479" s="1415">
        <v>15510</v>
      </c>
      <c r="G479" s="1412">
        <v>1.6964999999999999</v>
      </c>
      <c r="H479" s="1414">
        <v>0.14096238999999999</v>
      </c>
      <c r="I479" s="1414">
        <v>3.2765999999999998E-5</v>
      </c>
      <c r="J479" s="1415">
        <v>5.9536999999999995</v>
      </c>
    </row>
    <row r="480" spans="2:10" x14ac:dyDescent="0.25">
      <c r="B480" s="1412" t="s">
        <v>716</v>
      </c>
      <c r="C480" s="1413">
        <v>2090</v>
      </c>
      <c r="D480" s="1412">
        <v>1022000</v>
      </c>
      <c r="E480" s="1414">
        <v>1021000</v>
      </c>
      <c r="F480" s="1415">
        <v>15510</v>
      </c>
      <c r="G480" s="1412">
        <v>1.6964999999999999</v>
      </c>
      <c r="H480" s="1414">
        <v>0.14096238999999999</v>
      </c>
      <c r="I480" s="1414">
        <v>3.2765999999999998E-5</v>
      </c>
      <c r="J480" s="1415">
        <v>5.9536999999999995</v>
      </c>
    </row>
    <row r="481" spans="2:10" x14ac:dyDescent="0.25">
      <c r="B481" s="1412" t="s">
        <v>717</v>
      </c>
      <c r="C481" s="1413">
        <v>2090</v>
      </c>
      <c r="D481" s="1412">
        <v>1022000</v>
      </c>
      <c r="E481" s="1414">
        <v>1021000</v>
      </c>
      <c r="F481" s="1415">
        <v>15510</v>
      </c>
      <c r="G481" s="1412">
        <v>1.6964999999999999</v>
      </c>
      <c r="H481" s="1414">
        <v>0.14096238999999999</v>
      </c>
      <c r="I481" s="1414">
        <v>3.2765999999999998E-5</v>
      </c>
      <c r="J481" s="1415">
        <v>5.9536999999999995</v>
      </c>
    </row>
    <row r="482" spans="2:10" x14ac:dyDescent="0.25">
      <c r="B482" s="1412" t="s">
        <v>912</v>
      </c>
      <c r="C482" s="1413">
        <v>2090</v>
      </c>
      <c r="D482" s="1412">
        <v>1209000</v>
      </c>
      <c r="E482" s="1414">
        <v>1202000</v>
      </c>
      <c r="F482" s="1415">
        <v>1052000</v>
      </c>
      <c r="G482" s="1412">
        <v>17.969000000000001</v>
      </c>
      <c r="H482" s="1414">
        <v>0.164128</v>
      </c>
      <c r="I482" s="1414">
        <v>2.9025999999999998E-4</v>
      </c>
      <c r="J482" s="1415">
        <v>22.988</v>
      </c>
    </row>
    <row r="483" spans="2:10" x14ac:dyDescent="0.25">
      <c r="B483" s="1412" t="s">
        <v>910</v>
      </c>
      <c r="C483" s="1413">
        <v>2090</v>
      </c>
      <c r="D483" s="1412">
        <v>1585000</v>
      </c>
      <c r="E483" s="1414">
        <v>696300</v>
      </c>
      <c r="F483" s="1415">
        <v>286000</v>
      </c>
      <c r="G483" s="1412">
        <v>38.049999999999997</v>
      </c>
      <c r="H483" s="1414">
        <v>0.1118</v>
      </c>
      <c r="I483" s="1414">
        <v>2.5350000000000001E-2</v>
      </c>
      <c r="J483" s="1415">
        <v>45.19</v>
      </c>
    </row>
    <row r="484" spans="2:10" x14ac:dyDescent="0.25">
      <c r="B484" s="1412" t="s">
        <v>913</v>
      </c>
      <c r="C484" s="1413">
        <v>2090</v>
      </c>
      <c r="D484" s="1412">
        <v>1249000</v>
      </c>
      <c r="E484" s="1414">
        <v>1242000</v>
      </c>
      <c r="F484" s="1415">
        <v>1078000</v>
      </c>
      <c r="G484" s="1412">
        <v>23.84</v>
      </c>
      <c r="H484" s="1414">
        <v>0.16985799999999998</v>
      </c>
      <c r="I484" s="1414">
        <v>3.7813000000000001E-4</v>
      </c>
      <c r="J484" s="1415">
        <v>29.157000000000004</v>
      </c>
    </row>
    <row r="485" spans="2:10" x14ac:dyDescent="0.25">
      <c r="B485" s="1412" t="s">
        <v>1081</v>
      </c>
      <c r="C485" s="1413">
        <v>2090</v>
      </c>
      <c r="D485" s="1412">
        <v>1190000</v>
      </c>
      <c r="E485" s="1414">
        <v>51590</v>
      </c>
      <c r="F485" s="1415">
        <v>29220</v>
      </c>
      <c r="G485" s="1412">
        <v>3.7582</v>
      </c>
      <c r="H485" s="1414">
        <v>8.4366999999999984E-3</v>
      </c>
      <c r="I485" s="1414">
        <v>-3.8261190000000002E-3</v>
      </c>
      <c r="J485" s="1415">
        <v>3.0054000000000003</v>
      </c>
    </row>
    <row r="486" spans="2:10" x14ac:dyDescent="0.25">
      <c r="B486" s="1412" t="s">
        <v>815</v>
      </c>
      <c r="C486" s="1413">
        <v>2090</v>
      </c>
      <c r="D486" s="1412">
        <v>1190000</v>
      </c>
      <c r="E486" s="1414">
        <v>51590</v>
      </c>
      <c r="F486" s="1415">
        <v>29220</v>
      </c>
      <c r="G486" s="1412">
        <v>3.7582</v>
      </c>
      <c r="H486" s="1414">
        <v>8.4366999999999984E-3</v>
      </c>
      <c r="I486" s="1414">
        <v>-3.8261190000000002E-3</v>
      </c>
      <c r="J486" s="1415">
        <v>3.0054000000000003</v>
      </c>
    </row>
    <row r="487" spans="2:10" x14ac:dyDescent="0.25">
      <c r="B487" s="1412" t="s">
        <v>824</v>
      </c>
      <c r="C487" s="1413">
        <v>2090</v>
      </c>
      <c r="D487" s="1412">
        <v>1190000</v>
      </c>
      <c r="E487" s="1414">
        <v>51590</v>
      </c>
      <c r="F487" s="1415">
        <v>29220</v>
      </c>
      <c r="G487" s="1412">
        <v>3.7582</v>
      </c>
      <c r="H487" s="1414">
        <v>8.4366999999999984E-3</v>
      </c>
      <c r="I487" s="1414">
        <v>-3.8261190000000002E-3</v>
      </c>
      <c r="J487" s="1415">
        <v>3.0054000000000003</v>
      </c>
    </row>
    <row r="488" spans="2:10" ht="13" thickBot="1" x14ac:dyDescent="0.3">
      <c r="B488" s="1416" t="s">
        <v>1088</v>
      </c>
      <c r="C488" s="1417">
        <v>2090</v>
      </c>
      <c r="D488" s="1416">
        <v>1384000</v>
      </c>
      <c r="E488" s="1418">
        <v>1383000</v>
      </c>
      <c r="F488" s="1419">
        <v>5034</v>
      </c>
      <c r="G488" s="1416">
        <v>78.571100000000001</v>
      </c>
      <c r="H488" s="1418">
        <v>0.27494000000000002</v>
      </c>
      <c r="I488" s="1418">
        <v>2.3304000000000003E-3</v>
      </c>
      <c r="J488" s="1419">
        <v>87.594300000000004</v>
      </c>
    </row>
    <row r="489" spans="2:10" x14ac:dyDescent="0.25">
      <c r="B489" s="1408" t="s">
        <v>1085</v>
      </c>
      <c r="C489" s="1409">
        <v>2095</v>
      </c>
      <c r="D489" s="1408">
        <v>1092000</v>
      </c>
      <c r="E489" s="1410">
        <v>1092000</v>
      </c>
      <c r="F489" s="1411">
        <v>3971</v>
      </c>
      <c r="G489" s="1408">
        <v>5.7390999999999996</v>
      </c>
      <c r="H489" s="1410">
        <v>0.18462200000000001</v>
      </c>
      <c r="I489" s="1410">
        <v>8.61E-4</v>
      </c>
      <c r="J489" s="1411">
        <v>11.5648</v>
      </c>
    </row>
    <row r="490" spans="2:10" x14ac:dyDescent="0.25">
      <c r="B490" s="1412" t="s">
        <v>283</v>
      </c>
      <c r="C490" s="1413">
        <v>2095</v>
      </c>
      <c r="D490" s="1412">
        <v>1092000</v>
      </c>
      <c r="E490" s="1414">
        <v>1092000</v>
      </c>
      <c r="F490" s="1415">
        <v>3971</v>
      </c>
      <c r="G490" s="1412">
        <v>5.7390999999999996</v>
      </c>
      <c r="H490" s="1414">
        <v>0.18462200000000001</v>
      </c>
      <c r="I490" s="1414">
        <v>8.61E-4</v>
      </c>
      <c r="J490" s="1415">
        <v>11.5648</v>
      </c>
    </row>
    <row r="491" spans="2:10" x14ac:dyDescent="0.25">
      <c r="B491" s="1412" t="s">
        <v>1086</v>
      </c>
      <c r="C491" s="1413">
        <v>2095</v>
      </c>
      <c r="D491" s="1412">
        <v>1092000</v>
      </c>
      <c r="E491" s="1414">
        <v>1092000</v>
      </c>
      <c r="F491" s="1415">
        <v>3971</v>
      </c>
      <c r="G491" s="1412">
        <v>5.7390999999999996</v>
      </c>
      <c r="H491" s="1414">
        <v>0.18462200000000001</v>
      </c>
      <c r="I491" s="1414">
        <v>8.61E-4</v>
      </c>
      <c r="J491" s="1415">
        <v>11.5648</v>
      </c>
    </row>
    <row r="492" spans="2:10" x14ac:dyDescent="0.25">
      <c r="B492" s="1412" t="s">
        <v>681</v>
      </c>
      <c r="C492" s="1413">
        <v>2095</v>
      </c>
      <c r="D492" s="1412">
        <v>1092000</v>
      </c>
      <c r="E492" s="1414">
        <v>1092000</v>
      </c>
      <c r="F492" s="1415">
        <v>3971</v>
      </c>
      <c r="G492" s="1412">
        <v>5.7390999999999996</v>
      </c>
      <c r="H492" s="1414">
        <v>0.18462200000000001</v>
      </c>
      <c r="I492" s="1414">
        <v>8.61E-4</v>
      </c>
      <c r="J492" s="1415">
        <v>11.5648</v>
      </c>
    </row>
    <row r="493" spans="2:10" x14ac:dyDescent="0.25">
      <c r="B493" s="1412" t="s">
        <v>682</v>
      </c>
      <c r="C493" s="1413">
        <v>2095</v>
      </c>
      <c r="D493" s="1412">
        <v>-1185000</v>
      </c>
      <c r="E493" s="1414">
        <v>0</v>
      </c>
      <c r="F493" s="1415">
        <v>0</v>
      </c>
      <c r="G493" s="1412">
        <v>-85.800000000000011</v>
      </c>
      <c r="H493" s="1414">
        <v>0.54700000000000004</v>
      </c>
      <c r="I493" s="1414">
        <v>-1.8286999999999999E-3</v>
      </c>
      <c r="J493" s="1415">
        <v>-70.08</v>
      </c>
    </row>
    <row r="494" spans="2:10" x14ac:dyDescent="0.25">
      <c r="B494" s="1412" t="s">
        <v>683</v>
      </c>
      <c r="C494" s="1413">
        <v>2095</v>
      </c>
      <c r="D494" s="1412">
        <v>1721000</v>
      </c>
      <c r="E494" s="1414">
        <v>1293000</v>
      </c>
      <c r="F494" s="1415">
        <v>15050</v>
      </c>
      <c r="G494" s="1412">
        <v>125.08</v>
      </c>
      <c r="H494" s="1414">
        <v>0.20477100000000001</v>
      </c>
      <c r="I494" s="1414">
        <v>1.7827000000000001E-3</v>
      </c>
      <c r="J494" s="1415">
        <v>129.82</v>
      </c>
    </row>
    <row r="495" spans="2:10" x14ac:dyDescent="0.25">
      <c r="B495" s="1412" t="s">
        <v>698</v>
      </c>
      <c r="C495" s="1413">
        <v>2095</v>
      </c>
      <c r="D495" s="1412">
        <v>1721000</v>
      </c>
      <c r="E495" s="1414">
        <v>1293000</v>
      </c>
      <c r="F495" s="1415">
        <v>15050</v>
      </c>
      <c r="G495" s="1412">
        <v>125.08</v>
      </c>
      <c r="H495" s="1414">
        <v>0.20477100000000001</v>
      </c>
      <c r="I495" s="1414">
        <v>1.7827000000000001E-3</v>
      </c>
      <c r="J495" s="1415">
        <v>129.82</v>
      </c>
    </row>
    <row r="496" spans="2:10" x14ac:dyDescent="0.25">
      <c r="B496" s="1412" t="s">
        <v>684</v>
      </c>
      <c r="C496" s="1413">
        <v>2095</v>
      </c>
      <c r="D496" s="1412">
        <v>1721000</v>
      </c>
      <c r="E496" s="1414">
        <v>1293000</v>
      </c>
      <c r="F496" s="1415">
        <v>15050</v>
      </c>
      <c r="G496" s="1412">
        <v>125.08</v>
      </c>
      <c r="H496" s="1414">
        <v>0.20477100000000001</v>
      </c>
      <c r="I496" s="1414">
        <v>1.7827000000000001E-3</v>
      </c>
      <c r="J496" s="1415">
        <v>129.82</v>
      </c>
    </row>
    <row r="497" spans="2:10" x14ac:dyDescent="0.25">
      <c r="B497" s="1412" t="s">
        <v>1087</v>
      </c>
      <c r="C497" s="1413">
        <v>2095</v>
      </c>
      <c r="D497" s="1412">
        <v>1022000</v>
      </c>
      <c r="E497" s="1414">
        <v>1021000</v>
      </c>
      <c r="F497" s="1415">
        <v>15510</v>
      </c>
      <c r="G497" s="1412">
        <v>1.6964999999999999</v>
      </c>
      <c r="H497" s="1414">
        <v>0.14096238999999999</v>
      </c>
      <c r="I497" s="1414">
        <v>3.2765999999999998E-5</v>
      </c>
      <c r="J497" s="1415">
        <v>5.9536999999999995</v>
      </c>
    </row>
    <row r="498" spans="2:10" x14ac:dyDescent="0.25">
      <c r="B498" s="1412" t="s">
        <v>716</v>
      </c>
      <c r="C498" s="1413">
        <v>2095</v>
      </c>
      <c r="D498" s="1412">
        <v>1022000</v>
      </c>
      <c r="E498" s="1414">
        <v>1021000</v>
      </c>
      <c r="F498" s="1415">
        <v>15510</v>
      </c>
      <c r="G498" s="1412">
        <v>1.6964999999999999</v>
      </c>
      <c r="H498" s="1414">
        <v>0.14096238999999999</v>
      </c>
      <c r="I498" s="1414">
        <v>3.2765999999999998E-5</v>
      </c>
      <c r="J498" s="1415">
        <v>5.9536999999999995</v>
      </c>
    </row>
    <row r="499" spans="2:10" x14ac:dyDescent="0.25">
      <c r="B499" s="1412" t="s">
        <v>717</v>
      </c>
      <c r="C499" s="1413">
        <v>2095</v>
      </c>
      <c r="D499" s="1412">
        <v>1022000</v>
      </c>
      <c r="E499" s="1414">
        <v>1021000</v>
      </c>
      <c r="F499" s="1415">
        <v>15510</v>
      </c>
      <c r="G499" s="1412">
        <v>1.6964999999999999</v>
      </c>
      <c r="H499" s="1414">
        <v>0.14096238999999999</v>
      </c>
      <c r="I499" s="1414">
        <v>3.2765999999999998E-5</v>
      </c>
      <c r="J499" s="1415">
        <v>5.9536999999999995</v>
      </c>
    </row>
    <row r="500" spans="2:10" x14ac:dyDescent="0.25">
      <c r="B500" s="1412" t="s">
        <v>912</v>
      </c>
      <c r="C500" s="1413">
        <v>2095</v>
      </c>
      <c r="D500" s="1412">
        <v>1209000</v>
      </c>
      <c r="E500" s="1414">
        <v>1202000</v>
      </c>
      <c r="F500" s="1415">
        <v>1052000</v>
      </c>
      <c r="G500" s="1412">
        <v>17.969000000000001</v>
      </c>
      <c r="H500" s="1414">
        <v>0.164128</v>
      </c>
      <c r="I500" s="1414">
        <v>2.9025999999999998E-4</v>
      </c>
      <c r="J500" s="1415">
        <v>22.988</v>
      </c>
    </row>
    <row r="501" spans="2:10" x14ac:dyDescent="0.25">
      <c r="B501" s="1412" t="s">
        <v>910</v>
      </c>
      <c r="C501" s="1413">
        <v>2095</v>
      </c>
      <c r="D501" s="1412">
        <v>1585000</v>
      </c>
      <c r="E501" s="1414">
        <v>696300</v>
      </c>
      <c r="F501" s="1415">
        <v>286000</v>
      </c>
      <c r="G501" s="1412">
        <v>38.049999999999997</v>
      </c>
      <c r="H501" s="1414">
        <v>0.1118</v>
      </c>
      <c r="I501" s="1414">
        <v>2.5350000000000001E-2</v>
      </c>
      <c r="J501" s="1415">
        <v>45.19</v>
      </c>
    </row>
    <row r="502" spans="2:10" x14ac:dyDescent="0.25">
      <c r="B502" s="1412" t="s">
        <v>913</v>
      </c>
      <c r="C502" s="1413">
        <v>2095</v>
      </c>
      <c r="D502" s="1412">
        <v>1249000</v>
      </c>
      <c r="E502" s="1414">
        <v>1242000</v>
      </c>
      <c r="F502" s="1415">
        <v>1078000</v>
      </c>
      <c r="G502" s="1412">
        <v>23.84</v>
      </c>
      <c r="H502" s="1414">
        <v>0.16985799999999998</v>
      </c>
      <c r="I502" s="1414">
        <v>3.7813000000000001E-4</v>
      </c>
      <c r="J502" s="1415">
        <v>29.157000000000004</v>
      </c>
    </row>
    <row r="503" spans="2:10" x14ac:dyDescent="0.25">
      <c r="B503" s="1412" t="s">
        <v>1081</v>
      </c>
      <c r="C503" s="1413">
        <v>2095</v>
      </c>
      <c r="D503" s="1412">
        <v>1190000</v>
      </c>
      <c r="E503" s="1414">
        <v>51590</v>
      </c>
      <c r="F503" s="1415">
        <v>29220</v>
      </c>
      <c r="G503" s="1412">
        <v>3.7582</v>
      </c>
      <c r="H503" s="1414">
        <v>8.4366999999999984E-3</v>
      </c>
      <c r="I503" s="1414">
        <v>-3.8261190000000002E-3</v>
      </c>
      <c r="J503" s="1415">
        <v>3.0054000000000003</v>
      </c>
    </row>
    <row r="504" spans="2:10" x14ac:dyDescent="0.25">
      <c r="B504" s="1412" t="s">
        <v>815</v>
      </c>
      <c r="C504" s="1413">
        <v>2095</v>
      </c>
      <c r="D504" s="1412">
        <v>1190000</v>
      </c>
      <c r="E504" s="1414">
        <v>51590</v>
      </c>
      <c r="F504" s="1415">
        <v>29220</v>
      </c>
      <c r="G504" s="1412">
        <v>3.7582</v>
      </c>
      <c r="H504" s="1414">
        <v>8.4366999999999984E-3</v>
      </c>
      <c r="I504" s="1414">
        <v>-3.8261190000000002E-3</v>
      </c>
      <c r="J504" s="1415">
        <v>3.0054000000000003</v>
      </c>
    </row>
    <row r="505" spans="2:10" x14ac:dyDescent="0.25">
      <c r="B505" s="1412" t="s">
        <v>824</v>
      </c>
      <c r="C505" s="1413">
        <v>2095</v>
      </c>
      <c r="D505" s="1412">
        <v>1190000</v>
      </c>
      <c r="E505" s="1414">
        <v>51590</v>
      </c>
      <c r="F505" s="1415">
        <v>29220</v>
      </c>
      <c r="G505" s="1412">
        <v>3.7582</v>
      </c>
      <c r="H505" s="1414">
        <v>8.4366999999999984E-3</v>
      </c>
      <c r="I505" s="1414">
        <v>-3.8261190000000002E-3</v>
      </c>
      <c r="J505" s="1415">
        <v>3.0054000000000003</v>
      </c>
    </row>
    <row r="506" spans="2:10" ht="13" thickBot="1" x14ac:dyDescent="0.3">
      <c r="B506" s="1416" t="s">
        <v>1088</v>
      </c>
      <c r="C506" s="1417">
        <v>2095</v>
      </c>
      <c r="D506" s="1416">
        <v>1384000</v>
      </c>
      <c r="E506" s="1418">
        <v>1383000</v>
      </c>
      <c r="F506" s="1419">
        <v>5034</v>
      </c>
      <c r="G506" s="1416">
        <v>78.571100000000001</v>
      </c>
      <c r="H506" s="1418">
        <v>0.27494000000000002</v>
      </c>
      <c r="I506" s="1418">
        <v>2.3304000000000003E-3</v>
      </c>
      <c r="J506" s="1419">
        <v>87.594300000000004</v>
      </c>
    </row>
    <row r="507" spans="2:10" x14ac:dyDescent="0.25">
      <c r="B507" s="1408" t="s">
        <v>1085</v>
      </c>
      <c r="C507" s="1409">
        <v>2100</v>
      </c>
      <c r="D507" s="1408">
        <v>1092000</v>
      </c>
      <c r="E507" s="1410">
        <v>1092000</v>
      </c>
      <c r="F507" s="1411">
        <v>3971</v>
      </c>
      <c r="G507" s="1408">
        <v>5.7390999999999996</v>
      </c>
      <c r="H507" s="1410">
        <v>0.18462200000000001</v>
      </c>
      <c r="I507" s="1410">
        <v>8.61E-4</v>
      </c>
      <c r="J507" s="1411">
        <v>11.5648</v>
      </c>
    </row>
    <row r="508" spans="2:10" x14ac:dyDescent="0.25">
      <c r="B508" s="1412" t="s">
        <v>283</v>
      </c>
      <c r="C508" s="1413">
        <v>2100</v>
      </c>
      <c r="D508" s="1412">
        <v>1092000</v>
      </c>
      <c r="E508" s="1414">
        <v>1092000</v>
      </c>
      <c r="F508" s="1415">
        <v>3971</v>
      </c>
      <c r="G508" s="1412">
        <v>5.7390999999999996</v>
      </c>
      <c r="H508" s="1414">
        <v>0.18462200000000001</v>
      </c>
      <c r="I508" s="1414">
        <v>8.61E-4</v>
      </c>
      <c r="J508" s="1415">
        <v>11.5648</v>
      </c>
    </row>
    <row r="509" spans="2:10" x14ac:dyDescent="0.25">
      <c r="B509" s="1412" t="s">
        <v>1086</v>
      </c>
      <c r="C509" s="1413">
        <v>2100</v>
      </c>
      <c r="D509" s="1412">
        <v>1092000</v>
      </c>
      <c r="E509" s="1414">
        <v>1092000</v>
      </c>
      <c r="F509" s="1415">
        <v>3971</v>
      </c>
      <c r="G509" s="1412">
        <v>5.7390999999999996</v>
      </c>
      <c r="H509" s="1414">
        <v>0.18462200000000001</v>
      </c>
      <c r="I509" s="1414">
        <v>8.61E-4</v>
      </c>
      <c r="J509" s="1415">
        <v>11.5648</v>
      </c>
    </row>
    <row r="510" spans="2:10" x14ac:dyDescent="0.25">
      <c r="B510" s="1412" t="s">
        <v>681</v>
      </c>
      <c r="C510" s="1413">
        <v>2100</v>
      </c>
      <c r="D510" s="1412">
        <v>1092000</v>
      </c>
      <c r="E510" s="1414">
        <v>1092000</v>
      </c>
      <c r="F510" s="1415">
        <v>3971</v>
      </c>
      <c r="G510" s="1412">
        <v>5.7390999999999996</v>
      </c>
      <c r="H510" s="1414">
        <v>0.18462200000000001</v>
      </c>
      <c r="I510" s="1414">
        <v>8.61E-4</v>
      </c>
      <c r="J510" s="1415">
        <v>11.5648</v>
      </c>
    </row>
    <row r="511" spans="2:10" x14ac:dyDescent="0.25">
      <c r="B511" s="1412" t="s">
        <v>682</v>
      </c>
      <c r="C511" s="1413">
        <v>2100</v>
      </c>
      <c r="D511" s="1412">
        <v>-1185000</v>
      </c>
      <c r="E511" s="1414">
        <v>0</v>
      </c>
      <c r="F511" s="1415">
        <v>0</v>
      </c>
      <c r="G511" s="1412">
        <v>-85.800000000000011</v>
      </c>
      <c r="H511" s="1414">
        <v>0.54700000000000004</v>
      </c>
      <c r="I511" s="1414">
        <v>-1.8286999999999999E-3</v>
      </c>
      <c r="J511" s="1415">
        <v>-70.08</v>
      </c>
    </row>
    <row r="512" spans="2:10" x14ac:dyDescent="0.25">
      <c r="B512" s="1412" t="s">
        <v>683</v>
      </c>
      <c r="C512" s="1413">
        <v>2100</v>
      </c>
      <c r="D512" s="1412">
        <v>1721000</v>
      </c>
      <c r="E512" s="1414">
        <v>1293000</v>
      </c>
      <c r="F512" s="1415">
        <v>15050</v>
      </c>
      <c r="G512" s="1412">
        <v>125.08</v>
      </c>
      <c r="H512" s="1414">
        <v>0.20477100000000001</v>
      </c>
      <c r="I512" s="1414">
        <v>1.7827000000000001E-3</v>
      </c>
      <c r="J512" s="1415">
        <v>129.82</v>
      </c>
    </row>
    <row r="513" spans="2:10" x14ac:dyDescent="0.25">
      <c r="B513" s="1412" t="s">
        <v>698</v>
      </c>
      <c r="C513" s="1413">
        <v>2100</v>
      </c>
      <c r="D513" s="1412">
        <v>1721000</v>
      </c>
      <c r="E513" s="1414">
        <v>1293000</v>
      </c>
      <c r="F513" s="1415">
        <v>15050</v>
      </c>
      <c r="G513" s="1412">
        <v>125.08</v>
      </c>
      <c r="H513" s="1414">
        <v>0.20477100000000001</v>
      </c>
      <c r="I513" s="1414">
        <v>1.7827000000000001E-3</v>
      </c>
      <c r="J513" s="1415">
        <v>129.82</v>
      </c>
    </row>
    <row r="514" spans="2:10" x14ac:dyDescent="0.25">
      <c r="B514" s="1412" t="s">
        <v>684</v>
      </c>
      <c r="C514" s="1413">
        <v>2100</v>
      </c>
      <c r="D514" s="1412">
        <v>1721000</v>
      </c>
      <c r="E514" s="1414">
        <v>1293000</v>
      </c>
      <c r="F514" s="1415">
        <v>15050</v>
      </c>
      <c r="G514" s="1412">
        <v>125.08</v>
      </c>
      <c r="H514" s="1414">
        <v>0.20477100000000001</v>
      </c>
      <c r="I514" s="1414">
        <v>1.7827000000000001E-3</v>
      </c>
      <c r="J514" s="1415">
        <v>129.82</v>
      </c>
    </row>
    <row r="515" spans="2:10" x14ac:dyDescent="0.25">
      <c r="B515" s="1412" t="s">
        <v>1087</v>
      </c>
      <c r="C515" s="1413">
        <v>2100</v>
      </c>
      <c r="D515" s="1412">
        <v>1022000</v>
      </c>
      <c r="E515" s="1414">
        <v>1021000</v>
      </c>
      <c r="F515" s="1415">
        <v>15510</v>
      </c>
      <c r="G515" s="1412">
        <v>1.6964999999999999</v>
      </c>
      <c r="H515" s="1414">
        <v>0.14096238999999999</v>
      </c>
      <c r="I515" s="1414">
        <v>3.2765999999999998E-5</v>
      </c>
      <c r="J515" s="1415">
        <v>5.9536999999999995</v>
      </c>
    </row>
    <row r="516" spans="2:10" x14ac:dyDescent="0.25">
      <c r="B516" s="1412" t="s">
        <v>716</v>
      </c>
      <c r="C516" s="1413">
        <v>2100</v>
      </c>
      <c r="D516" s="1412">
        <v>1022000</v>
      </c>
      <c r="E516" s="1414">
        <v>1021000</v>
      </c>
      <c r="F516" s="1415">
        <v>15510</v>
      </c>
      <c r="G516" s="1412">
        <v>1.6964999999999999</v>
      </c>
      <c r="H516" s="1414">
        <v>0.14096238999999999</v>
      </c>
      <c r="I516" s="1414">
        <v>3.2765999999999998E-5</v>
      </c>
      <c r="J516" s="1415">
        <v>5.9536999999999995</v>
      </c>
    </row>
    <row r="517" spans="2:10" x14ac:dyDescent="0.25">
      <c r="B517" s="1412" t="s">
        <v>717</v>
      </c>
      <c r="C517" s="1413">
        <v>2100</v>
      </c>
      <c r="D517" s="1412">
        <v>1022000</v>
      </c>
      <c r="E517" s="1414">
        <v>1021000</v>
      </c>
      <c r="F517" s="1415">
        <v>15510</v>
      </c>
      <c r="G517" s="1412">
        <v>1.6964999999999999</v>
      </c>
      <c r="H517" s="1414">
        <v>0.14096238999999999</v>
      </c>
      <c r="I517" s="1414">
        <v>3.2765999999999998E-5</v>
      </c>
      <c r="J517" s="1415">
        <v>5.9536999999999995</v>
      </c>
    </row>
    <row r="518" spans="2:10" x14ac:dyDescent="0.25">
      <c r="B518" s="1412" t="s">
        <v>912</v>
      </c>
      <c r="C518" s="1413">
        <v>2100</v>
      </c>
      <c r="D518" s="1412">
        <v>1209000</v>
      </c>
      <c r="E518" s="1414">
        <v>1202000</v>
      </c>
      <c r="F518" s="1415">
        <v>1052000</v>
      </c>
      <c r="G518" s="1412">
        <v>17.969000000000001</v>
      </c>
      <c r="H518" s="1414">
        <v>0.164128</v>
      </c>
      <c r="I518" s="1414">
        <v>2.9025999999999998E-4</v>
      </c>
      <c r="J518" s="1415">
        <v>22.988</v>
      </c>
    </row>
    <row r="519" spans="2:10" x14ac:dyDescent="0.25">
      <c r="B519" s="1412" t="s">
        <v>910</v>
      </c>
      <c r="C519" s="1413">
        <v>2100</v>
      </c>
      <c r="D519" s="1412">
        <v>1585000</v>
      </c>
      <c r="E519" s="1414">
        <v>696300</v>
      </c>
      <c r="F519" s="1415">
        <v>286000</v>
      </c>
      <c r="G519" s="1412">
        <v>38.049999999999997</v>
      </c>
      <c r="H519" s="1414">
        <v>0.1118</v>
      </c>
      <c r="I519" s="1414">
        <v>2.5350000000000001E-2</v>
      </c>
      <c r="J519" s="1415">
        <v>45.19</v>
      </c>
    </row>
    <row r="520" spans="2:10" x14ac:dyDescent="0.25">
      <c r="B520" s="1412" t="s">
        <v>913</v>
      </c>
      <c r="C520" s="1413">
        <v>2100</v>
      </c>
      <c r="D520" s="1412">
        <v>1249000</v>
      </c>
      <c r="E520" s="1414">
        <v>1242000</v>
      </c>
      <c r="F520" s="1415">
        <v>1078000</v>
      </c>
      <c r="G520" s="1412">
        <v>23.84</v>
      </c>
      <c r="H520" s="1414">
        <v>0.16985799999999998</v>
      </c>
      <c r="I520" s="1414">
        <v>3.7813000000000001E-4</v>
      </c>
      <c r="J520" s="1415">
        <v>29.157000000000004</v>
      </c>
    </row>
    <row r="521" spans="2:10" x14ac:dyDescent="0.25">
      <c r="B521" s="1412" t="s">
        <v>1081</v>
      </c>
      <c r="C521" s="1413">
        <v>2100</v>
      </c>
      <c r="D521" s="1412">
        <v>1190000</v>
      </c>
      <c r="E521" s="1414">
        <v>51590</v>
      </c>
      <c r="F521" s="1415">
        <v>29220</v>
      </c>
      <c r="G521" s="1412">
        <v>3.7582</v>
      </c>
      <c r="H521" s="1414">
        <v>8.4366999999999984E-3</v>
      </c>
      <c r="I521" s="1414">
        <v>-3.8261190000000002E-3</v>
      </c>
      <c r="J521" s="1415">
        <v>3.0054000000000003</v>
      </c>
    </row>
    <row r="522" spans="2:10" x14ac:dyDescent="0.25">
      <c r="B522" s="1412" t="s">
        <v>815</v>
      </c>
      <c r="C522" s="1413">
        <v>2100</v>
      </c>
      <c r="D522" s="1412">
        <v>1190000</v>
      </c>
      <c r="E522" s="1414">
        <v>51590</v>
      </c>
      <c r="F522" s="1415">
        <v>29220</v>
      </c>
      <c r="G522" s="1412">
        <v>3.7582</v>
      </c>
      <c r="H522" s="1414">
        <v>8.4366999999999984E-3</v>
      </c>
      <c r="I522" s="1414">
        <v>-3.8261190000000002E-3</v>
      </c>
      <c r="J522" s="1415">
        <v>3.0054000000000003</v>
      </c>
    </row>
    <row r="523" spans="2:10" x14ac:dyDescent="0.25">
      <c r="B523" s="1412" t="s">
        <v>824</v>
      </c>
      <c r="C523" s="1413">
        <v>2100</v>
      </c>
      <c r="D523" s="1412">
        <v>1190000</v>
      </c>
      <c r="E523" s="1414">
        <v>51590</v>
      </c>
      <c r="F523" s="1415">
        <v>29220</v>
      </c>
      <c r="G523" s="1412">
        <v>3.7582</v>
      </c>
      <c r="H523" s="1414">
        <v>8.4366999999999984E-3</v>
      </c>
      <c r="I523" s="1414">
        <v>-3.8261190000000002E-3</v>
      </c>
      <c r="J523" s="1415">
        <v>3.0054000000000003</v>
      </c>
    </row>
    <row r="524" spans="2:10" ht="13" thickBot="1" x14ac:dyDescent="0.3">
      <c r="B524" s="1416" t="s">
        <v>1088</v>
      </c>
      <c r="C524" s="1417">
        <v>2100</v>
      </c>
      <c r="D524" s="1416">
        <v>1384000</v>
      </c>
      <c r="E524" s="1418">
        <v>1383000</v>
      </c>
      <c r="F524" s="1419">
        <v>5034</v>
      </c>
      <c r="G524" s="1416">
        <v>78.571100000000001</v>
      </c>
      <c r="H524" s="1418">
        <v>0.27494000000000002</v>
      </c>
      <c r="I524" s="1418">
        <v>2.3304000000000003E-3</v>
      </c>
      <c r="J524" s="1419">
        <v>87.594300000000004</v>
      </c>
    </row>
  </sheetData>
  <mergeCells count="23">
    <mergeCell ref="A52:K52"/>
    <mergeCell ref="A51:K51"/>
    <mergeCell ref="D91:E91"/>
    <mergeCell ref="A59:K59"/>
    <mergeCell ref="A2:K2"/>
    <mergeCell ref="A3:K3"/>
    <mergeCell ref="C4:E4"/>
    <mergeCell ref="G4:I4"/>
    <mergeCell ref="A56:K56"/>
    <mergeCell ref="A57:K57"/>
    <mergeCell ref="K92:L92"/>
    <mergeCell ref="A91:B91"/>
    <mergeCell ref="A58:K58"/>
    <mergeCell ref="A53:K53"/>
    <mergeCell ref="C134:E134"/>
    <mergeCell ref="F134:H134"/>
    <mergeCell ref="A54:K54"/>
    <mergeCell ref="G91:H91"/>
    <mergeCell ref="D92:E92"/>
    <mergeCell ref="A55:K55"/>
    <mergeCell ref="A61:K61"/>
    <mergeCell ref="A62:K62"/>
    <mergeCell ref="K91:L91"/>
  </mergeCells>
  <phoneticPr fontId="2" type="noConversion"/>
  <dataValidations disablePrompts="1" count="2">
    <dataValidation type="list" allowBlank="1" showInputMessage="1" showErrorMessage="1" sqref="J71:J88" xr:uid="{00000000-0002-0000-0E00-000000000000}">
      <formula1>Feed_Type_List</formula1>
    </dataValidation>
    <dataValidation type="list" allowBlank="1" showInputMessage="1" showErrorMessage="1" sqref="L71:L88" xr:uid="{00000000-0002-0000-0E00-000001000000}">
      <formula1>"Metric,English"</formula1>
    </dataValidation>
  </dataValidations>
  <pageMargins left="0.75" right="0.75" top="1" bottom="1"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mdReturn_Click">
                <anchor moveWithCells="1" sizeWithCells="1">
                  <from>
                    <xdr:col>11</xdr:col>
                    <xdr:colOff>247650</xdr:colOff>
                    <xdr:row>1</xdr:row>
                    <xdr:rowOff>19050</xdr:rowOff>
                  </from>
                  <to>
                    <xdr:col>13</xdr:col>
                    <xdr:colOff>38100</xdr:colOff>
                    <xdr:row>4</xdr:row>
                    <xdr:rowOff>95250</xdr:rowOff>
                  </to>
                </anchor>
              </controlPr>
            </control>
          </mc:Choice>
        </mc:AlternateContent>
        <mc:AlternateContent xmlns:mc="http://schemas.openxmlformats.org/markup-compatibility/2006">
          <mc:Choice Requires="x14">
            <control shapeId="10247" r:id="rId5" name="Button 7">
              <controlPr defaultSize="0" print="0" autoFill="0" autoPict="0" macro="[0]!ShowMakeTables">
                <anchor moveWithCells="1" sizeWithCells="1">
                  <from>
                    <xdr:col>3</xdr:col>
                    <xdr:colOff>95250</xdr:colOff>
                    <xdr:row>68</xdr:row>
                    <xdr:rowOff>57150</xdr:rowOff>
                  </from>
                  <to>
                    <xdr:col>4</xdr:col>
                    <xdr:colOff>76200</xdr:colOff>
                    <xdr:row>68</xdr:row>
                    <xdr:rowOff>495300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tabColor indexed="18"/>
    <pageSetUpPr fitToPage="1"/>
  </sheetPr>
  <dimension ref="A1:L58"/>
  <sheetViews>
    <sheetView zoomScale="55" zoomScaleNormal="55" workbookViewId="0">
      <selection activeCell="A11" sqref="A11:G57"/>
    </sheetView>
  </sheetViews>
  <sheetFormatPr defaultColWidth="9.1796875" defaultRowHeight="12.5" x14ac:dyDescent="0.25"/>
  <cols>
    <col min="1" max="1" width="19" style="38" customWidth="1"/>
    <col min="2" max="2" width="16" style="38" customWidth="1"/>
    <col min="3" max="3" width="17.1796875" style="38" customWidth="1"/>
    <col min="4" max="4" width="17.81640625" style="38" customWidth="1"/>
    <col min="5" max="5" width="14.1796875" style="38" customWidth="1"/>
    <col min="6" max="6" width="20.81640625" style="38" customWidth="1"/>
    <col min="7" max="7" width="22.453125" style="38" customWidth="1"/>
    <col min="8" max="16384" width="9.1796875" style="38"/>
  </cols>
  <sheetData>
    <row r="1" spans="1:12" ht="30.75" customHeight="1" x14ac:dyDescent="0.4">
      <c r="A1" s="37" t="s">
        <v>32</v>
      </c>
    </row>
    <row r="2" spans="1:12" ht="15" customHeight="1" x14ac:dyDescent="0.25">
      <c r="A2"/>
      <c r="B2"/>
      <c r="C2"/>
      <c r="D2"/>
      <c r="E2"/>
      <c r="G2" s="39"/>
      <c r="K2" s="40"/>
      <c r="L2" s="41"/>
    </row>
    <row r="3" spans="1:12" ht="15" customHeight="1" x14ac:dyDescent="0.25">
      <c r="A3"/>
      <c r="B3"/>
      <c r="C3"/>
      <c r="D3"/>
      <c r="E3"/>
      <c r="F3" s="44"/>
      <c r="G3" s="44"/>
      <c r="H3" s="39"/>
      <c r="K3" s="40"/>
      <c r="L3" s="41"/>
    </row>
    <row r="4" spans="1:12" ht="15" customHeight="1" x14ac:dyDescent="0.25">
      <c r="A4"/>
      <c r="B4"/>
      <c r="C4"/>
      <c r="D4"/>
      <c r="E4"/>
      <c r="F4" s="44"/>
      <c r="G4" s="44"/>
      <c r="H4" s="39"/>
      <c r="K4" s="40"/>
      <c r="L4" s="41"/>
    </row>
    <row r="5" spans="1:12" ht="15" customHeight="1" x14ac:dyDescent="0.25">
      <c r="A5"/>
      <c r="B5"/>
      <c r="C5"/>
      <c r="D5"/>
      <c r="E5"/>
      <c r="G5" s="39"/>
      <c r="K5" s="45"/>
      <c r="L5" s="41"/>
    </row>
    <row r="6" spans="1:12" ht="15" customHeight="1" x14ac:dyDescent="0.25">
      <c r="A6"/>
      <c r="B6"/>
      <c r="C6"/>
      <c r="D6"/>
      <c r="E6"/>
      <c r="G6" s="39"/>
      <c r="K6" s="45"/>
      <c r="L6" s="41"/>
    </row>
    <row r="7" spans="1:12" ht="15" customHeight="1" x14ac:dyDescent="0.25">
      <c r="A7"/>
      <c r="B7"/>
      <c r="C7"/>
      <c r="D7"/>
      <c r="E7"/>
      <c r="G7" s="39"/>
      <c r="K7" s="45"/>
      <c r="L7" s="41"/>
    </row>
    <row r="8" spans="1:12" x14ac:dyDescent="0.25">
      <c r="A8"/>
      <c r="B8"/>
      <c r="C8"/>
      <c r="D8"/>
      <c r="E8"/>
    </row>
    <row r="9" spans="1:12" x14ac:dyDescent="0.25">
      <c r="A9"/>
      <c r="B9"/>
      <c r="C9"/>
      <c r="D9"/>
      <c r="E9"/>
    </row>
    <row r="10" spans="1:12" ht="13" thickBot="1" x14ac:dyDescent="0.3"/>
    <row r="11" spans="1:12" s="53" customFormat="1" ht="24.75" customHeight="1" thickTop="1" thickBot="1" x14ac:dyDescent="0.4">
      <c r="A11" s="49" t="s">
        <v>39</v>
      </c>
      <c r="B11" s="50"/>
      <c r="C11" s="51"/>
      <c r="D11" s="51"/>
      <c r="E11" s="51"/>
      <c r="F11" s="51"/>
      <c r="G11" s="52"/>
    </row>
    <row r="12" spans="1:12" s="53" customFormat="1" ht="24.75" customHeight="1" thickTop="1" thickBot="1" x14ac:dyDescent="0.4">
      <c r="A12" s="54"/>
      <c r="B12" s="1709"/>
      <c r="C12" s="1710"/>
      <c r="D12" s="1710"/>
      <c r="E12" s="1710"/>
      <c r="F12" s="1710"/>
      <c r="G12" s="1710"/>
    </row>
    <row r="13" spans="1:12" s="53" customFormat="1" ht="21" customHeight="1" thickTop="1" x14ac:dyDescent="0.3">
      <c r="A13" s="55" t="s">
        <v>40</v>
      </c>
      <c r="B13" s="56" t="s">
        <v>41</v>
      </c>
      <c r="C13" s="57" t="s">
        <v>42</v>
      </c>
      <c r="D13" s="57" t="s">
        <v>43</v>
      </c>
      <c r="E13" s="57" t="s">
        <v>44</v>
      </c>
      <c r="F13" s="57" t="s">
        <v>45</v>
      </c>
      <c r="G13" s="58" t="s">
        <v>46</v>
      </c>
    </row>
    <row r="14" spans="1:12" s="53" customFormat="1" ht="15" customHeight="1" x14ac:dyDescent="0.25">
      <c r="A14" s="59">
        <f>'Cash Flow Analysis'!B65</f>
        <v>1</v>
      </c>
      <c r="B14" s="60">
        <f>IF(B13="","",IF('Cash Flow Analysis'!$B$31=0,"N/A",IF(A14=1,1,IF(A13=debt_period,"",B13+1))))</f>
        <v>1</v>
      </c>
      <c r="C14" s="61">
        <f ca="1">IF(OR(A14="",B14="",B14="N/A"),"",IF(B14=1,-'Cash Flow Analysis'!G65,IF(B14="N/A",0,G13)))</f>
        <v>268843839.85891169</v>
      </c>
      <c r="D14" s="61">
        <f ca="1">IF(debt_period=0,
E14+F14,
IF(OR(A14="",B14="",B14="N/A"),"",IF(B14=1,((debt_interest*(1+debt_interest)^debt_period)/((1+debt_interest)^debt_period-1))*(-'Cash Flow Analysis'!G65),IF(G13=0,"",D13))))</f>
        <v>9947222.0747797322</v>
      </c>
      <c r="E14" s="61">
        <f t="shared" ref="E14:E57" ca="1" si="0">IF(OR(A14="",B14="",B14="N/A"),"",C14*debt_interest)</f>
        <v>9947222.0747797322</v>
      </c>
      <c r="F14" s="61">
        <f>IF(debt_period=0,
IF(B14=(anal_period+construct),0,0),
IF(OR(A14="",B14="",B14="N/A"),"",D14-E14))</f>
        <v>0</v>
      </c>
      <c r="G14" s="62">
        <f t="shared" ref="G14:G57" ca="1" si="1">IF(OR(A14="",B14="",B14="N/A"),"",C14-F14)</f>
        <v>268843839.85891169</v>
      </c>
    </row>
    <row r="15" spans="1:12" s="53" customFormat="1" ht="15" customHeight="1" x14ac:dyDescent="0.25">
      <c r="A15" s="59">
        <f>'Cash Flow Analysis'!B66</f>
        <v>2</v>
      </c>
      <c r="B15" s="60">
        <f>IF(B14="","",IF('Cash Flow Analysis'!$B$31=0,"N/A",IF(A15=1,1,IF(A14=debt_period,"",B14+1))))</f>
        <v>2</v>
      </c>
      <c r="C15" s="61">
        <f ca="1">IF(OR(A15="",B15="",B15="N/A"),"",IF(B15=1,-'Cash Flow Analysis'!G66,IF(B15="N/A",0,G14)))</f>
        <v>268843839.85891169</v>
      </c>
      <c r="D15" s="61">
        <f ca="1">IF(debt_period=0,
E15+F15,
IF(OR(A15="",B15="",B15="N/A"),"",IF(B15=1,((debt_interest*(1+debt_interest)^debt_period)/((1+debt_interest)^debt_period-1))*(-'Cash Flow Analysis'!G66),IF(G14=0,"",D14))))</f>
        <v>9947222.0747797322</v>
      </c>
      <c r="E15" s="61">
        <f t="shared" ca="1" si="0"/>
        <v>9947222.0747797322</v>
      </c>
      <c r="F15" s="61">
        <f>IF(debt_period=0,
IF(B15=(anal_period+construct),C14,0),
IF(OR(A15="",B15="",B15="N/A"),"",D15-E15))</f>
        <v>0</v>
      </c>
      <c r="G15" s="62">
        <f t="shared" ca="1" si="1"/>
        <v>268843839.85891169</v>
      </c>
    </row>
    <row r="16" spans="1:12" s="53" customFormat="1" ht="15" customHeight="1" x14ac:dyDescent="0.25">
      <c r="A16" s="59">
        <f>'Cash Flow Analysis'!B67</f>
        <v>3</v>
      </c>
      <c r="B16" s="60">
        <f>IF(B15="","",IF('Cash Flow Analysis'!$B$31=0,"N/A",IF(A16=1,1,IF(A15=debt_period,"",B15+1))))</f>
        <v>3</v>
      </c>
      <c r="C16" s="61">
        <f ca="1">IF(OR(A16="",B16="",B16="N/A"),"",IF(B16=1,-'Cash Flow Analysis'!G67,IF(B16="N/A",0,G15)))</f>
        <v>268843839.85891169</v>
      </c>
      <c r="D16" s="61">
        <f ca="1">IF(debt_period=0,
E16+F16,
IF(OR(A16="",B16="",B16="N/A"),"",IF(B16=1,((debt_interest*(1+debt_interest)^debt_period)/((1+debt_interest)^debt_period-1))*(-'Cash Flow Analysis'!G67),IF(G15=0,"",D15))))</f>
        <v>9947222.0747797322</v>
      </c>
      <c r="E16" s="61">
        <f t="shared" ca="1" si="0"/>
        <v>9947222.0747797322</v>
      </c>
      <c r="F16" s="61">
        <f t="shared" ref="F16:F57" si="2">IF(debt_period=0,
IF(B16=(anal_period+construct),C16,0),
IF(OR(A16="",B16="",B16="N/A"),"",D16-E16))</f>
        <v>0</v>
      </c>
      <c r="G16" s="62">
        <f t="shared" ca="1" si="1"/>
        <v>268843839.85891169</v>
      </c>
    </row>
    <row r="17" spans="1:7" s="53" customFormat="1" ht="15" customHeight="1" x14ac:dyDescent="0.25">
      <c r="A17" s="59">
        <f>'Cash Flow Analysis'!B68</f>
        <v>4</v>
      </c>
      <c r="B17" s="60">
        <f>IF(B16="","",IF('Cash Flow Analysis'!$B$31=0,"N/A",IF(A17=1,1,IF(A16=debt_period,"",B16+1))))</f>
        <v>4</v>
      </c>
      <c r="C17" s="61">
        <f ca="1">IF(OR(A17="",B17="",B17="N/A"),"",IF(B17=1,-'Cash Flow Analysis'!G68,IF(B17="N/A",0,G16)))</f>
        <v>268843839.85891169</v>
      </c>
      <c r="D17" s="61">
        <f ca="1">IF(debt_period=0,
E17+F17,
IF(OR(A17="",B17="",B17="N/A"),"",IF(B17=1,((debt_interest*(1+debt_interest)^debt_period)/((1+debt_interest)^debt_period-1))*(-'Cash Flow Analysis'!G68),IF(G16=0,"",D16))))</f>
        <v>9947222.0747797322</v>
      </c>
      <c r="E17" s="61">
        <f t="shared" ca="1" si="0"/>
        <v>9947222.0747797322</v>
      </c>
      <c r="F17" s="61">
        <f t="shared" si="2"/>
        <v>0</v>
      </c>
      <c r="G17" s="62">
        <f t="shared" ca="1" si="1"/>
        <v>268843839.85891169</v>
      </c>
    </row>
    <row r="18" spans="1:7" s="53" customFormat="1" ht="15" customHeight="1" x14ac:dyDescent="0.25">
      <c r="A18" s="59">
        <f>'Cash Flow Analysis'!B69</f>
        <v>5</v>
      </c>
      <c r="B18" s="60">
        <f>IF(B17="","",IF('Cash Flow Analysis'!$B$31=0,"N/A",IF(A18=1,1,IF(A17=debt_period,"",B17+1))))</f>
        <v>5</v>
      </c>
      <c r="C18" s="61">
        <f ca="1">IF(OR(A18="",B18="",B18="N/A"),"",IF(B18=1,-'Cash Flow Analysis'!G69,IF(B18="N/A",0,G17)))</f>
        <v>268843839.85891169</v>
      </c>
      <c r="D18" s="61">
        <f ca="1">IF(debt_period=0,
E18+F18,
IF(OR(A18="",B18="",B18="N/A"),"",IF(B18=1,((debt_interest*(1+debt_interest)^debt_period)/((1+debt_interest)^debt_period-1))*(-'Cash Flow Analysis'!G69),IF(G17=0,"",D17))))</f>
        <v>9947222.0747797322</v>
      </c>
      <c r="E18" s="61">
        <f t="shared" ca="1" si="0"/>
        <v>9947222.0747797322</v>
      </c>
      <c r="F18" s="61">
        <f t="shared" si="2"/>
        <v>0</v>
      </c>
      <c r="G18" s="62">
        <f t="shared" ca="1" si="1"/>
        <v>268843839.85891169</v>
      </c>
    </row>
    <row r="19" spans="1:7" s="53" customFormat="1" ht="15" customHeight="1" x14ac:dyDescent="0.25">
      <c r="A19" s="59">
        <f>'Cash Flow Analysis'!B70</f>
        <v>6</v>
      </c>
      <c r="B19" s="60">
        <f>IF(B18="","",IF('Cash Flow Analysis'!$B$31=0,"N/A",IF(A19=1,1,IF(A18=debt_period,"",B18+1))))</f>
        <v>6</v>
      </c>
      <c r="C19" s="61">
        <f ca="1">IF(OR(A19="",B19="",B19="N/A"),"",IF(B19=1,-'Cash Flow Analysis'!G70,IF(B19="N/A",0,G18)))</f>
        <v>268843839.85891169</v>
      </c>
      <c r="D19" s="61">
        <f ca="1">IF(debt_period=0,
E19+F19,
IF(OR(A19="",B19="",B19="N/A"),"",IF(B19=1,((debt_interest*(1+debt_interest)^debt_period)/((1+debt_interest)^debt_period-1))*(-'Cash Flow Analysis'!G70),IF(G18=0,"",D18))))</f>
        <v>9947222.0747797322</v>
      </c>
      <c r="E19" s="61">
        <f t="shared" ca="1" si="0"/>
        <v>9947222.0747797322</v>
      </c>
      <c r="F19" s="61">
        <f t="shared" si="2"/>
        <v>0</v>
      </c>
      <c r="G19" s="62">
        <f t="shared" ca="1" si="1"/>
        <v>268843839.85891169</v>
      </c>
    </row>
    <row r="20" spans="1:7" s="53" customFormat="1" ht="15" customHeight="1" x14ac:dyDescent="0.25">
      <c r="A20" s="59">
        <f>'Cash Flow Analysis'!B71</f>
        <v>7</v>
      </c>
      <c r="B20" s="60">
        <f>IF(B19="","",IF('Cash Flow Analysis'!$B$31=0,"N/A",IF(A20=1,1,IF(A19=debt_period,"",B19+1))))</f>
        <v>7</v>
      </c>
      <c r="C20" s="61">
        <f ca="1">IF(OR(A20="",B20="",B20="N/A"),"",IF(B20=1,-'Cash Flow Analysis'!G71,IF(B20="N/A",0,G19)))</f>
        <v>268843839.85891169</v>
      </c>
      <c r="D20" s="61">
        <f ca="1">IF(debt_period=0,
E20+F20,
IF(OR(A20="",B20="",B20="N/A"),"",IF(B20=1,((debt_interest*(1+debt_interest)^debt_period)/((1+debt_interest)^debt_period-1))*(-'Cash Flow Analysis'!G71),IF(G19=0,"",D19))))</f>
        <v>9947222.0747797322</v>
      </c>
      <c r="E20" s="61">
        <f t="shared" ca="1" si="0"/>
        <v>9947222.0747797322</v>
      </c>
      <c r="F20" s="61">
        <f t="shared" si="2"/>
        <v>0</v>
      </c>
      <c r="G20" s="62">
        <f t="shared" ca="1" si="1"/>
        <v>268843839.85891169</v>
      </c>
    </row>
    <row r="21" spans="1:7" s="53" customFormat="1" ht="15" customHeight="1" x14ac:dyDescent="0.25">
      <c r="A21" s="59">
        <f>'Cash Flow Analysis'!B72</f>
        <v>8</v>
      </c>
      <c r="B21" s="60">
        <f>IF(B20="","",IF('Cash Flow Analysis'!$B$31=0,"N/A",IF(A21=1,1,IF(A20=debt_period,"",B20+1))))</f>
        <v>8</v>
      </c>
      <c r="C21" s="61">
        <f ca="1">IF(OR(A21="",B21="",B21="N/A"),"",IF(B21=1,-'Cash Flow Analysis'!G72,IF(B21="N/A",0,G20)))</f>
        <v>268843839.85891169</v>
      </c>
      <c r="D21" s="61">
        <f ca="1">IF(debt_period=0,
E21+F21,
IF(OR(A21="",B21="",B21="N/A"),"",IF(B21=1,((debt_interest*(1+debt_interest)^debt_period)/((1+debt_interest)^debt_period-1))*(-'Cash Flow Analysis'!G72),IF(G20=0,"",D20))))</f>
        <v>9947222.0747797322</v>
      </c>
      <c r="E21" s="61">
        <f t="shared" ca="1" si="0"/>
        <v>9947222.0747797322</v>
      </c>
      <c r="F21" s="61">
        <f t="shared" si="2"/>
        <v>0</v>
      </c>
      <c r="G21" s="62">
        <f t="shared" ca="1" si="1"/>
        <v>268843839.85891169</v>
      </c>
    </row>
    <row r="22" spans="1:7" s="53" customFormat="1" ht="15" customHeight="1" x14ac:dyDescent="0.25">
      <c r="A22" s="59">
        <f>'Cash Flow Analysis'!B73</f>
        <v>9</v>
      </c>
      <c r="B22" s="60">
        <f>IF(B21="","",IF('Cash Flow Analysis'!$B$31=0,"N/A",IF(A22=1,1,IF(A21=debt_period,"",B21+1))))</f>
        <v>9</v>
      </c>
      <c r="C22" s="61">
        <f ca="1">IF(OR(A22="",B22="",B22="N/A"),"",IF(B22=1,-'Cash Flow Analysis'!G73,IF(B22="N/A",0,G21)))</f>
        <v>268843839.85891169</v>
      </c>
      <c r="D22" s="61">
        <f ca="1">IF(debt_period=0,
E22+F22,
IF(OR(A22="",B22="",B22="N/A"),"",IF(B22=1,((debt_interest*(1+debt_interest)^debt_period)/((1+debt_interest)^debt_period-1))*(-'Cash Flow Analysis'!G73),IF(G21=0,"",D21))))</f>
        <v>9947222.0747797322</v>
      </c>
      <c r="E22" s="61">
        <f t="shared" ca="1" si="0"/>
        <v>9947222.0747797322</v>
      </c>
      <c r="F22" s="61">
        <f t="shared" si="2"/>
        <v>0</v>
      </c>
      <c r="G22" s="62">
        <f t="shared" ca="1" si="1"/>
        <v>268843839.85891169</v>
      </c>
    </row>
    <row r="23" spans="1:7" s="53" customFormat="1" ht="15" customHeight="1" x14ac:dyDescent="0.25">
      <c r="A23" s="59">
        <f>'Cash Flow Analysis'!B74</f>
        <v>10</v>
      </c>
      <c r="B23" s="60">
        <f>IF(B22="","",IF('Cash Flow Analysis'!$B$31=0,"N/A",IF(A23=1,1,IF(A22=debt_period,"",B22+1))))</f>
        <v>10</v>
      </c>
      <c r="C23" s="61">
        <f ca="1">IF(OR(A23="",B23="",B23="N/A"),"",IF(B23=1,-'Cash Flow Analysis'!G74,IF(B23="N/A",0,G22)))</f>
        <v>268843839.85891169</v>
      </c>
      <c r="D23" s="61">
        <f ca="1">IF(debt_period=0,
E23+F23,
IF(OR(A23="",B23="",B23="N/A"),"",IF(B23=1,((debt_interest*(1+debt_interest)^debt_period)/((1+debt_interest)^debt_period-1))*(-'Cash Flow Analysis'!G74),IF(G22=0,"",D22))))</f>
        <v>9947222.0747797322</v>
      </c>
      <c r="E23" s="61">
        <f t="shared" ca="1" si="0"/>
        <v>9947222.0747797322</v>
      </c>
      <c r="F23" s="61">
        <f t="shared" si="2"/>
        <v>0</v>
      </c>
      <c r="G23" s="62">
        <f t="shared" ca="1" si="1"/>
        <v>268843839.85891169</v>
      </c>
    </row>
    <row r="24" spans="1:7" s="53" customFormat="1" ht="15" customHeight="1" x14ac:dyDescent="0.25">
      <c r="A24" s="59">
        <f>'Cash Flow Analysis'!B75</f>
        <v>11</v>
      </c>
      <c r="B24" s="60">
        <f>IF(B23="","",IF('Cash Flow Analysis'!$B$31=0,"N/A",IF(A24=1,1,IF(A23=debt_period,"",B23+1))))</f>
        <v>11</v>
      </c>
      <c r="C24" s="61">
        <f ca="1">IF(OR(A24="",B24="",B24="N/A"),"",IF(B24=1,-'Cash Flow Analysis'!G75,IF(B24="N/A",0,G23)))</f>
        <v>268843839.85891169</v>
      </c>
      <c r="D24" s="61">
        <f ca="1">IF(debt_period=0,
E24+F24,
IF(OR(A24="",B24="",B24="N/A"),"",IF(B24=1,((debt_interest*(1+debt_interest)^debt_period)/((1+debt_interest)^debt_period-1))*(-'Cash Flow Analysis'!G75),IF(G23=0,"",D23))))</f>
        <v>9947222.0747797322</v>
      </c>
      <c r="E24" s="61">
        <f t="shared" ca="1" si="0"/>
        <v>9947222.0747797322</v>
      </c>
      <c r="F24" s="61">
        <f t="shared" si="2"/>
        <v>0</v>
      </c>
      <c r="G24" s="62">
        <f t="shared" ca="1" si="1"/>
        <v>268843839.85891169</v>
      </c>
    </row>
    <row r="25" spans="1:7" s="53" customFormat="1" ht="15" customHeight="1" x14ac:dyDescent="0.25">
      <c r="A25" s="59">
        <f>'Cash Flow Analysis'!B76</f>
        <v>12</v>
      </c>
      <c r="B25" s="60">
        <f>IF(B24="","",IF('Cash Flow Analysis'!$B$31=0,"N/A",IF(A25=1,1,IF(A24=debt_period,"",B24+1))))</f>
        <v>12</v>
      </c>
      <c r="C25" s="61">
        <f ca="1">IF(OR(A25="",B25="",B25="N/A"),"",IF(B25=1,-'Cash Flow Analysis'!G76,IF(B25="N/A",0,G24)))</f>
        <v>268843839.85891169</v>
      </c>
      <c r="D25" s="61">
        <f ca="1">IF(debt_period=0,
E25+F25,
IF(OR(A25="",B25="",B25="N/A"),"",IF(B25=1,((debt_interest*(1+debt_interest)^debt_period)/((1+debt_interest)^debt_period-1))*(-'Cash Flow Analysis'!G76),IF(G24=0,"",D24))))</f>
        <v>9947222.0747797322</v>
      </c>
      <c r="E25" s="61">
        <f t="shared" ca="1" si="0"/>
        <v>9947222.0747797322</v>
      </c>
      <c r="F25" s="61">
        <f t="shared" si="2"/>
        <v>0</v>
      </c>
      <c r="G25" s="62">
        <f t="shared" ca="1" si="1"/>
        <v>268843839.85891169</v>
      </c>
    </row>
    <row r="26" spans="1:7" s="53" customFormat="1" ht="15" customHeight="1" x14ac:dyDescent="0.25">
      <c r="A26" s="59">
        <f>'Cash Flow Analysis'!B77</f>
        <v>13</v>
      </c>
      <c r="B26" s="60">
        <f>IF(B25="","",IF('Cash Flow Analysis'!$B$31=0,"N/A",IF(A26=1,1,IF(A25=debt_period,"",B25+1))))</f>
        <v>13</v>
      </c>
      <c r="C26" s="61">
        <f ca="1">IF(OR(A26="",B26="",B26="N/A"),"",IF(B26=1,-'Cash Flow Analysis'!G77,IF(B26="N/A",0,G25)))</f>
        <v>268843839.85891169</v>
      </c>
      <c r="D26" s="61">
        <f ca="1">IF(debt_period=0,
E26+F26,
IF(OR(A26="",B26="",B26="N/A"),"",IF(B26=1,((debt_interest*(1+debt_interest)^debt_period)/((1+debt_interest)^debt_period-1))*(-'Cash Flow Analysis'!G77),IF(G25=0,"",D25))))</f>
        <v>9947222.0747797322</v>
      </c>
      <c r="E26" s="61">
        <f t="shared" ca="1" si="0"/>
        <v>9947222.0747797322</v>
      </c>
      <c r="F26" s="61">
        <f t="shared" si="2"/>
        <v>0</v>
      </c>
      <c r="G26" s="62">
        <f t="shared" ca="1" si="1"/>
        <v>268843839.85891169</v>
      </c>
    </row>
    <row r="27" spans="1:7" s="53" customFormat="1" ht="15" customHeight="1" x14ac:dyDescent="0.25">
      <c r="A27" s="59">
        <f>'Cash Flow Analysis'!B78</f>
        <v>14</v>
      </c>
      <c r="B27" s="60">
        <f>IF(B26="","",IF('Cash Flow Analysis'!$B$31=0,"N/A",IF(A27=1,1,IF(A26=debt_period,"",B26+1))))</f>
        <v>14</v>
      </c>
      <c r="C27" s="61">
        <f ca="1">IF(OR(A27="",B27="",B27="N/A"),"",IF(B27=1,-'Cash Flow Analysis'!G78,IF(B27="N/A",0,G26)))</f>
        <v>268843839.85891169</v>
      </c>
      <c r="D27" s="61">
        <f ca="1">IF(debt_period=0,
E27+F27,
IF(OR(A27="",B27="",B27="N/A"),"",IF(B27=1,((debt_interest*(1+debt_interest)^debt_period)/((1+debt_interest)^debt_period-1))*(-'Cash Flow Analysis'!G78),IF(G26=0,"",D26))))</f>
        <v>9947222.0747797322</v>
      </c>
      <c r="E27" s="61">
        <f t="shared" ca="1" si="0"/>
        <v>9947222.0747797322</v>
      </c>
      <c r="F27" s="61">
        <f t="shared" si="2"/>
        <v>0</v>
      </c>
      <c r="G27" s="62">
        <f t="shared" ca="1" si="1"/>
        <v>268843839.85891169</v>
      </c>
    </row>
    <row r="28" spans="1:7" s="53" customFormat="1" ht="15" customHeight="1" x14ac:dyDescent="0.25">
      <c r="A28" s="59">
        <f>'Cash Flow Analysis'!B79</f>
        <v>15</v>
      </c>
      <c r="B28" s="60">
        <f>IF(B27="","",IF('Cash Flow Analysis'!$B$31=0,"N/A",IF(A28=1,1,IF(A27=debt_period,"",B27+1))))</f>
        <v>15</v>
      </c>
      <c r="C28" s="61">
        <f ca="1">IF(OR(A28="",B28="",B28="N/A"),"",IF(B28=1,-'Cash Flow Analysis'!G79,IF(B28="N/A",0,G27)))</f>
        <v>268843839.85891169</v>
      </c>
      <c r="D28" s="61">
        <f ca="1">IF(debt_period=0,
E28+F28,
IF(OR(A28="",B28="",B28="N/A"),"",IF(B28=1,((debt_interest*(1+debt_interest)^debt_period)/((1+debt_interest)^debt_period-1))*(-'Cash Flow Analysis'!G79),IF(G27=0,"",D27))))</f>
        <v>9947222.0747797322</v>
      </c>
      <c r="E28" s="61">
        <f t="shared" ca="1" si="0"/>
        <v>9947222.0747797322</v>
      </c>
      <c r="F28" s="61">
        <f t="shared" si="2"/>
        <v>0</v>
      </c>
      <c r="G28" s="62">
        <f t="shared" ca="1" si="1"/>
        <v>268843839.85891169</v>
      </c>
    </row>
    <row r="29" spans="1:7" s="53" customFormat="1" ht="15" customHeight="1" x14ac:dyDescent="0.25">
      <c r="A29" s="59">
        <f>'Cash Flow Analysis'!B80</f>
        <v>16</v>
      </c>
      <c r="B29" s="60">
        <f>IF(B28="","",IF('Cash Flow Analysis'!$B$31=0,"N/A",IF(A29=1,1,IF(A28=debt_period,"",B28+1))))</f>
        <v>16</v>
      </c>
      <c r="C29" s="61">
        <f ca="1">IF(OR(A29="",B29="",B29="N/A"),"",IF(B29=1,-'Cash Flow Analysis'!G80,IF(B29="N/A",0,G28)))</f>
        <v>268843839.85891169</v>
      </c>
      <c r="D29" s="61">
        <f ca="1">IF(debt_period=0,
E29+F29,
IF(OR(A29="",B29="",B29="N/A"),"",IF(B29=1,((debt_interest*(1+debt_interest)^debt_period)/((1+debt_interest)^debt_period-1))*(-'Cash Flow Analysis'!G80),IF(G28=0,"",D28))))</f>
        <v>9947222.0747797322</v>
      </c>
      <c r="E29" s="61">
        <f t="shared" ca="1" si="0"/>
        <v>9947222.0747797322</v>
      </c>
      <c r="F29" s="61">
        <f t="shared" si="2"/>
        <v>0</v>
      </c>
      <c r="G29" s="62">
        <f t="shared" ca="1" si="1"/>
        <v>268843839.85891169</v>
      </c>
    </row>
    <row r="30" spans="1:7" s="53" customFormat="1" ht="15" customHeight="1" x14ac:dyDescent="0.25">
      <c r="A30" s="59">
        <f>'Cash Flow Analysis'!B81</f>
        <v>17</v>
      </c>
      <c r="B30" s="60">
        <f>IF(B29="","",IF('Cash Flow Analysis'!$B$31=0,"N/A",IF(A30=1,1,IF(A29=debt_period,"",B29+1))))</f>
        <v>17</v>
      </c>
      <c r="C30" s="61">
        <f ca="1">IF(OR(A30="",B30="",B30="N/A"),"",IF(B30=1,-'Cash Flow Analysis'!G81,IF(B30="N/A",0,G29)))</f>
        <v>268843839.85891169</v>
      </c>
      <c r="D30" s="61">
        <f ca="1">IF(debt_period=0,
E30+F30,
IF(OR(A30="",B30="",B30="N/A"),"",IF(B30=1,((debt_interest*(1+debt_interest)^debt_period)/((1+debt_interest)^debt_period-1))*(-'Cash Flow Analysis'!G81),IF(G29=0,"",D29))))</f>
        <v>9947222.0747797322</v>
      </c>
      <c r="E30" s="61">
        <f t="shared" ca="1" si="0"/>
        <v>9947222.0747797322</v>
      </c>
      <c r="F30" s="61">
        <f t="shared" si="2"/>
        <v>0</v>
      </c>
      <c r="G30" s="62">
        <f t="shared" ca="1" si="1"/>
        <v>268843839.85891169</v>
      </c>
    </row>
    <row r="31" spans="1:7" s="53" customFormat="1" ht="15" customHeight="1" x14ac:dyDescent="0.25">
      <c r="A31" s="59">
        <f>'Cash Flow Analysis'!B82</f>
        <v>18</v>
      </c>
      <c r="B31" s="60">
        <f>IF(B30="","",IF('Cash Flow Analysis'!$B$31=0,"N/A",IF(A31=1,1,IF(A30=debt_period,"",B30+1))))</f>
        <v>18</v>
      </c>
      <c r="C31" s="61">
        <f ca="1">IF(OR(A31="",B31="",B31="N/A"),"",IF(B31=1,-'Cash Flow Analysis'!G82,IF(B31="N/A",0,G30)))</f>
        <v>268843839.85891169</v>
      </c>
      <c r="D31" s="61">
        <f ca="1">IF(debt_period=0,
E31+F31,
IF(OR(A31="",B31="",B31="N/A"),"",IF(B31=1,((debt_interest*(1+debt_interest)^debt_period)/((1+debt_interest)^debt_period-1))*(-'Cash Flow Analysis'!G82),IF(G30=0,"",D30))))</f>
        <v>9947222.0747797322</v>
      </c>
      <c r="E31" s="61">
        <f t="shared" ca="1" si="0"/>
        <v>9947222.0747797322</v>
      </c>
      <c r="F31" s="61">
        <f t="shared" si="2"/>
        <v>0</v>
      </c>
      <c r="G31" s="62">
        <f t="shared" ca="1" si="1"/>
        <v>268843839.85891169</v>
      </c>
    </row>
    <row r="32" spans="1:7" s="53" customFormat="1" ht="15" customHeight="1" x14ac:dyDescent="0.25">
      <c r="A32" s="59">
        <f>'Cash Flow Analysis'!B83</f>
        <v>19</v>
      </c>
      <c r="B32" s="60">
        <f>IF(B31="","",IF('Cash Flow Analysis'!$B$31=0,"N/A",IF(A32=1,1,IF(A31=debt_period,"",B31+1))))</f>
        <v>19</v>
      </c>
      <c r="C32" s="61">
        <f ca="1">IF(OR(A32="",B32="",B32="N/A"),"",IF(B32=1,-'Cash Flow Analysis'!G83,IF(B32="N/A",0,G31)))</f>
        <v>268843839.85891169</v>
      </c>
      <c r="D32" s="61">
        <f ca="1">IF(debt_period=0,
E32+F32,
IF(OR(A32="",B32="",B32="N/A"),"",IF(B32=1,((debt_interest*(1+debt_interest)^debt_period)/((1+debt_interest)^debt_period-1))*(-'Cash Flow Analysis'!G83),IF(G31=0,"",D31))))</f>
        <v>9947222.0747797322</v>
      </c>
      <c r="E32" s="61">
        <f t="shared" ca="1" si="0"/>
        <v>9947222.0747797322</v>
      </c>
      <c r="F32" s="61">
        <f t="shared" si="2"/>
        <v>0</v>
      </c>
      <c r="G32" s="62">
        <f t="shared" ca="1" si="1"/>
        <v>268843839.85891169</v>
      </c>
    </row>
    <row r="33" spans="1:7" s="53" customFormat="1" ht="15" customHeight="1" x14ac:dyDescent="0.25">
      <c r="A33" s="59">
        <f>'Cash Flow Analysis'!B84</f>
        <v>20</v>
      </c>
      <c r="B33" s="60">
        <f>IF(B32="","",IF('Cash Flow Analysis'!$B$31=0,"N/A",IF(A33=1,1,IF(A32=debt_period,"",B32+1))))</f>
        <v>20</v>
      </c>
      <c r="C33" s="61">
        <f ca="1">IF(OR(A33="",B33="",B33="N/A"),"",IF(B33=1,-'Cash Flow Analysis'!G84,IF(B33="N/A",0,G32)))</f>
        <v>268843839.85891169</v>
      </c>
      <c r="D33" s="61">
        <f ca="1">IF(debt_period=0,
E33+F33,
IF(OR(A33="",B33="",B33="N/A"),"",IF(B33=1,((debt_interest*(1+debt_interest)^debt_period)/((1+debt_interest)^debt_period-1))*(-'Cash Flow Analysis'!G84),IF(G32=0,"",D32))))</f>
        <v>9947222.0747797322</v>
      </c>
      <c r="E33" s="61">
        <f t="shared" ca="1" si="0"/>
        <v>9947222.0747797322</v>
      </c>
      <c r="F33" s="61">
        <f t="shared" si="2"/>
        <v>0</v>
      </c>
      <c r="G33" s="62">
        <f t="shared" ca="1" si="1"/>
        <v>268843839.85891169</v>
      </c>
    </row>
    <row r="34" spans="1:7" s="53" customFormat="1" ht="15" customHeight="1" x14ac:dyDescent="0.25">
      <c r="A34" s="59">
        <f>'Cash Flow Analysis'!B85</f>
        <v>21</v>
      </c>
      <c r="B34" s="60">
        <f>IF(B33="","",IF('Cash Flow Analysis'!$B$31=0,"N/A",IF(A34=1,1,IF(A33=debt_period,"",B33+1))))</f>
        <v>21</v>
      </c>
      <c r="C34" s="61">
        <f ca="1">IF(OR(A34="",B34="",B34="N/A"),"",IF(B34=1,-'Cash Flow Analysis'!G85,IF(B34="N/A",0,G33)))</f>
        <v>268843839.85891169</v>
      </c>
      <c r="D34" s="61">
        <f ca="1">IF(debt_period=0,
E34+F34,
IF(OR(A34="",B34="",B34="N/A"),"",IF(B34=1,((debt_interest*(1+debt_interest)^debt_period)/((1+debt_interest)^debt_period-1))*(-'Cash Flow Analysis'!G85),IF(G33=0,"",D33))))</f>
        <v>9947222.0747797322</v>
      </c>
      <c r="E34" s="61">
        <f t="shared" ca="1" si="0"/>
        <v>9947222.0747797322</v>
      </c>
      <c r="F34" s="61">
        <f t="shared" si="2"/>
        <v>0</v>
      </c>
      <c r="G34" s="62">
        <f t="shared" ca="1" si="1"/>
        <v>268843839.85891169</v>
      </c>
    </row>
    <row r="35" spans="1:7" s="53" customFormat="1" ht="15" customHeight="1" x14ac:dyDescent="0.25">
      <c r="A35" s="59">
        <f>'Cash Flow Analysis'!B86</f>
        <v>22</v>
      </c>
      <c r="B35" s="60">
        <f>IF(B34="","",IF('Cash Flow Analysis'!$B$31=0,"N/A",IF(A35=1,1,IF(A34=debt_period,"",B34+1))))</f>
        <v>22</v>
      </c>
      <c r="C35" s="61">
        <f ca="1">IF(OR(A35="",B35="",B35="N/A"),"",IF(B35=1,-'Cash Flow Analysis'!G86,IF(B35="N/A",0,G34)))</f>
        <v>268843839.85891169</v>
      </c>
      <c r="D35" s="61">
        <f ca="1">IF(debt_period=0,
E35+F35,
IF(OR(A35="",B35="",B35="N/A"),"",IF(B35=1,((debt_interest*(1+debt_interest)^debt_period)/((1+debt_interest)^debt_period-1))*(-'Cash Flow Analysis'!G86),IF(G34=0,"",D34))))</f>
        <v>9947222.0747797322</v>
      </c>
      <c r="E35" s="61">
        <f t="shared" ca="1" si="0"/>
        <v>9947222.0747797322</v>
      </c>
      <c r="F35" s="61">
        <f t="shared" si="2"/>
        <v>0</v>
      </c>
      <c r="G35" s="62">
        <f t="shared" ca="1" si="1"/>
        <v>268843839.85891169</v>
      </c>
    </row>
    <row r="36" spans="1:7" s="53" customFormat="1" ht="15" customHeight="1" x14ac:dyDescent="0.25">
      <c r="A36" s="59">
        <f>'Cash Flow Analysis'!B87</f>
        <v>23</v>
      </c>
      <c r="B36" s="60">
        <f>IF(B35="","",IF('Cash Flow Analysis'!$B$31=0,"N/A",IF(A36=1,1,IF(A35=debt_period,"",B35+1))))</f>
        <v>23</v>
      </c>
      <c r="C36" s="61">
        <f ca="1">IF(OR(A36="",B36="",B36="N/A"),"",IF(B36=1,-'Cash Flow Analysis'!G87,IF(B36="N/A",0,G35)))</f>
        <v>268843839.85891169</v>
      </c>
      <c r="D36" s="61">
        <f ca="1">IF(debt_period=0,
E36+F36,
IF(OR(A36="",B36="",B36="N/A"),"",IF(B36=1,((debt_interest*(1+debt_interest)^debt_period)/((1+debt_interest)^debt_period-1))*(-'Cash Flow Analysis'!G87),IF(G35=0,"",D35))))</f>
        <v>9947222.0747797322</v>
      </c>
      <c r="E36" s="61">
        <f t="shared" ca="1" si="0"/>
        <v>9947222.0747797322</v>
      </c>
      <c r="F36" s="61">
        <f t="shared" si="2"/>
        <v>0</v>
      </c>
      <c r="G36" s="62">
        <f t="shared" ca="1" si="1"/>
        <v>268843839.85891169</v>
      </c>
    </row>
    <row r="37" spans="1:7" s="53" customFormat="1" ht="15" customHeight="1" x14ac:dyDescent="0.25">
      <c r="A37" s="59">
        <f>'Cash Flow Analysis'!B88</f>
        <v>24</v>
      </c>
      <c r="B37" s="60">
        <f>IF(B36="","",IF('Cash Flow Analysis'!$B$31=0,"N/A",IF(A37=1,1,IF(A36=debt_period,"",B36+1))))</f>
        <v>24</v>
      </c>
      <c r="C37" s="61">
        <f ca="1">IF(OR(A37="",B37="",B37="N/A"),"",IF(B37=1,-'Cash Flow Analysis'!G88,IF(B37="N/A",0,G36)))</f>
        <v>268843839.85891169</v>
      </c>
      <c r="D37" s="61">
        <f ca="1">IF(debt_period=0,
E37+F37,
IF(OR(A37="",B37="",B37="N/A"),"",IF(B37=1,((debt_interest*(1+debt_interest)^debt_period)/((1+debt_interest)^debt_period-1))*(-'Cash Flow Analysis'!G88),IF(G36=0,"",D36))))</f>
        <v>9947222.0747797322</v>
      </c>
      <c r="E37" s="61">
        <f t="shared" ca="1" si="0"/>
        <v>9947222.0747797322</v>
      </c>
      <c r="F37" s="61">
        <f t="shared" si="2"/>
        <v>0</v>
      </c>
      <c r="G37" s="62">
        <f t="shared" ca="1" si="1"/>
        <v>268843839.85891169</v>
      </c>
    </row>
    <row r="38" spans="1:7" s="53" customFormat="1" ht="15" customHeight="1" x14ac:dyDescent="0.25">
      <c r="A38" s="59">
        <f>'Cash Flow Analysis'!B89</f>
        <v>25</v>
      </c>
      <c r="B38" s="60">
        <f>IF(B37="","",IF('Cash Flow Analysis'!$B$31=0,"N/A",IF(A38=1,1,IF(A37=debt_period,"",B37+1))))</f>
        <v>25</v>
      </c>
      <c r="C38" s="61">
        <f ca="1">IF(OR(A38="",B38="",B38="N/A"),"",IF(B38=1,-'Cash Flow Analysis'!G89,IF(B38="N/A",0,G37)))</f>
        <v>268843839.85891169</v>
      </c>
      <c r="D38" s="61">
        <f ca="1">IF(debt_period=0,
E38+F38,
IF(OR(A38="",B38="",B38="N/A"),"",IF(B38=1,((debt_interest*(1+debt_interest)^debt_period)/((1+debt_interest)^debt_period-1))*(-'Cash Flow Analysis'!G89),IF(G37=0,"",D37))))</f>
        <v>9947222.0747797322</v>
      </c>
      <c r="E38" s="61">
        <f t="shared" ca="1" si="0"/>
        <v>9947222.0747797322</v>
      </c>
      <c r="F38" s="61">
        <f t="shared" si="2"/>
        <v>0</v>
      </c>
      <c r="G38" s="62">
        <f t="shared" ca="1" si="1"/>
        <v>268843839.85891169</v>
      </c>
    </row>
    <row r="39" spans="1:7" s="53" customFormat="1" ht="15" customHeight="1" x14ac:dyDescent="0.25">
      <c r="A39" s="59">
        <f>'Cash Flow Analysis'!B90</f>
        <v>26</v>
      </c>
      <c r="B39" s="60">
        <f>IF(B38="","",IF('Cash Flow Analysis'!$B$31=0,"N/A",IF(A39=1,1,IF(A38=debt_period,"",B38+1))))</f>
        <v>26</v>
      </c>
      <c r="C39" s="61">
        <f ca="1">IF(OR(A39="",B39="",B39="N/A"),"",IF(B39=1,-'Cash Flow Analysis'!G90,IF(B39="N/A",0,G38)))</f>
        <v>268843839.85891169</v>
      </c>
      <c r="D39" s="61">
        <f ca="1">IF(debt_period=0,
E39+F39,
IF(OR(A39="",B39="",B39="N/A"),"",IF(B39=1,((debt_interest*(1+debt_interest)^debt_period)/((1+debt_interest)^debt_period-1))*(-'Cash Flow Analysis'!G90),IF(G38=0,"",D38))))</f>
        <v>9947222.0747797322</v>
      </c>
      <c r="E39" s="61">
        <f t="shared" ca="1" si="0"/>
        <v>9947222.0747797322</v>
      </c>
      <c r="F39" s="61">
        <f t="shared" si="2"/>
        <v>0</v>
      </c>
      <c r="G39" s="62">
        <f t="shared" ca="1" si="1"/>
        <v>268843839.85891169</v>
      </c>
    </row>
    <row r="40" spans="1:7" s="53" customFormat="1" ht="15" customHeight="1" x14ac:dyDescent="0.25">
      <c r="A40" s="59">
        <f>'Cash Flow Analysis'!B91</f>
        <v>27</v>
      </c>
      <c r="B40" s="60">
        <f>IF(B39="","",IF('Cash Flow Analysis'!$B$31=0,"N/A",IF(A40=1,1,IF(A39=debt_period,"",B39+1))))</f>
        <v>27</v>
      </c>
      <c r="C40" s="61">
        <f ca="1">IF(OR(A40="",B40="",B40="N/A"),"",IF(B40=1,-'Cash Flow Analysis'!G91,IF(B40="N/A",0,G39)))</f>
        <v>268843839.85891169</v>
      </c>
      <c r="D40" s="61">
        <f ca="1">IF(debt_period=0,
E40+F40,
IF(OR(A40="",B40="",B40="N/A"),"",IF(B40=1,((debt_interest*(1+debt_interest)^debt_period)/((1+debt_interest)^debt_period-1))*(-'Cash Flow Analysis'!G91),IF(G39=0,"",D39))))</f>
        <v>9947222.0747797322</v>
      </c>
      <c r="E40" s="61">
        <f t="shared" ca="1" si="0"/>
        <v>9947222.0747797322</v>
      </c>
      <c r="F40" s="61">
        <f t="shared" si="2"/>
        <v>0</v>
      </c>
      <c r="G40" s="62">
        <f t="shared" ca="1" si="1"/>
        <v>268843839.85891169</v>
      </c>
    </row>
    <row r="41" spans="1:7" s="53" customFormat="1" ht="15" customHeight="1" x14ac:dyDescent="0.25">
      <c r="A41" s="59">
        <f>'Cash Flow Analysis'!B92</f>
        <v>28</v>
      </c>
      <c r="B41" s="60">
        <f>IF(B40="","",IF('Cash Flow Analysis'!$B$31=0,"N/A",IF(A41=1,1,IF(A40=debt_period,"",B40+1))))</f>
        <v>28</v>
      </c>
      <c r="C41" s="61">
        <f ca="1">IF(OR(A41="",B41="",B41="N/A"),"",IF(B41=1,-'Cash Flow Analysis'!G92,IF(B41="N/A",0,G40)))</f>
        <v>268843839.85891169</v>
      </c>
      <c r="D41" s="61">
        <f ca="1">IF(debt_period=0,
E41+F41,
IF(OR(A41="",B41="",B41="N/A"),"",IF(B41=1,((debt_interest*(1+debt_interest)^debt_period)/((1+debt_interest)^debt_period-1))*(-'Cash Flow Analysis'!G92),IF(G40=0,"",D40))))</f>
        <v>9947222.0747797322</v>
      </c>
      <c r="E41" s="61">
        <f t="shared" ca="1" si="0"/>
        <v>9947222.0747797322</v>
      </c>
      <c r="F41" s="61">
        <f t="shared" si="2"/>
        <v>0</v>
      </c>
      <c r="G41" s="62">
        <f t="shared" ca="1" si="1"/>
        <v>268843839.85891169</v>
      </c>
    </row>
    <row r="42" spans="1:7" s="53" customFormat="1" ht="15" customHeight="1" x14ac:dyDescent="0.25">
      <c r="A42" s="59">
        <f>'Cash Flow Analysis'!B93</f>
        <v>29</v>
      </c>
      <c r="B42" s="60">
        <f>IF(B41="","",IF('Cash Flow Analysis'!$B$31=0,"N/A",IF(A42=1,1,IF(A41=debt_period,"",B41+1))))</f>
        <v>29</v>
      </c>
      <c r="C42" s="61">
        <f ca="1">IF(OR(A42="",B42="",B42="N/A"),"",IF(B42=1,-'Cash Flow Analysis'!G93,IF(B42="N/A",0,G41)))</f>
        <v>268843839.85891169</v>
      </c>
      <c r="D42" s="61">
        <f ca="1">IF(debt_period=0,
E42+F42,
IF(OR(A42="",B42="",B42="N/A"),"",IF(B42=1,((debt_interest*(1+debt_interest)^debt_period)/((1+debt_interest)^debt_period-1))*(-'Cash Flow Analysis'!G93),IF(G41=0,"",D41))))</f>
        <v>9947222.0747797322</v>
      </c>
      <c r="E42" s="61">
        <f t="shared" ca="1" si="0"/>
        <v>9947222.0747797322</v>
      </c>
      <c r="F42" s="61">
        <f t="shared" si="2"/>
        <v>0</v>
      </c>
      <c r="G42" s="62">
        <f t="shared" ca="1" si="1"/>
        <v>268843839.85891169</v>
      </c>
    </row>
    <row r="43" spans="1:7" s="53" customFormat="1" ht="15" customHeight="1" x14ac:dyDescent="0.25">
      <c r="A43" s="59">
        <f>'Cash Flow Analysis'!B94</f>
        <v>30</v>
      </c>
      <c r="B43" s="60">
        <f>IF(B42="","",IF('Cash Flow Analysis'!$B$31=0,"N/A",IF(A43=1,1,IF(A42=debt_period,"",B42+1))))</f>
        <v>30</v>
      </c>
      <c r="C43" s="61">
        <f ca="1">IF(OR(A43="",B43="",B43="N/A"),"",IF(B43=1,-'Cash Flow Analysis'!G94,IF(B43="N/A",0,G42)))</f>
        <v>268843839.85891169</v>
      </c>
      <c r="D43" s="61">
        <f ca="1">IF(debt_period=0,
E43+F43,
IF(OR(A43="",B43="",B43="N/A"),"",IF(B43=1,((debt_interest*(1+debt_interest)^debt_period)/((1+debt_interest)^debt_period-1))*(-'Cash Flow Analysis'!G94),IF(G42=0,"",D42))))</f>
        <v>9947222.0747797322</v>
      </c>
      <c r="E43" s="61">
        <f t="shared" ca="1" si="0"/>
        <v>9947222.0747797322</v>
      </c>
      <c r="F43" s="61">
        <f t="shared" si="2"/>
        <v>0</v>
      </c>
      <c r="G43" s="62">
        <f t="shared" ca="1" si="1"/>
        <v>268843839.85891169</v>
      </c>
    </row>
    <row r="44" spans="1:7" s="53" customFormat="1" ht="15" customHeight="1" x14ac:dyDescent="0.25">
      <c r="A44" s="59">
        <f>'Cash Flow Analysis'!B95</f>
        <v>31</v>
      </c>
      <c r="B44" s="60">
        <f>IF(B43="","",IF('Cash Flow Analysis'!$B$31=0,"N/A",IF(A44=1,1,IF(A43=debt_period,"",B43+1))))</f>
        <v>31</v>
      </c>
      <c r="C44" s="61">
        <f ca="1">IF(OR(A44="",B44="",B44="N/A"),"",IF(B44=1,-'Cash Flow Analysis'!G95,IF(B44="N/A",0,G43)))</f>
        <v>268843839.85891169</v>
      </c>
      <c r="D44" s="61">
        <f ca="1">IF(debt_period=0,
E44+F44,
IF(OR(A44="",B44="",B44="N/A"),"",IF(B44=1,((debt_interest*(1+debt_interest)^debt_period)/((1+debt_interest)^debt_period-1))*(-'Cash Flow Analysis'!G95),IF(G43=0,"",D43))))</f>
        <v>9947222.0747797322</v>
      </c>
      <c r="E44" s="61">
        <f t="shared" ca="1" si="0"/>
        <v>9947222.0747797322</v>
      </c>
      <c r="F44" s="61">
        <f t="shared" si="2"/>
        <v>0</v>
      </c>
      <c r="G44" s="62">
        <f t="shared" ca="1" si="1"/>
        <v>268843839.85891169</v>
      </c>
    </row>
    <row r="45" spans="1:7" s="53" customFormat="1" ht="15" customHeight="1" x14ac:dyDescent="0.25">
      <c r="A45" s="59">
        <f>'Cash Flow Analysis'!B96</f>
        <v>32</v>
      </c>
      <c r="B45" s="60">
        <f>IF(B44="","",IF('Cash Flow Analysis'!$B$31=0,"N/A",IF(A45=1,1,IF(A44=debt_period,"",B44+1))))</f>
        <v>32</v>
      </c>
      <c r="C45" s="61">
        <f ca="1">IF(OR(A45="",B45="",B45="N/A"),"",IF(B45=1,-'Cash Flow Analysis'!G96,IF(B45="N/A",0,G44)))</f>
        <v>268843839.85891169</v>
      </c>
      <c r="D45" s="61">
        <f ca="1">IF(debt_period=0,
E45+F45,
IF(OR(A45="",B45="",B45="N/A"),"",IF(B45=1,((debt_interest*(1+debt_interest)^debt_period)/((1+debt_interest)^debt_period-1))*(-'Cash Flow Analysis'!G96),IF(G44=0,"",D44))))</f>
        <v>9947222.0747797322</v>
      </c>
      <c r="E45" s="61">
        <f t="shared" ca="1" si="0"/>
        <v>9947222.0747797322</v>
      </c>
      <c r="F45" s="61">
        <f t="shared" si="2"/>
        <v>0</v>
      </c>
      <c r="G45" s="62">
        <f t="shared" ca="1" si="1"/>
        <v>268843839.85891169</v>
      </c>
    </row>
    <row r="46" spans="1:7" s="53" customFormat="1" ht="15" customHeight="1" x14ac:dyDescent="0.25">
      <c r="A46" s="59">
        <f>'Cash Flow Analysis'!B97</f>
        <v>33</v>
      </c>
      <c r="B46" s="60">
        <f>IF(B45="","",IF('Cash Flow Analysis'!$B$31=0,"N/A",IF(A46=1,1,IF(A45=debt_period,"",B45+1))))</f>
        <v>33</v>
      </c>
      <c r="C46" s="61">
        <f ca="1">IF(OR(A46="",B46="",B46="N/A"),"",IF(B46=1,-'Cash Flow Analysis'!G97,IF(B46="N/A",0,G45)))</f>
        <v>268843839.85891169</v>
      </c>
      <c r="D46" s="61">
        <f ca="1">IF(debt_period=0,
E46+F46,
IF(OR(A46="",B46="",B46="N/A"),"",IF(B46=1,((debt_interest*(1+debt_interest)^debt_period)/((1+debt_interest)^debt_period-1))*(-'Cash Flow Analysis'!G97),IF(G45=0,"",D45))))</f>
        <v>9947222.0747797322</v>
      </c>
      <c r="E46" s="61">
        <f t="shared" ca="1" si="0"/>
        <v>9947222.0747797322</v>
      </c>
      <c r="F46" s="61">
        <f t="shared" si="2"/>
        <v>0</v>
      </c>
      <c r="G46" s="62">
        <f t="shared" ca="1" si="1"/>
        <v>268843839.85891169</v>
      </c>
    </row>
    <row r="47" spans="1:7" s="53" customFormat="1" ht="15" customHeight="1" x14ac:dyDescent="0.25">
      <c r="A47" s="59">
        <f>'Cash Flow Analysis'!B98</f>
        <v>34</v>
      </c>
      <c r="B47" s="60">
        <f>IF(B46="","",IF('Cash Flow Analysis'!$B$31=0,"N/A",IF(A47=1,1,IF(A46=debt_period,"",B46+1))))</f>
        <v>34</v>
      </c>
      <c r="C47" s="61">
        <f ca="1">IF(OR(A47="",B47="",B47="N/A"),"",IF(B47=1,-'Cash Flow Analysis'!G98,IF(B47="N/A",0,G46)))</f>
        <v>268843839.85891169</v>
      </c>
      <c r="D47" s="61">
        <f ca="1">IF(debt_period=0,
E47+F47,
IF(OR(A47="",B47="",B47="N/A"),"",IF(B47=1,((debt_interest*(1+debt_interest)^debt_period)/((1+debt_interest)^debt_period-1))*(-'Cash Flow Analysis'!G98),IF(G46=0,"",D46))))</f>
        <v>9947222.0747797322</v>
      </c>
      <c r="E47" s="61">
        <f t="shared" ca="1" si="0"/>
        <v>9947222.0747797322</v>
      </c>
      <c r="F47" s="61">
        <f t="shared" si="2"/>
        <v>0</v>
      </c>
      <c r="G47" s="62">
        <f t="shared" ca="1" si="1"/>
        <v>268843839.85891169</v>
      </c>
    </row>
    <row r="48" spans="1:7" s="53" customFormat="1" ht="15" customHeight="1" x14ac:dyDescent="0.25">
      <c r="A48" s="59">
        <f>'Cash Flow Analysis'!B99</f>
        <v>35</v>
      </c>
      <c r="B48" s="60">
        <f>IF(B47="","",IF('Cash Flow Analysis'!$B$31=0,"N/A",IF(A48=1,1,IF(A47=debt_period,"",B47+1))))</f>
        <v>35</v>
      </c>
      <c r="C48" s="61">
        <f ca="1">IF(OR(A48="",B48="",B48="N/A"),"",IF(B48=1,-'Cash Flow Analysis'!G99,IF(B48="N/A",0,G47)))</f>
        <v>268843839.85891169</v>
      </c>
      <c r="D48" s="61">
        <f ca="1">IF(debt_period=0,
E48+F48,
IF(OR(A48="",B48="",B48="N/A"),"",IF(B48=1,((debt_interest*(1+debt_interest)^debt_period)/((1+debt_interest)^debt_period-1))*(-'Cash Flow Analysis'!G99),IF(G47=0,"",D47))))</f>
        <v>9947222.0747797322</v>
      </c>
      <c r="E48" s="61">
        <f t="shared" ca="1" si="0"/>
        <v>9947222.0747797322</v>
      </c>
      <c r="F48" s="61">
        <f t="shared" si="2"/>
        <v>0</v>
      </c>
      <c r="G48" s="62">
        <f t="shared" ca="1" si="1"/>
        <v>268843839.85891169</v>
      </c>
    </row>
    <row r="49" spans="1:7" s="53" customFormat="1" ht="15" customHeight="1" x14ac:dyDescent="0.25">
      <c r="A49" s="59">
        <f>'Cash Flow Analysis'!B100</f>
        <v>36</v>
      </c>
      <c r="B49" s="60">
        <f>IF(B48="","",IF('Cash Flow Analysis'!$B$31=0,"N/A",IF(A49=1,1,IF(A48=debt_period,"",B48+1))))</f>
        <v>36</v>
      </c>
      <c r="C49" s="61">
        <f ca="1">IF(OR(A49="",B49="",B49="N/A"),"",IF(B49=1,-'Cash Flow Analysis'!G100,IF(B49="N/A",0,G48)))</f>
        <v>268843839.85891169</v>
      </c>
      <c r="D49" s="61">
        <f ca="1">IF(debt_period=0,
E49+F49,
IF(OR(A49="",B49="",B49="N/A"),"",IF(B49=1,((debt_interest*(1+debt_interest)^debt_period)/((1+debt_interest)^debt_period-1))*(-'Cash Flow Analysis'!G100),IF(G48=0,"",D48))))</f>
        <v>9947222.0747797322</v>
      </c>
      <c r="E49" s="61">
        <f t="shared" ca="1" si="0"/>
        <v>9947222.0747797322</v>
      </c>
      <c r="F49" s="61">
        <f t="shared" si="2"/>
        <v>0</v>
      </c>
      <c r="G49" s="62">
        <f t="shared" ca="1" si="1"/>
        <v>268843839.85891169</v>
      </c>
    </row>
    <row r="50" spans="1:7" s="53" customFormat="1" ht="15" customHeight="1" x14ac:dyDescent="0.25">
      <c r="A50" s="59">
        <f>'Cash Flow Analysis'!B101</f>
        <v>37</v>
      </c>
      <c r="B50" s="60">
        <f>IF(B49="","",IF('Cash Flow Analysis'!$B$31=0,"N/A",IF(A50=1,1,IF(A49=debt_period,"",B49+1))))</f>
        <v>37</v>
      </c>
      <c r="C50" s="61">
        <f ca="1">IF(OR(A50="",B50="",B50="N/A"),"",IF(B50=1,-'Cash Flow Analysis'!G101,IF(B50="N/A",0,G49)))</f>
        <v>268843839.85891169</v>
      </c>
      <c r="D50" s="61">
        <f ca="1">IF(debt_period=0,
E50+F50,
IF(OR(A50="",B50="",B50="N/A"),"",IF(B50=1,((debt_interest*(1+debt_interest)^debt_period)/((1+debt_interest)^debt_period-1))*(-'Cash Flow Analysis'!G101),IF(G49=0,"",D49))))</f>
        <v>9947222.0747797322</v>
      </c>
      <c r="E50" s="61">
        <f t="shared" ca="1" si="0"/>
        <v>9947222.0747797322</v>
      </c>
      <c r="F50" s="61">
        <f t="shared" si="2"/>
        <v>0</v>
      </c>
      <c r="G50" s="62">
        <f t="shared" ca="1" si="1"/>
        <v>268843839.85891169</v>
      </c>
    </row>
    <row r="51" spans="1:7" s="53" customFormat="1" ht="15" customHeight="1" x14ac:dyDescent="0.25">
      <c r="A51" s="59">
        <f>'Cash Flow Analysis'!B102</f>
        <v>38</v>
      </c>
      <c r="B51" s="60">
        <f>IF(B50="","",IF('Cash Flow Analysis'!$B$31=0,"N/A",IF(A51=1,1,IF(A50=debt_period,"",B50+1))))</f>
        <v>38</v>
      </c>
      <c r="C51" s="61">
        <f ca="1">IF(OR(A51="",B51="",B51="N/A"),"",IF(B51=1,-'Cash Flow Analysis'!G102,IF(B51="N/A",0,G50)))</f>
        <v>268843839.85891169</v>
      </c>
      <c r="D51" s="61">
        <f ca="1">IF(debt_period=0,
E51+F51,
IF(OR(A51="",B51="",B51="N/A"),"",IF(B51=1,((debt_interest*(1+debt_interest)^debt_period)/((1+debt_interest)^debt_period-1))*(-'Cash Flow Analysis'!G102),IF(G50=0,"",D50))))</f>
        <v>9947222.0747797322</v>
      </c>
      <c r="E51" s="61">
        <f t="shared" ca="1" si="0"/>
        <v>9947222.0747797322</v>
      </c>
      <c r="F51" s="61">
        <f t="shared" si="2"/>
        <v>0</v>
      </c>
      <c r="G51" s="62">
        <f t="shared" ca="1" si="1"/>
        <v>268843839.85891169</v>
      </c>
    </row>
    <row r="52" spans="1:7" s="53" customFormat="1" ht="15" customHeight="1" x14ac:dyDescent="0.25">
      <c r="A52" s="59">
        <f>'Cash Flow Analysis'!B103</f>
        <v>39</v>
      </c>
      <c r="B52" s="60">
        <f>IF(B51="","",IF('Cash Flow Analysis'!$B$31=0,"N/A",IF(A52=1,1,IF(A51=debt_period,"",B51+1))))</f>
        <v>39</v>
      </c>
      <c r="C52" s="61">
        <f ca="1">IF(OR(A52="",B52="",B52="N/A"),"",IF(B52=1,-'Cash Flow Analysis'!G103,IF(B52="N/A",0,G51)))</f>
        <v>268843839.85891169</v>
      </c>
      <c r="D52" s="61">
        <f ca="1">IF(debt_period=0,
E52+F52,
IF(OR(A52="",B52="",B52="N/A"),"",IF(B52=1,((debt_interest*(1+debt_interest)^debt_period)/((1+debt_interest)^debt_period-1))*(-'Cash Flow Analysis'!G103),IF(G51=0,"",D51))))</f>
        <v>9947222.0747797322</v>
      </c>
      <c r="E52" s="61">
        <f t="shared" ca="1" si="0"/>
        <v>9947222.0747797322</v>
      </c>
      <c r="F52" s="61">
        <f t="shared" si="2"/>
        <v>0</v>
      </c>
      <c r="G52" s="62">
        <f t="shared" ca="1" si="1"/>
        <v>268843839.85891169</v>
      </c>
    </row>
    <row r="53" spans="1:7" s="53" customFormat="1" ht="15" customHeight="1" x14ac:dyDescent="0.25">
      <c r="A53" s="59">
        <f>'Cash Flow Analysis'!B104</f>
        <v>40</v>
      </c>
      <c r="B53" s="60">
        <f>IF(B52="","",IF('Cash Flow Analysis'!$B$31=0,"N/A",IF(A53=1,1,IF(A52=debt_period,"",B52+1))))</f>
        <v>40</v>
      </c>
      <c r="C53" s="61">
        <f ca="1">IF(OR(A53="",B53="",B53="N/A"),"",IF(B53=1,-'Cash Flow Analysis'!G104,IF(B53="N/A",0,G52)))</f>
        <v>268843839.85891169</v>
      </c>
      <c r="D53" s="61">
        <f ca="1">IF(debt_period=0,
E53+F53,
IF(OR(A53="",B53="",B53="N/A"),"",IF(B53=1,((debt_interest*(1+debt_interest)^debt_period)/((1+debt_interest)^debt_period-1))*(-'Cash Flow Analysis'!G104),IF(G52=0,"",D52))))</f>
        <v>9947222.0747797322</v>
      </c>
      <c r="E53" s="61">
        <f t="shared" ca="1" si="0"/>
        <v>9947222.0747797322</v>
      </c>
      <c r="F53" s="61">
        <f t="shared" si="2"/>
        <v>0</v>
      </c>
      <c r="G53" s="62">
        <f t="shared" ca="1" si="1"/>
        <v>268843839.85891169</v>
      </c>
    </row>
    <row r="54" spans="1:7" s="53" customFormat="1" ht="15" customHeight="1" x14ac:dyDescent="0.25">
      <c r="A54" s="59">
        <f>'Cash Flow Analysis'!B105</f>
        <v>41</v>
      </c>
      <c r="B54" s="60">
        <f>IF(B53="","",IF('Cash Flow Analysis'!$B$31=0,"N/A",IF(A54=1,1,IF(A53=debt_period,"",B53+1))))</f>
        <v>41</v>
      </c>
      <c r="C54" s="61">
        <f ca="1">IF(OR(A54="",B54="",B54="N/A"),"",IF(B54=1,-'Cash Flow Analysis'!G105,IF(B54="N/A",0,G53)))</f>
        <v>268843839.85891169</v>
      </c>
      <c r="D54" s="61">
        <f ca="1">IF(debt_period=0,
E54+F54,
IF(OR(A54="",B54="",B54="N/A"),"",IF(B54=1,((debt_interest*(1+debt_interest)^debt_period)/((1+debt_interest)^debt_period-1))*(-'Cash Flow Analysis'!G105),IF(G53=0,"",D53))))</f>
        <v>9947222.0747797322</v>
      </c>
      <c r="E54" s="61">
        <f t="shared" ca="1" si="0"/>
        <v>9947222.0747797322</v>
      </c>
      <c r="F54" s="61">
        <f t="shared" si="2"/>
        <v>0</v>
      </c>
      <c r="G54" s="62">
        <f t="shared" ca="1" si="1"/>
        <v>268843839.85891169</v>
      </c>
    </row>
    <row r="55" spans="1:7" s="53" customFormat="1" ht="15" customHeight="1" x14ac:dyDescent="0.25">
      <c r="A55" s="59">
        <f>'Cash Flow Analysis'!B106</f>
        <v>42</v>
      </c>
      <c r="B55" s="60">
        <f>IF(B54="","",IF('Cash Flow Analysis'!$B$31=0,"N/A",IF(A55=1,1,IF(A54=debt_period,"",B54+1))))</f>
        <v>42</v>
      </c>
      <c r="C55" s="61">
        <f ca="1">IF(OR(A55="",B55="",B55="N/A"),"",IF(B55=1,-'Cash Flow Analysis'!G106,IF(B55="N/A",0,G54)))</f>
        <v>268843839.85891169</v>
      </c>
      <c r="D55" s="61">
        <f ca="1">IF(debt_period=0,
E55+F55,
IF(OR(A55="",B55="",B55="N/A"),"",IF(B55=1,((debt_interest*(1+debt_interest)^debt_period)/((1+debt_interest)^debt_period-1))*(-'Cash Flow Analysis'!G106),IF(G54=0,"",D54))))</f>
        <v>9947222.0747797322</v>
      </c>
      <c r="E55" s="61">
        <f t="shared" ca="1" si="0"/>
        <v>9947222.0747797322</v>
      </c>
      <c r="F55" s="61">
        <f t="shared" si="2"/>
        <v>0</v>
      </c>
      <c r="G55" s="62">
        <f t="shared" ca="1" si="1"/>
        <v>268843839.85891169</v>
      </c>
    </row>
    <row r="56" spans="1:7" s="53" customFormat="1" ht="15" customHeight="1" x14ac:dyDescent="0.25">
      <c r="A56" s="59">
        <f>'Cash Flow Analysis'!B107</f>
        <v>43</v>
      </c>
      <c r="B56" s="60">
        <f>IF(B55="","",IF('Cash Flow Analysis'!$B$31=0,"N/A",IF(A56=1,1,IF(A55=debt_period,"",B55+1))))</f>
        <v>43</v>
      </c>
      <c r="C56" s="61">
        <f ca="1">IF(OR(A56="",B56="",B56="N/A"),"",IF(B56=1,-'Cash Flow Analysis'!G107,IF(B56="N/A",0,G55)))</f>
        <v>268843839.85891169</v>
      </c>
      <c r="D56" s="61">
        <f ca="1">IF(debt_period=0,
E56+F56,
IF(OR(A56="",B56="",B56="N/A"),"",IF(B56=1,((debt_interest*(1+debt_interest)^debt_period)/((1+debt_interest)^debt_period-1))*(-'Cash Flow Analysis'!G107),IF(G55=0,"",D55))))</f>
        <v>278791061.93369144</v>
      </c>
      <c r="E56" s="61">
        <f t="shared" ca="1" si="0"/>
        <v>9947222.0747797322</v>
      </c>
      <c r="F56" s="61">
        <f t="shared" ca="1" si="2"/>
        <v>268843839.85891169</v>
      </c>
      <c r="G56" s="62">
        <f t="shared" ca="1" si="1"/>
        <v>0</v>
      </c>
    </row>
    <row r="57" spans="1:7" s="53" customFormat="1" ht="15" customHeight="1" thickBot="1" x14ac:dyDescent="0.3">
      <c r="A57" s="63" t="str">
        <f>'Cash Flow Analysis'!B108</f>
        <v/>
      </c>
      <c r="B57" s="64">
        <f>IF(B56="","",IF('Cash Flow Analysis'!$B$31=0,"N/A",IF(A57=1,1,IF(A56=debt_period,"",B56+1))))</f>
        <v>44</v>
      </c>
      <c r="C57" s="65" t="str">
        <f>IF(OR(A57="",B57="",B57="N/A"),"",IF(B57=1,-'Cash Flow Analysis'!G108,IF(B57="N/A",0,G56)))</f>
        <v/>
      </c>
      <c r="D57" s="65" t="str">
        <f>IF(F57=0,E57,
IF(OR(A57="",B57="",B57="N/A"),"",IF(B57=1,((debt_interest*(1+debt_interest)^debt_period)/((1+debt_interest)^debt_period-1))*(-'Cash Flow Analysis'!G108),IF(G56=0,"",D56))))</f>
        <v/>
      </c>
      <c r="E57" s="65" t="str">
        <f t="shared" si="0"/>
        <v/>
      </c>
      <c r="F57" s="65">
        <f t="shared" si="2"/>
        <v>0</v>
      </c>
      <c r="G57" s="66" t="str">
        <f t="shared" si="1"/>
        <v/>
      </c>
    </row>
    <row r="58" spans="1:7" ht="13" thickTop="1" x14ac:dyDescent="0.25"/>
  </sheetData>
  <mergeCells count="1">
    <mergeCell ref="B12:G12"/>
  </mergeCells>
  <phoneticPr fontId="0" type="noConversion"/>
  <pageMargins left="0.75" right="0.75" top="1" bottom="1" header="0.5" footer="0.5"/>
  <pageSetup scale="71"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tabColor indexed="18"/>
    <pageSetUpPr fitToPage="1"/>
  </sheetPr>
  <dimension ref="A1:X167"/>
  <sheetViews>
    <sheetView workbookViewId="0"/>
  </sheetViews>
  <sheetFormatPr defaultColWidth="9.1796875" defaultRowHeight="12.5" x14ac:dyDescent="0.25"/>
  <cols>
    <col min="1" max="1" width="31.1796875" style="38" customWidth="1"/>
    <col min="2" max="2" width="23.54296875" style="38" customWidth="1"/>
    <col min="3" max="3" width="19" style="38" customWidth="1"/>
    <col min="4" max="4" width="11.26953125" style="38" customWidth="1"/>
    <col min="5" max="5" width="12.81640625" style="38" customWidth="1"/>
    <col min="6" max="6" width="10.81640625" style="38" customWidth="1"/>
    <col min="7" max="7" width="13.1796875" style="38" customWidth="1"/>
    <col min="8" max="8" width="13.81640625" style="38" customWidth="1"/>
    <col min="9" max="9" width="11" style="38" customWidth="1"/>
    <col min="10" max="25" width="17.1796875" style="38" customWidth="1"/>
    <col min="26" max="16384" width="9.1796875" style="38"/>
  </cols>
  <sheetData>
    <row r="1" spans="1:8" ht="30.75" customHeight="1" x14ac:dyDescent="0.4">
      <c r="A1" s="37" t="s">
        <v>47</v>
      </c>
    </row>
    <row r="2" spans="1:8" ht="15" customHeight="1" x14ac:dyDescent="0.25">
      <c r="G2" s="39"/>
    </row>
    <row r="3" spans="1:8" ht="15" customHeight="1" x14ac:dyDescent="0.35">
      <c r="A3" s="42" t="s">
        <v>33</v>
      </c>
      <c r="B3" s="43"/>
      <c r="C3" s="43"/>
      <c r="D3" s="43"/>
      <c r="E3" s="44"/>
      <c r="F3" s="44"/>
      <c r="G3" s="44"/>
      <c r="H3" s="39"/>
    </row>
    <row r="4" spans="1:8" ht="15" customHeight="1" x14ac:dyDescent="0.35">
      <c r="A4" s="42" t="s">
        <v>34</v>
      </c>
      <c r="B4" s="43"/>
      <c r="C4" s="43"/>
      <c r="D4" s="43"/>
      <c r="E4" s="44"/>
      <c r="F4" s="44"/>
      <c r="G4" s="44"/>
      <c r="H4" s="39"/>
    </row>
    <row r="5" spans="1:8" ht="15" customHeight="1" x14ac:dyDescent="0.25">
      <c r="G5" s="39"/>
    </row>
    <row r="6" spans="1:8" ht="15" customHeight="1" x14ac:dyDescent="0.25">
      <c r="A6" s="36"/>
      <c r="B6" s="41" t="s">
        <v>35</v>
      </c>
    </row>
    <row r="7" spans="1:8" ht="15" customHeight="1" x14ac:dyDescent="0.25">
      <c r="A7" s="46"/>
      <c r="B7" s="41" t="s">
        <v>36</v>
      </c>
    </row>
    <row r="8" spans="1:8" ht="15" customHeight="1" x14ac:dyDescent="0.25">
      <c r="A8" s="47"/>
      <c r="B8" s="41" t="s">
        <v>37</v>
      </c>
    </row>
    <row r="9" spans="1:8" ht="15" customHeight="1" x14ac:dyDescent="0.25">
      <c r="A9" s="48"/>
      <c r="B9" s="41" t="s">
        <v>38</v>
      </c>
    </row>
    <row r="10" spans="1:8" ht="15" customHeight="1" x14ac:dyDescent="0.25"/>
    <row r="11" spans="1:8" ht="15" customHeight="1" thickBot="1" x14ac:dyDescent="0.3"/>
    <row r="12" spans="1:8" ht="29.25" customHeight="1" thickTop="1" thickBot="1" x14ac:dyDescent="0.4">
      <c r="B12" s="67" t="s">
        <v>48</v>
      </c>
      <c r="C12" s="68"/>
      <c r="D12" s="68"/>
      <c r="E12" s="68"/>
      <c r="F12" s="68"/>
      <c r="G12" s="68"/>
      <c r="H12" s="69"/>
    </row>
    <row r="13" spans="1:8" ht="15" customHeight="1" thickTop="1" thickBot="1" x14ac:dyDescent="0.3">
      <c r="B13" s="70"/>
      <c r="C13" s="1711" t="s">
        <v>49</v>
      </c>
      <c r="D13" s="1711"/>
      <c r="E13" s="1711"/>
      <c r="F13" s="1711"/>
      <c r="G13" s="1711"/>
      <c r="H13" s="1712"/>
    </row>
    <row r="14" spans="1:8" ht="15" customHeight="1" thickTop="1" thickBot="1" x14ac:dyDescent="0.3">
      <c r="B14" s="73" t="s">
        <v>49</v>
      </c>
      <c r="C14" s="74">
        <v>3</v>
      </c>
      <c r="D14" s="71">
        <v>5</v>
      </c>
      <c r="E14" s="71">
        <v>7</v>
      </c>
      <c r="F14" s="71">
        <v>10</v>
      </c>
      <c r="G14" s="71">
        <v>15</v>
      </c>
      <c r="H14" s="72">
        <v>20</v>
      </c>
    </row>
    <row r="15" spans="1:8" ht="15" customHeight="1" thickTop="1" x14ac:dyDescent="0.25">
      <c r="B15" s="75">
        <v>1</v>
      </c>
      <c r="C15" s="76">
        <v>0.33329999999999999</v>
      </c>
      <c r="D15" s="77">
        <v>0.2</v>
      </c>
      <c r="E15" s="77">
        <v>0.1429</v>
      </c>
      <c r="F15" s="77">
        <v>0.1</v>
      </c>
      <c r="G15" s="77">
        <v>0.05</v>
      </c>
      <c r="H15" s="78">
        <v>3.7499999999999999E-2</v>
      </c>
    </row>
    <row r="16" spans="1:8" ht="15" customHeight="1" x14ac:dyDescent="0.25">
      <c r="B16" s="79">
        <v>2</v>
      </c>
      <c r="C16" s="80">
        <v>0.44450000000000001</v>
      </c>
      <c r="D16" s="81">
        <v>0.32</v>
      </c>
      <c r="E16" s="81">
        <v>0.24490000000000001</v>
      </c>
      <c r="F16" s="81">
        <v>0.18</v>
      </c>
      <c r="G16" s="81">
        <v>9.5000000000000001E-2</v>
      </c>
      <c r="H16" s="82">
        <v>7.2190000000000004E-2</v>
      </c>
    </row>
    <row r="17" spans="2:8" ht="15" customHeight="1" x14ac:dyDescent="0.25">
      <c r="B17" s="79">
        <v>3</v>
      </c>
      <c r="C17" s="80">
        <v>0.14810000000000001</v>
      </c>
      <c r="D17" s="81">
        <v>0.192</v>
      </c>
      <c r="E17" s="81">
        <v>0.1749</v>
      </c>
      <c r="F17" s="81">
        <v>0.14399999999999999</v>
      </c>
      <c r="G17" s="81">
        <v>8.5500000000000007E-2</v>
      </c>
      <c r="H17" s="82">
        <v>6.6769999999999996E-2</v>
      </c>
    </row>
    <row r="18" spans="2:8" ht="15" customHeight="1" x14ac:dyDescent="0.25">
      <c r="B18" s="79">
        <v>4</v>
      </c>
      <c r="C18" s="80">
        <v>7.4099999999999999E-2</v>
      </c>
      <c r="D18" s="81">
        <v>0.1152</v>
      </c>
      <c r="E18" s="81">
        <v>0.1249</v>
      </c>
      <c r="F18" s="81">
        <v>0.1152</v>
      </c>
      <c r="G18" s="81">
        <v>7.6999999999999999E-2</v>
      </c>
      <c r="H18" s="82">
        <v>6.1769999999999999E-2</v>
      </c>
    </row>
    <row r="19" spans="2:8" ht="15" customHeight="1" x14ac:dyDescent="0.25">
      <c r="B19" s="79">
        <v>5</v>
      </c>
      <c r="C19" s="80"/>
      <c r="D19" s="81">
        <v>0.1152</v>
      </c>
      <c r="E19" s="81">
        <v>8.9300000000000004E-2</v>
      </c>
      <c r="F19" s="81">
        <v>9.2200000000000004E-2</v>
      </c>
      <c r="G19" s="81">
        <v>6.93E-2</v>
      </c>
      <c r="H19" s="82">
        <v>5.713E-2</v>
      </c>
    </row>
    <row r="20" spans="2:8" ht="15" customHeight="1" x14ac:dyDescent="0.25">
      <c r="B20" s="79">
        <v>6</v>
      </c>
      <c r="C20" s="80"/>
      <c r="D20" s="81">
        <v>5.7599999999999998E-2</v>
      </c>
      <c r="E20" s="81">
        <v>8.9200000000000002E-2</v>
      </c>
      <c r="F20" s="81">
        <v>7.3700000000000002E-2</v>
      </c>
      <c r="G20" s="81">
        <v>6.2300000000000001E-2</v>
      </c>
      <c r="H20" s="82">
        <v>5.2850000000000001E-2</v>
      </c>
    </row>
    <row r="21" spans="2:8" ht="15" customHeight="1" x14ac:dyDescent="0.25">
      <c r="B21" s="79">
        <v>7</v>
      </c>
      <c r="C21" s="80"/>
      <c r="D21" s="81"/>
      <c r="E21" s="81">
        <v>8.9300000000000004E-2</v>
      </c>
      <c r="F21" s="81">
        <v>6.5500000000000003E-2</v>
      </c>
      <c r="G21" s="81">
        <v>5.8999999999999997E-2</v>
      </c>
      <c r="H21" s="82">
        <v>4.888E-2</v>
      </c>
    </row>
    <row r="22" spans="2:8" ht="15" customHeight="1" x14ac:dyDescent="0.25">
      <c r="B22" s="79">
        <v>8</v>
      </c>
      <c r="C22" s="80"/>
      <c r="D22" s="81"/>
      <c r="E22" s="81">
        <v>4.4600000000000001E-2</v>
      </c>
      <c r="F22" s="81">
        <v>6.5500000000000003E-2</v>
      </c>
      <c r="G22" s="81">
        <v>5.8999999999999997E-2</v>
      </c>
      <c r="H22" s="82">
        <v>4.5220000000000003E-2</v>
      </c>
    </row>
    <row r="23" spans="2:8" ht="15" customHeight="1" x14ac:dyDescent="0.25">
      <c r="B23" s="79">
        <v>9</v>
      </c>
      <c r="C23" s="80"/>
      <c r="D23" s="81"/>
      <c r="E23" s="81"/>
      <c r="F23" s="81">
        <v>6.5600000000000006E-2</v>
      </c>
      <c r="G23" s="81">
        <v>5.91E-2</v>
      </c>
      <c r="H23" s="82">
        <v>4.462E-2</v>
      </c>
    </row>
    <row r="24" spans="2:8" ht="15" customHeight="1" x14ac:dyDescent="0.25">
      <c r="B24" s="79">
        <v>10</v>
      </c>
      <c r="C24" s="80"/>
      <c r="D24" s="81"/>
      <c r="E24" s="81"/>
      <c r="F24" s="81">
        <v>6.5500000000000003E-2</v>
      </c>
      <c r="G24" s="81">
        <v>5.8999999999999997E-2</v>
      </c>
      <c r="H24" s="82">
        <v>4.4609999999999997E-2</v>
      </c>
    </row>
    <row r="25" spans="2:8" ht="15" customHeight="1" x14ac:dyDescent="0.25">
      <c r="B25" s="79">
        <v>11</v>
      </c>
      <c r="C25" s="80"/>
      <c r="D25" s="81"/>
      <c r="E25" s="81"/>
      <c r="F25" s="81">
        <v>3.2800000000000003E-2</v>
      </c>
      <c r="G25" s="81">
        <v>5.91E-2</v>
      </c>
      <c r="H25" s="82">
        <v>4.462E-2</v>
      </c>
    </row>
    <row r="26" spans="2:8" ht="15" customHeight="1" x14ac:dyDescent="0.25">
      <c r="B26" s="79">
        <v>12</v>
      </c>
      <c r="C26" s="80"/>
      <c r="D26" s="81"/>
      <c r="E26" s="81"/>
      <c r="F26" s="81"/>
      <c r="G26" s="81">
        <v>5.8999999999999997E-2</v>
      </c>
      <c r="H26" s="82">
        <v>4.4609999999999997E-2</v>
      </c>
    </row>
    <row r="27" spans="2:8" ht="15" customHeight="1" x14ac:dyDescent="0.25">
      <c r="B27" s="79">
        <v>13</v>
      </c>
      <c r="C27" s="80"/>
      <c r="D27" s="81"/>
      <c r="E27" s="81"/>
      <c r="F27" s="81"/>
      <c r="G27" s="81">
        <v>5.91E-2</v>
      </c>
      <c r="H27" s="82">
        <v>4.462E-2</v>
      </c>
    </row>
    <row r="28" spans="2:8" ht="15" customHeight="1" x14ac:dyDescent="0.25">
      <c r="B28" s="79">
        <v>14</v>
      </c>
      <c r="C28" s="80"/>
      <c r="D28" s="81"/>
      <c r="E28" s="81"/>
      <c r="F28" s="81"/>
      <c r="G28" s="81">
        <v>5.8999999999999997E-2</v>
      </c>
      <c r="H28" s="82">
        <v>4.4609999999999997E-2</v>
      </c>
    </row>
    <row r="29" spans="2:8" ht="15" customHeight="1" x14ac:dyDescent="0.25">
      <c r="B29" s="79">
        <v>15</v>
      </c>
      <c r="C29" s="80"/>
      <c r="D29" s="81"/>
      <c r="E29" s="81"/>
      <c r="F29" s="81"/>
      <c r="G29" s="81">
        <v>5.91E-2</v>
      </c>
      <c r="H29" s="82">
        <v>4.462E-2</v>
      </c>
    </row>
    <row r="30" spans="2:8" ht="15" customHeight="1" x14ac:dyDescent="0.25">
      <c r="B30" s="79">
        <v>16</v>
      </c>
      <c r="C30" s="80"/>
      <c r="D30" s="81"/>
      <c r="E30" s="81"/>
      <c r="F30" s="81"/>
      <c r="G30" s="81">
        <v>2.9499999999999998E-2</v>
      </c>
      <c r="H30" s="82">
        <v>4.4609999999999997E-2</v>
      </c>
    </row>
    <row r="31" spans="2:8" ht="15" customHeight="1" x14ac:dyDescent="0.25">
      <c r="B31" s="79">
        <v>17</v>
      </c>
      <c r="C31" s="80"/>
      <c r="D31" s="81"/>
      <c r="E31" s="81"/>
      <c r="F31" s="81"/>
      <c r="G31" s="81"/>
      <c r="H31" s="82">
        <v>4.462E-2</v>
      </c>
    </row>
    <row r="32" spans="2:8" ht="15" customHeight="1" x14ac:dyDescent="0.25">
      <c r="B32" s="79">
        <v>18</v>
      </c>
      <c r="C32" s="80"/>
      <c r="D32" s="81"/>
      <c r="E32" s="81"/>
      <c r="F32" s="81"/>
      <c r="G32" s="81"/>
      <c r="H32" s="82">
        <v>4.4609999999999997E-2</v>
      </c>
    </row>
    <row r="33" spans="1:24" ht="15" customHeight="1" x14ac:dyDescent="0.25">
      <c r="B33" s="79">
        <v>19</v>
      </c>
      <c r="C33" s="80"/>
      <c r="D33" s="81"/>
      <c r="E33" s="81"/>
      <c r="F33" s="81"/>
      <c r="G33" s="81"/>
      <c r="H33" s="82">
        <v>4.462E-2</v>
      </c>
    </row>
    <row r="34" spans="1:24" ht="15" customHeight="1" x14ac:dyDescent="0.25">
      <c r="B34" s="79">
        <v>20</v>
      </c>
      <c r="C34" s="80"/>
      <c r="D34" s="81"/>
      <c r="E34" s="81"/>
      <c r="F34" s="81"/>
      <c r="G34" s="81"/>
      <c r="H34" s="82">
        <v>4.4609999999999997E-2</v>
      </c>
    </row>
    <row r="35" spans="1:24" ht="15" customHeight="1" thickBot="1" x14ac:dyDescent="0.3">
      <c r="B35" s="83">
        <v>21</v>
      </c>
      <c r="C35" s="84"/>
      <c r="D35" s="85"/>
      <c r="E35" s="85"/>
      <c r="F35" s="85"/>
      <c r="G35" s="85"/>
      <c r="H35" s="86">
        <v>2.231E-2</v>
      </c>
    </row>
    <row r="36" spans="1:24" ht="15" customHeight="1" thickTop="1" x14ac:dyDescent="0.25">
      <c r="B36" s="87" t="s">
        <v>50</v>
      </c>
      <c r="C36" s="88">
        <f t="shared" ref="C36:H36" ca="1" si="0">NPV(real_irr,C15:C35)</f>
        <v>0.861730483722558</v>
      </c>
      <c r="D36" s="89">
        <f t="shared" ca="1" si="0"/>
        <v>0.81132579180653486</v>
      </c>
      <c r="E36" s="89">
        <f t="shared" ca="1" si="0"/>
        <v>0.76611247423420981</v>
      </c>
      <c r="F36" s="89">
        <f t="shared" ca="1" si="0"/>
        <v>0.70592323058796147</v>
      </c>
      <c r="G36" s="89">
        <f t="shared" ca="1" si="0"/>
        <v>0.57966874115937961</v>
      </c>
      <c r="H36" s="90">
        <f t="shared" ca="1" si="0"/>
        <v>0.50624177952518146</v>
      </c>
    </row>
    <row r="37" spans="1:24" ht="15" customHeight="1" thickBot="1" x14ac:dyDescent="0.3">
      <c r="B37" s="83" t="s">
        <v>51</v>
      </c>
      <c r="C37" s="91">
        <f t="shared" ref="C37:H37" ca="1" si="1">NPV(nominal_irr,C15:C35)</f>
        <v>0.83149291060393982</v>
      </c>
      <c r="D37" s="92">
        <f t="shared" ca="1" si="1"/>
        <v>0.77231075823151107</v>
      </c>
      <c r="E37" s="92">
        <f t="shared" ca="1" si="1"/>
        <v>0.72034649543580254</v>
      </c>
      <c r="F37" s="92">
        <f t="shared" ca="1" si="1"/>
        <v>0.65286934217044934</v>
      </c>
      <c r="G37" s="92">
        <f t="shared" ca="1" si="1"/>
        <v>0.51586770297474116</v>
      </c>
      <c r="H37" s="93">
        <f t="shared" ca="1" si="1"/>
        <v>0.44094384285873256</v>
      </c>
    </row>
    <row r="38" spans="1:24" ht="15" customHeight="1" thickTop="1" x14ac:dyDescent="0.25"/>
    <row r="39" spans="1:24" ht="15" customHeight="1" x14ac:dyDescent="0.25"/>
    <row r="40" spans="1:24" ht="15" customHeight="1" thickBot="1" x14ac:dyDescent="0.3"/>
    <row r="41" spans="1:24" ht="29.25" customHeight="1" thickTop="1" thickBot="1" x14ac:dyDescent="0.4">
      <c r="A41" s="94" t="s">
        <v>52</v>
      </c>
      <c r="B41" s="95"/>
    </row>
    <row r="42" spans="1:24" ht="15" customHeight="1" thickTop="1" x14ac:dyDescent="0.25">
      <c r="A42" s="96" t="s">
        <v>389</v>
      </c>
      <c r="B42" s="97" t="str">
        <f>depr_type</f>
        <v>MACRS</v>
      </c>
    </row>
    <row r="43" spans="1:24" ht="15" customHeight="1" x14ac:dyDescent="0.25">
      <c r="A43" s="98" t="s">
        <v>53</v>
      </c>
      <c r="B43" s="99">
        <f>depr_length</f>
        <v>20</v>
      </c>
    </row>
    <row r="44" spans="1:24" ht="15" customHeight="1" thickBot="1" x14ac:dyDescent="0.3">
      <c r="A44" s="100" t="s">
        <v>54</v>
      </c>
      <c r="B44" s="101">
        <f ca="1">-('Cash Flow Analysis'!G65+SUM('Cash Flow Analysis'!H65:H113))</f>
        <v>452316411.5698238</v>
      </c>
    </row>
    <row r="45" spans="1:24" ht="15" customHeight="1" thickTop="1" x14ac:dyDescent="0.25"/>
    <row r="46" spans="1:24" ht="15" customHeight="1" thickBot="1" x14ac:dyDescent="0.3"/>
    <row r="47" spans="1:24" ht="27" customHeight="1" thickTop="1" thickBot="1" x14ac:dyDescent="0.4">
      <c r="A47" s="102" t="s">
        <v>55</v>
      </c>
      <c r="B47" s="68"/>
      <c r="C47" s="68"/>
      <c r="D47" s="68"/>
      <c r="E47" s="68"/>
      <c r="F47" s="68"/>
      <c r="G47" s="68"/>
      <c r="H47" s="68"/>
      <c r="I47" s="68"/>
      <c r="J47" s="68"/>
      <c r="K47" s="68"/>
      <c r="L47" s="68"/>
      <c r="M47" s="68"/>
      <c r="N47" s="68"/>
      <c r="O47" s="68"/>
      <c r="P47" s="68"/>
      <c r="Q47" s="68"/>
      <c r="R47" s="68"/>
      <c r="S47" s="68"/>
      <c r="T47" s="68"/>
      <c r="U47" s="68"/>
      <c r="V47" s="68"/>
      <c r="W47" s="68"/>
      <c r="X47" s="69"/>
    </row>
    <row r="48" spans="1:24" ht="30.75" customHeight="1" thickTop="1" thickBot="1" x14ac:dyDescent="0.3">
      <c r="A48" s="103" t="s">
        <v>56</v>
      </c>
      <c r="B48" s="104" t="s">
        <v>57</v>
      </c>
      <c r="C48" s="105">
        <v>1</v>
      </c>
      <c r="D48" s="106">
        <v>2</v>
      </c>
      <c r="E48" s="106">
        <v>3</v>
      </c>
      <c r="F48" s="106">
        <v>4</v>
      </c>
      <c r="G48" s="106">
        <v>5</v>
      </c>
      <c r="H48" s="106">
        <v>6</v>
      </c>
      <c r="I48" s="106">
        <v>7</v>
      </c>
      <c r="J48" s="106">
        <v>8</v>
      </c>
      <c r="K48" s="106">
        <v>9</v>
      </c>
      <c r="L48" s="106">
        <v>10</v>
      </c>
      <c r="M48" s="106">
        <v>11</v>
      </c>
      <c r="N48" s="106">
        <v>12</v>
      </c>
      <c r="O48" s="106">
        <v>13</v>
      </c>
      <c r="P48" s="106">
        <v>14</v>
      </c>
      <c r="Q48" s="106">
        <v>15</v>
      </c>
      <c r="R48" s="106">
        <v>16</v>
      </c>
      <c r="S48" s="106">
        <v>17</v>
      </c>
      <c r="T48" s="106">
        <v>18</v>
      </c>
      <c r="U48" s="106">
        <v>19</v>
      </c>
      <c r="V48" s="106">
        <v>20</v>
      </c>
      <c r="W48" s="95">
        <v>21</v>
      </c>
      <c r="X48" s="73" t="s">
        <v>58</v>
      </c>
    </row>
    <row r="49" spans="1:24" ht="15" customHeight="1" thickTop="1" x14ac:dyDescent="0.25">
      <c r="A49" s="87">
        <f>IF('Cash Flow Analysis'!C65="","",'Cash Flow Analysis'!C65)</f>
        <v>-3</v>
      </c>
      <c r="B49" s="1089">
        <f>IF(A49="","",IF(A49&lt;1,0,IF(A49=1,$B$44-'Cash Flow Analysis'!I65,-'Cash Flow Analysis'!I65)))</f>
        <v>0</v>
      </c>
      <c r="C49" s="107">
        <f>IF(B49="","",IF(AND($B$42="Straight Line",$C$48&lt;=depr_length),B49/depr_length,IF(AND($B$42="MACRS",$C$48&lt;=depr_length+1),B49*INDEX(MACRS_Table,MATCH($C$48,recovery_year,0),MATCH($B$43,recovery_period,0)),"")))</f>
        <v>0</v>
      </c>
      <c r="D49" s="108">
        <f t="shared" ref="D49:W49" si="2">IF($B$49="","",IF(AND($B$42="Straight Line",D48&lt;=depr_length),$B$49/depr_length,IF(AND($B$42="MACRS",D48&lt;=depr_length+1),$B$49*INDEX(MACRS_Table,MATCH(D48,recovery_year,0),MATCH($B$43,recovery_period,0)),"")))</f>
        <v>0</v>
      </c>
      <c r="E49" s="108">
        <f t="shared" si="2"/>
        <v>0</v>
      </c>
      <c r="F49" s="108">
        <f t="shared" si="2"/>
        <v>0</v>
      </c>
      <c r="G49" s="108">
        <f t="shared" si="2"/>
        <v>0</v>
      </c>
      <c r="H49" s="108">
        <f t="shared" si="2"/>
        <v>0</v>
      </c>
      <c r="I49" s="108">
        <f t="shared" si="2"/>
        <v>0</v>
      </c>
      <c r="J49" s="108">
        <f t="shared" si="2"/>
        <v>0</v>
      </c>
      <c r="K49" s="108">
        <f t="shared" si="2"/>
        <v>0</v>
      </c>
      <c r="L49" s="108">
        <f t="shared" si="2"/>
        <v>0</v>
      </c>
      <c r="M49" s="108">
        <f t="shared" si="2"/>
        <v>0</v>
      </c>
      <c r="N49" s="108">
        <f t="shared" si="2"/>
        <v>0</v>
      </c>
      <c r="O49" s="108">
        <f t="shared" si="2"/>
        <v>0</v>
      </c>
      <c r="P49" s="108">
        <f t="shared" si="2"/>
        <v>0</v>
      </c>
      <c r="Q49" s="108">
        <f t="shared" si="2"/>
        <v>0</v>
      </c>
      <c r="R49" s="108">
        <f t="shared" si="2"/>
        <v>0</v>
      </c>
      <c r="S49" s="108">
        <f t="shared" si="2"/>
        <v>0</v>
      </c>
      <c r="T49" s="108">
        <f t="shared" si="2"/>
        <v>0</v>
      </c>
      <c r="U49" s="108">
        <f t="shared" si="2"/>
        <v>0</v>
      </c>
      <c r="V49" s="108">
        <f t="shared" si="2"/>
        <v>0</v>
      </c>
      <c r="W49" s="109">
        <f t="shared" si="2"/>
        <v>0</v>
      </c>
      <c r="X49" s="110">
        <f t="shared" ref="X49:X92" si="3">SUM(C49:W49)</f>
        <v>0</v>
      </c>
    </row>
    <row r="50" spans="1:24" ht="15" customHeight="1" x14ac:dyDescent="0.25">
      <c r="A50" s="79">
        <f>IF('Cash Flow Analysis'!C66="","",'Cash Flow Analysis'!C66)</f>
        <v>-2</v>
      </c>
      <c r="B50" s="1090">
        <f>IF(A50="","",IF(A50&lt;1,0,IF(A50=1,$B$44-'Cash Flow Analysis'!I66,-'Cash Flow Analysis'!I66)))</f>
        <v>0</v>
      </c>
      <c r="C50" s="112">
        <f t="shared" ref="C50:W50" si="4">IF($B$50="","",IF(AND($B$42="Straight Line",C48&lt;=depr_length),$B$50/depr_length,IF(AND($B$42="MACRS",C48&lt;=depr_length+1),$B$50*INDEX(MACRS_Table,MATCH(C48,recovery_year,0),MATCH($B$43,recovery_period,0)),"")))</f>
        <v>0</v>
      </c>
      <c r="D50" s="113">
        <f t="shared" si="4"/>
        <v>0</v>
      </c>
      <c r="E50" s="113">
        <f t="shared" si="4"/>
        <v>0</v>
      </c>
      <c r="F50" s="113">
        <f t="shared" si="4"/>
        <v>0</v>
      </c>
      <c r="G50" s="113">
        <f t="shared" si="4"/>
        <v>0</v>
      </c>
      <c r="H50" s="113">
        <f t="shared" si="4"/>
        <v>0</v>
      </c>
      <c r="I50" s="113">
        <f t="shared" si="4"/>
        <v>0</v>
      </c>
      <c r="J50" s="113">
        <f t="shared" si="4"/>
        <v>0</v>
      </c>
      <c r="K50" s="113">
        <f t="shared" si="4"/>
        <v>0</v>
      </c>
      <c r="L50" s="113">
        <f t="shared" si="4"/>
        <v>0</v>
      </c>
      <c r="M50" s="113">
        <f t="shared" si="4"/>
        <v>0</v>
      </c>
      <c r="N50" s="113">
        <f t="shared" si="4"/>
        <v>0</v>
      </c>
      <c r="O50" s="113">
        <f t="shared" si="4"/>
        <v>0</v>
      </c>
      <c r="P50" s="113">
        <f t="shared" si="4"/>
        <v>0</v>
      </c>
      <c r="Q50" s="113">
        <f t="shared" si="4"/>
        <v>0</v>
      </c>
      <c r="R50" s="113">
        <f t="shared" si="4"/>
        <v>0</v>
      </c>
      <c r="S50" s="113">
        <f t="shared" si="4"/>
        <v>0</v>
      </c>
      <c r="T50" s="113">
        <f t="shared" si="4"/>
        <v>0</v>
      </c>
      <c r="U50" s="113">
        <f t="shared" si="4"/>
        <v>0</v>
      </c>
      <c r="V50" s="113">
        <f t="shared" si="4"/>
        <v>0</v>
      </c>
      <c r="W50" s="114">
        <f t="shared" si="4"/>
        <v>0</v>
      </c>
      <c r="X50" s="111">
        <f t="shared" si="3"/>
        <v>0</v>
      </c>
    </row>
    <row r="51" spans="1:24" ht="15" customHeight="1" x14ac:dyDescent="0.25">
      <c r="A51" s="79">
        <f>IF('Cash Flow Analysis'!C67="","",'Cash Flow Analysis'!C67)</f>
        <v>-1</v>
      </c>
      <c r="B51" s="1090">
        <f>IF(A51="","",IF(A51&lt;1,0,IF(A51=1,$B$44-'Cash Flow Analysis'!I67,-'Cash Flow Analysis'!I67)))</f>
        <v>0</v>
      </c>
      <c r="C51" s="112">
        <f t="shared" ref="C51:W51" si="5">IF($B$51="","",IF(AND($B$42="Straight Line",C48&lt;=depr_length),$B$51/depr_length,IF(AND($B$42="MACRS",C48&lt;=depr_length+1),$B$51*INDEX(MACRS_Table,MATCH(C48,recovery_year,0),MATCH($B$43,recovery_period,0)),"")))</f>
        <v>0</v>
      </c>
      <c r="D51" s="113">
        <f t="shared" si="5"/>
        <v>0</v>
      </c>
      <c r="E51" s="113">
        <f t="shared" si="5"/>
        <v>0</v>
      </c>
      <c r="F51" s="113">
        <f t="shared" si="5"/>
        <v>0</v>
      </c>
      <c r="G51" s="113">
        <f t="shared" si="5"/>
        <v>0</v>
      </c>
      <c r="H51" s="113">
        <f t="shared" si="5"/>
        <v>0</v>
      </c>
      <c r="I51" s="113">
        <f t="shared" si="5"/>
        <v>0</v>
      </c>
      <c r="J51" s="113">
        <f t="shared" si="5"/>
        <v>0</v>
      </c>
      <c r="K51" s="113">
        <f t="shared" si="5"/>
        <v>0</v>
      </c>
      <c r="L51" s="113">
        <f t="shared" si="5"/>
        <v>0</v>
      </c>
      <c r="M51" s="113">
        <f t="shared" si="5"/>
        <v>0</v>
      </c>
      <c r="N51" s="113">
        <f t="shared" si="5"/>
        <v>0</v>
      </c>
      <c r="O51" s="113">
        <f t="shared" si="5"/>
        <v>0</v>
      </c>
      <c r="P51" s="113">
        <f t="shared" si="5"/>
        <v>0</v>
      </c>
      <c r="Q51" s="113">
        <f t="shared" si="5"/>
        <v>0</v>
      </c>
      <c r="R51" s="113">
        <f t="shared" si="5"/>
        <v>0</v>
      </c>
      <c r="S51" s="113">
        <f t="shared" si="5"/>
        <v>0</v>
      </c>
      <c r="T51" s="113">
        <f t="shared" si="5"/>
        <v>0</v>
      </c>
      <c r="U51" s="113">
        <f t="shared" si="5"/>
        <v>0</v>
      </c>
      <c r="V51" s="113">
        <f t="shared" si="5"/>
        <v>0</v>
      </c>
      <c r="W51" s="114">
        <f t="shared" si="5"/>
        <v>0</v>
      </c>
      <c r="X51" s="111">
        <f t="shared" si="3"/>
        <v>0</v>
      </c>
    </row>
    <row r="52" spans="1:24" ht="15" customHeight="1" x14ac:dyDescent="0.25">
      <c r="A52" s="79">
        <f>IF('Cash Flow Analysis'!C68="","",'Cash Flow Analysis'!C68)</f>
        <v>1</v>
      </c>
      <c r="B52" s="1090">
        <f ca="1">IF(A52="","",IF(A52&lt;1,0,IF(A52=1,$B$44-'Cash Flow Analysis'!I68,-'Cash Flow Analysis'!I68)))</f>
        <v>454686919.40823489</v>
      </c>
      <c r="C52" s="112">
        <f t="shared" ref="C52:W52" ca="1" si="6">IF($B$52="","",IF(AND($B$42="Straight Line",C48&lt;=depr_length),$B$52/depr_length,IF(AND($B$42="MACRS",C48&lt;=depr_length+1),$B$52*INDEX(MACRS_Table,MATCH(C48,recovery_year,0),MATCH($B$43,recovery_period,0)),"")))</f>
        <v>17050759.477808807</v>
      </c>
      <c r="D52" s="113">
        <f t="shared" ca="1" si="6"/>
        <v>32823848.712080479</v>
      </c>
      <c r="E52" s="113">
        <f t="shared" ca="1" si="6"/>
        <v>30359445.608887844</v>
      </c>
      <c r="F52" s="113">
        <f t="shared" ca="1" si="6"/>
        <v>28086011.011846669</v>
      </c>
      <c r="G52" s="113">
        <f t="shared" ca="1" si="6"/>
        <v>25976263.705792461</v>
      </c>
      <c r="H52" s="113">
        <f t="shared" ca="1" si="6"/>
        <v>24030203.690725215</v>
      </c>
      <c r="I52" s="113">
        <f t="shared" ca="1" si="6"/>
        <v>22225096.620674521</v>
      </c>
      <c r="J52" s="113">
        <f t="shared" ca="1" si="6"/>
        <v>20560942.495640382</v>
      </c>
      <c r="K52" s="113">
        <f t="shared" ca="1" si="6"/>
        <v>20288130.343995441</v>
      </c>
      <c r="L52" s="113">
        <f t="shared" ca="1" si="6"/>
        <v>20283583.474801358</v>
      </c>
      <c r="M52" s="113">
        <f t="shared" ca="1" si="6"/>
        <v>20288130.343995441</v>
      </c>
      <c r="N52" s="113">
        <f t="shared" ca="1" si="6"/>
        <v>20283583.474801358</v>
      </c>
      <c r="O52" s="113">
        <f t="shared" ca="1" si="6"/>
        <v>20288130.343995441</v>
      </c>
      <c r="P52" s="113">
        <f t="shared" ca="1" si="6"/>
        <v>20283583.474801358</v>
      </c>
      <c r="Q52" s="113">
        <f t="shared" ca="1" si="6"/>
        <v>20288130.343995441</v>
      </c>
      <c r="R52" s="113">
        <f t="shared" ca="1" si="6"/>
        <v>20283583.474801358</v>
      </c>
      <c r="S52" s="113">
        <f t="shared" ca="1" si="6"/>
        <v>20288130.343995441</v>
      </c>
      <c r="T52" s="113">
        <f t="shared" ca="1" si="6"/>
        <v>20283583.474801358</v>
      </c>
      <c r="U52" s="113">
        <f t="shared" ca="1" si="6"/>
        <v>20288130.343995441</v>
      </c>
      <c r="V52" s="113">
        <f t="shared" ca="1" si="6"/>
        <v>20283583.474801358</v>
      </c>
      <c r="W52" s="114">
        <f t="shared" ca="1" si="6"/>
        <v>10144065.17199772</v>
      </c>
      <c r="X52" s="111">
        <f t="shared" ca="1" si="3"/>
        <v>454686919.40823495</v>
      </c>
    </row>
    <row r="53" spans="1:24" ht="15" customHeight="1" x14ac:dyDescent="0.25">
      <c r="A53" s="79">
        <f>IF('Cash Flow Analysis'!C69="","",'Cash Flow Analysis'!C69)</f>
        <v>2</v>
      </c>
      <c r="B53" s="1090">
        <f ca="1">IF(A53="","",IF(A53&lt;1,0,IF(A53=1,$B$44-'Cash Flow Analysis'!I69,-'Cash Flow Analysis'!I69)))</f>
        <v>15559809.268803576</v>
      </c>
      <c r="C53" s="112">
        <f t="shared" ref="C53:W53" ca="1" si="7">IF($B$53="","",IF(AND($B$42="Straight Line",C48&lt;=depr_length),$B$53/depr_length,IF(AND($B$42="MACRS",C48&lt;=depr_length+1),$B$53*INDEX(MACRS_Table,MATCH(C48,recovery_year,0),MATCH($B$43,recovery_period,0)),"")))</f>
        <v>583492.84758013405</v>
      </c>
      <c r="D53" s="113">
        <f t="shared" ca="1" si="7"/>
        <v>1123262.6311149301</v>
      </c>
      <c r="E53" s="113">
        <f t="shared" ca="1" si="7"/>
        <v>1038928.4648780148</v>
      </c>
      <c r="F53" s="113">
        <f t="shared" ca="1" si="7"/>
        <v>961129.41853399691</v>
      </c>
      <c r="G53" s="113">
        <f t="shared" ca="1" si="7"/>
        <v>888931.9035267483</v>
      </c>
      <c r="H53" s="113">
        <f t="shared" ca="1" si="7"/>
        <v>822335.91985626903</v>
      </c>
      <c r="I53" s="113">
        <f t="shared" ca="1" si="7"/>
        <v>760563.4770591188</v>
      </c>
      <c r="J53" s="113">
        <f t="shared" ca="1" si="7"/>
        <v>703614.57513529772</v>
      </c>
      <c r="K53" s="113">
        <f t="shared" ca="1" si="7"/>
        <v>694278.68957401556</v>
      </c>
      <c r="L53" s="113">
        <f t="shared" ca="1" si="7"/>
        <v>694123.09148132743</v>
      </c>
      <c r="M53" s="113">
        <f t="shared" ca="1" si="7"/>
        <v>694278.68957401556</v>
      </c>
      <c r="N53" s="113">
        <f t="shared" ca="1" si="7"/>
        <v>694123.09148132743</v>
      </c>
      <c r="O53" s="113">
        <f t="shared" ca="1" si="7"/>
        <v>694278.68957401556</v>
      </c>
      <c r="P53" s="113">
        <f t="shared" ca="1" si="7"/>
        <v>694123.09148132743</v>
      </c>
      <c r="Q53" s="113">
        <f t="shared" ca="1" si="7"/>
        <v>694278.68957401556</v>
      </c>
      <c r="R53" s="113">
        <f t="shared" ca="1" si="7"/>
        <v>694123.09148132743</v>
      </c>
      <c r="S53" s="113">
        <f t="shared" ca="1" si="7"/>
        <v>694278.68957401556</v>
      </c>
      <c r="T53" s="113">
        <f t="shared" ca="1" si="7"/>
        <v>694123.09148132743</v>
      </c>
      <c r="U53" s="113">
        <f t="shared" ca="1" si="7"/>
        <v>694278.68957401556</v>
      </c>
      <c r="V53" s="113">
        <f t="shared" ca="1" si="7"/>
        <v>694123.09148132743</v>
      </c>
      <c r="W53" s="114">
        <f t="shared" ca="1" si="7"/>
        <v>347139.34478700778</v>
      </c>
      <c r="X53" s="111">
        <f t="shared" ca="1" si="3"/>
        <v>15559809.26880358</v>
      </c>
    </row>
    <row r="54" spans="1:24" ht="15" customHeight="1" x14ac:dyDescent="0.25">
      <c r="A54" s="79">
        <f>IF('Cash Flow Analysis'!C70="","",'Cash Flow Analysis'!C70)</f>
        <v>3</v>
      </c>
      <c r="B54" s="1090">
        <f ca="1">IF(A54="","",IF(A54&lt;1,0,IF(A54=1,$B$44-'Cash Flow Analysis'!I70,-'Cash Flow Analysis'!I70)))</f>
        <v>15855445.644910842</v>
      </c>
      <c r="C54" s="112">
        <f t="shared" ref="C54:W54" ca="1" si="8">IF($B$54="","",IF(AND($B$42="Straight Line",C48&lt;=depr_length),$B$54/depr_length,IF(AND($B$42="MACRS",C48&lt;=depr_length+1),$B$54*INDEX(MACRS_Table,MATCH(C48,recovery_year,0),MATCH($B$43,recovery_period,0)),"")))</f>
        <v>594579.21168415656</v>
      </c>
      <c r="D54" s="113">
        <f t="shared" ca="1" si="8"/>
        <v>1144604.6211061138</v>
      </c>
      <c r="E54" s="113">
        <f t="shared" ca="1" si="8"/>
        <v>1058668.1057106969</v>
      </c>
      <c r="F54" s="113">
        <f t="shared" ca="1" si="8"/>
        <v>979390.87748614268</v>
      </c>
      <c r="G54" s="113">
        <f t="shared" ca="1" si="8"/>
        <v>905821.60969375644</v>
      </c>
      <c r="H54" s="113">
        <f t="shared" ca="1" si="8"/>
        <v>837960.30233353807</v>
      </c>
      <c r="I54" s="113">
        <f t="shared" ca="1" si="8"/>
        <v>775014.18312324199</v>
      </c>
      <c r="J54" s="113">
        <f t="shared" ca="1" si="8"/>
        <v>716983.25206286833</v>
      </c>
      <c r="K54" s="113">
        <f t="shared" ca="1" si="8"/>
        <v>707469.98467592173</v>
      </c>
      <c r="L54" s="113">
        <f t="shared" ca="1" si="8"/>
        <v>707311.43021947262</v>
      </c>
      <c r="M54" s="113">
        <f t="shared" ca="1" si="8"/>
        <v>707469.98467592173</v>
      </c>
      <c r="N54" s="113">
        <f t="shared" ca="1" si="8"/>
        <v>707311.43021947262</v>
      </c>
      <c r="O54" s="113">
        <f t="shared" ca="1" si="8"/>
        <v>707469.98467592173</v>
      </c>
      <c r="P54" s="113">
        <f t="shared" ca="1" si="8"/>
        <v>707311.43021947262</v>
      </c>
      <c r="Q54" s="113">
        <f t="shared" ca="1" si="8"/>
        <v>707469.98467592173</v>
      </c>
      <c r="R54" s="113">
        <f t="shared" ca="1" si="8"/>
        <v>707311.43021947262</v>
      </c>
      <c r="S54" s="113">
        <f t="shared" ca="1" si="8"/>
        <v>707469.98467592173</v>
      </c>
      <c r="T54" s="113">
        <f t="shared" ca="1" si="8"/>
        <v>707311.43021947262</v>
      </c>
      <c r="U54" s="113">
        <f t="shared" ca="1" si="8"/>
        <v>707469.98467592173</v>
      </c>
      <c r="V54" s="113">
        <f t="shared" ca="1" si="8"/>
        <v>707311.43021947262</v>
      </c>
      <c r="W54" s="114">
        <f t="shared" ca="1" si="8"/>
        <v>353734.99233796087</v>
      </c>
      <c r="X54" s="111">
        <f t="shared" ca="1" si="3"/>
        <v>15855445.644910844</v>
      </c>
    </row>
    <row r="55" spans="1:24" ht="15" customHeight="1" x14ac:dyDescent="0.25">
      <c r="A55" s="79">
        <f>IF('Cash Flow Analysis'!C71="","",'Cash Flow Analysis'!C71)</f>
        <v>4</v>
      </c>
      <c r="B55" s="1090">
        <f ca="1">IF(A55="","",IF(A55&lt;1,0,IF(A55=1,$B$44-'Cash Flow Analysis'!I71,-'Cash Flow Analysis'!I71)))</f>
        <v>16156699.112164149</v>
      </c>
      <c r="C55" s="112">
        <f t="shared" ref="C55:W55" ca="1" si="9">IF($B$55="","",IF(AND($B$42="Straight Line",C48&lt;=depr_length),$B$55/depr_length,IF(AND($B$42="MACRS",C48&lt;=depr_length+1),$B$55*INDEX(MACRS_Table,MATCH(C48,recovery_year,0),MATCH($B$43,recovery_period,0)),"")))</f>
        <v>605876.21670615557</v>
      </c>
      <c r="D55" s="113">
        <f t="shared" ca="1" si="9"/>
        <v>1166352.1089071301</v>
      </c>
      <c r="E55" s="113">
        <f t="shared" ca="1" si="9"/>
        <v>1078782.7997192002</v>
      </c>
      <c r="F55" s="113">
        <f t="shared" ca="1" si="9"/>
        <v>997999.30415837944</v>
      </c>
      <c r="G55" s="113">
        <f t="shared" ca="1" si="9"/>
        <v>923032.22027793783</v>
      </c>
      <c r="H55" s="113">
        <f t="shared" ca="1" si="9"/>
        <v>853881.54807787528</v>
      </c>
      <c r="I55" s="113">
        <f t="shared" ca="1" si="9"/>
        <v>789739.45260258357</v>
      </c>
      <c r="J55" s="113">
        <f t="shared" ca="1" si="9"/>
        <v>730605.93385206291</v>
      </c>
      <c r="K55" s="113">
        <f t="shared" ca="1" si="9"/>
        <v>720911.91438476439</v>
      </c>
      <c r="L55" s="113">
        <f t="shared" ca="1" si="9"/>
        <v>720750.34739364265</v>
      </c>
      <c r="M55" s="113">
        <f t="shared" ca="1" si="9"/>
        <v>720911.91438476439</v>
      </c>
      <c r="N55" s="113">
        <f t="shared" ca="1" si="9"/>
        <v>720750.34739364265</v>
      </c>
      <c r="O55" s="113">
        <f t="shared" ca="1" si="9"/>
        <v>720911.91438476439</v>
      </c>
      <c r="P55" s="113">
        <f t="shared" ca="1" si="9"/>
        <v>720750.34739364265</v>
      </c>
      <c r="Q55" s="113">
        <f t="shared" ca="1" si="9"/>
        <v>720911.91438476439</v>
      </c>
      <c r="R55" s="113">
        <f t="shared" ca="1" si="9"/>
        <v>720750.34739364265</v>
      </c>
      <c r="S55" s="113">
        <f t="shared" ca="1" si="9"/>
        <v>720911.91438476439</v>
      </c>
      <c r="T55" s="113">
        <f t="shared" ca="1" si="9"/>
        <v>720750.34739364265</v>
      </c>
      <c r="U55" s="113">
        <f t="shared" ca="1" si="9"/>
        <v>720911.91438476439</v>
      </c>
      <c r="V55" s="113">
        <f t="shared" ca="1" si="9"/>
        <v>720750.34739364265</v>
      </c>
      <c r="W55" s="114">
        <f t="shared" ca="1" si="9"/>
        <v>360455.95719238219</v>
      </c>
      <c r="X55" s="111">
        <f t="shared" ca="1" si="3"/>
        <v>16156699.112164149</v>
      </c>
    </row>
    <row r="56" spans="1:24" ht="15" customHeight="1" x14ac:dyDescent="0.25">
      <c r="A56" s="79">
        <f>IF('Cash Flow Analysis'!C72="","",'Cash Flow Analysis'!C72)</f>
        <v>5</v>
      </c>
      <c r="B56" s="1090">
        <f ca="1">IF(A56="","",IF(A56&lt;1,0,IF(A56=1,$B$44-'Cash Flow Analysis'!I72,-'Cash Flow Analysis'!I72)))</f>
        <v>16463676.395295268</v>
      </c>
      <c r="C56" s="112">
        <f t="shared" ref="C56:W56" ca="1" si="10">IF($B$56="","",IF(AND($B$42="Straight Line",C48&lt;=depr_length),$B$56/depr_length,IF(AND($B$42="MACRS",C48&lt;=depr_length+1),$B$56*INDEX(MACRS_Table,MATCH(C48,recovery_year,0),MATCH($B$43,recovery_period,0)),"")))</f>
        <v>617387.86482357257</v>
      </c>
      <c r="D56" s="113">
        <f t="shared" ca="1" si="10"/>
        <v>1188512.7989763655</v>
      </c>
      <c r="E56" s="113">
        <f t="shared" ca="1" si="10"/>
        <v>1099279.672913865</v>
      </c>
      <c r="F56" s="113">
        <f t="shared" ca="1" si="10"/>
        <v>1016961.2909373887</v>
      </c>
      <c r="G56" s="113">
        <f t="shared" ca="1" si="10"/>
        <v>940569.83246321871</v>
      </c>
      <c r="H56" s="113">
        <f t="shared" ca="1" si="10"/>
        <v>870105.29749135498</v>
      </c>
      <c r="I56" s="113">
        <f t="shared" ca="1" si="10"/>
        <v>804744.50220203272</v>
      </c>
      <c r="J56" s="113">
        <f t="shared" ca="1" si="10"/>
        <v>744487.44659525203</v>
      </c>
      <c r="K56" s="113">
        <f t="shared" ca="1" si="10"/>
        <v>734609.2407580748</v>
      </c>
      <c r="L56" s="113">
        <f t="shared" ca="1" si="10"/>
        <v>734444.60399412189</v>
      </c>
      <c r="M56" s="113">
        <f t="shared" ca="1" si="10"/>
        <v>734609.2407580748</v>
      </c>
      <c r="N56" s="113">
        <f t="shared" ca="1" si="10"/>
        <v>734444.60399412189</v>
      </c>
      <c r="O56" s="113">
        <f t="shared" ca="1" si="10"/>
        <v>734609.2407580748</v>
      </c>
      <c r="P56" s="113">
        <f t="shared" ca="1" si="10"/>
        <v>734444.60399412189</v>
      </c>
      <c r="Q56" s="113">
        <f t="shared" ca="1" si="10"/>
        <v>734609.2407580748</v>
      </c>
      <c r="R56" s="113">
        <f t="shared" ca="1" si="10"/>
        <v>734444.60399412189</v>
      </c>
      <c r="S56" s="113">
        <f t="shared" ca="1" si="10"/>
        <v>734609.2407580748</v>
      </c>
      <c r="T56" s="113">
        <f t="shared" ca="1" si="10"/>
        <v>734444.60399412189</v>
      </c>
      <c r="U56" s="113">
        <f t="shared" ca="1" si="10"/>
        <v>734609.2407580748</v>
      </c>
      <c r="V56" s="113">
        <f t="shared" ca="1" si="10"/>
        <v>734444.60399412189</v>
      </c>
      <c r="W56" s="114">
        <f t="shared" ca="1" si="10"/>
        <v>367304.6203790374</v>
      </c>
      <c r="X56" s="111">
        <f t="shared" ca="1" si="3"/>
        <v>16463676.395295266</v>
      </c>
    </row>
    <row r="57" spans="1:24" ht="15" customHeight="1" x14ac:dyDescent="0.25">
      <c r="A57" s="79">
        <f>IF('Cash Flow Analysis'!C73="","",'Cash Flow Analysis'!C73)</f>
        <v>6</v>
      </c>
      <c r="B57" s="1090">
        <f ca="1">IF(A57="","",IF(A57&lt;1,0,IF(A57=1,$B$44-'Cash Flow Analysis'!I73,-'Cash Flow Analysis'!I73)))</f>
        <v>16776486.246805875</v>
      </c>
      <c r="C57" s="112">
        <f t="shared" ref="C57:W57" ca="1" si="11">IF($B$57="","",IF(AND($B$42="Straight Line",C48&lt;=depr_length),$B$57/depr_length,IF(AND($B$42="MACRS",C48&lt;=depr_length+1),$B$57*INDEX(MACRS_Table,MATCH(C48,recovery_year,0),MATCH($B$43,recovery_period,0)),"")))</f>
        <v>629118.23425522028</v>
      </c>
      <c r="D57" s="113">
        <f t="shared" ca="1" si="11"/>
        <v>1211094.5421569161</v>
      </c>
      <c r="E57" s="113">
        <f t="shared" ca="1" si="11"/>
        <v>1120165.9866992282</v>
      </c>
      <c r="F57" s="113">
        <f t="shared" ca="1" si="11"/>
        <v>1036283.5554651988</v>
      </c>
      <c r="G57" s="113">
        <f t="shared" ca="1" si="11"/>
        <v>958440.65928001958</v>
      </c>
      <c r="H57" s="113">
        <f t="shared" ca="1" si="11"/>
        <v>886637.29814369045</v>
      </c>
      <c r="I57" s="113">
        <f t="shared" ca="1" si="11"/>
        <v>820034.6477438712</v>
      </c>
      <c r="J57" s="113">
        <f t="shared" ca="1" si="11"/>
        <v>758632.70808056172</v>
      </c>
      <c r="K57" s="113">
        <f t="shared" ca="1" si="11"/>
        <v>748566.81633247808</v>
      </c>
      <c r="L57" s="113">
        <f t="shared" ca="1" si="11"/>
        <v>748399.05147000996</v>
      </c>
      <c r="M57" s="113">
        <f t="shared" ca="1" si="11"/>
        <v>748566.81633247808</v>
      </c>
      <c r="N57" s="113">
        <f t="shared" ca="1" si="11"/>
        <v>748399.05147000996</v>
      </c>
      <c r="O57" s="113">
        <f t="shared" ca="1" si="11"/>
        <v>748566.81633247808</v>
      </c>
      <c r="P57" s="113">
        <f t="shared" ca="1" si="11"/>
        <v>748399.05147000996</v>
      </c>
      <c r="Q57" s="113">
        <f t="shared" ca="1" si="11"/>
        <v>748566.81633247808</v>
      </c>
      <c r="R57" s="113">
        <f t="shared" ca="1" si="11"/>
        <v>748399.05147000996</v>
      </c>
      <c r="S57" s="113">
        <f t="shared" ca="1" si="11"/>
        <v>748566.81633247808</v>
      </c>
      <c r="T57" s="113">
        <f t="shared" ca="1" si="11"/>
        <v>748399.05147000996</v>
      </c>
      <c r="U57" s="113">
        <f t="shared" ca="1" si="11"/>
        <v>748566.81633247808</v>
      </c>
      <c r="V57" s="113">
        <f t="shared" ca="1" si="11"/>
        <v>748399.05147000996</v>
      </c>
      <c r="W57" s="114">
        <f t="shared" ca="1" si="11"/>
        <v>374283.40816623904</v>
      </c>
      <c r="X57" s="111">
        <f t="shared" ca="1" si="3"/>
        <v>16776486.246805873</v>
      </c>
    </row>
    <row r="58" spans="1:24" ht="15" customHeight="1" x14ac:dyDescent="0.25">
      <c r="A58" s="79">
        <f>IF('Cash Flow Analysis'!C74="","",'Cash Flow Analysis'!C74)</f>
        <v>7</v>
      </c>
      <c r="B58" s="1090">
        <f ca="1">IF(A58="","",IF(A58&lt;1,0,IF(A58=1,$B$44-'Cash Flow Analysis'!I74,-'Cash Flow Analysis'!I74)))</f>
        <v>17095239.485495187</v>
      </c>
      <c r="C58" s="112">
        <f t="shared" ref="C58:W58" ca="1" si="12">IF($B$58="","",IF(AND($B$42="Straight Line",C48&lt;=depr_length),$B$58/depr_length,IF(AND($B$42="MACRS",C48&lt;=depr_length+1),$B$58*INDEX(MACRS_Table,MATCH(C48,recovery_year,0),MATCH($B$43,recovery_period,0)),"")))</f>
        <v>641071.4807060695</v>
      </c>
      <c r="D58" s="113">
        <f t="shared" ca="1" si="12"/>
        <v>1234105.3384578975</v>
      </c>
      <c r="E58" s="113">
        <f t="shared" ca="1" si="12"/>
        <v>1141449.1404465137</v>
      </c>
      <c r="F58" s="113">
        <f t="shared" ca="1" si="12"/>
        <v>1055972.9430190376</v>
      </c>
      <c r="G58" s="113">
        <f t="shared" ca="1" si="12"/>
        <v>976651.03180634009</v>
      </c>
      <c r="H58" s="113">
        <f t="shared" ca="1" si="12"/>
        <v>903483.40680842067</v>
      </c>
      <c r="I58" s="113">
        <f t="shared" ca="1" si="12"/>
        <v>835615.30605100479</v>
      </c>
      <c r="J58" s="113">
        <f t="shared" ca="1" si="12"/>
        <v>773046.72953409248</v>
      </c>
      <c r="K58" s="113">
        <f t="shared" ca="1" si="12"/>
        <v>762789.5858427952</v>
      </c>
      <c r="L58" s="113">
        <f t="shared" ca="1" si="12"/>
        <v>762618.63344794023</v>
      </c>
      <c r="M58" s="113">
        <f t="shared" ca="1" si="12"/>
        <v>762789.5858427952</v>
      </c>
      <c r="N58" s="113">
        <f t="shared" ca="1" si="12"/>
        <v>762618.63344794023</v>
      </c>
      <c r="O58" s="113">
        <f t="shared" ca="1" si="12"/>
        <v>762789.5858427952</v>
      </c>
      <c r="P58" s="113">
        <f t="shared" ca="1" si="12"/>
        <v>762618.63344794023</v>
      </c>
      <c r="Q58" s="113">
        <f t="shared" ca="1" si="12"/>
        <v>762789.5858427952</v>
      </c>
      <c r="R58" s="113">
        <f t="shared" ca="1" si="12"/>
        <v>762618.63344794023</v>
      </c>
      <c r="S58" s="113">
        <f t="shared" ca="1" si="12"/>
        <v>762789.5858427952</v>
      </c>
      <c r="T58" s="113">
        <f t="shared" ca="1" si="12"/>
        <v>762618.63344794023</v>
      </c>
      <c r="U58" s="113">
        <f t="shared" ca="1" si="12"/>
        <v>762789.5858427952</v>
      </c>
      <c r="V58" s="113">
        <f t="shared" ca="1" si="12"/>
        <v>762618.63344794023</v>
      </c>
      <c r="W58" s="114">
        <f t="shared" ca="1" si="12"/>
        <v>381394.7929213976</v>
      </c>
      <c r="X58" s="111">
        <f t="shared" ca="1" si="3"/>
        <v>17095239.485495184</v>
      </c>
    </row>
    <row r="59" spans="1:24" ht="15" customHeight="1" x14ac:dyDescent="0.25">
      <c r="A59" s="79">
        <f>IF('Cash Flow Analysis'!C75="","",'Cash Flow Analysis'!C75)</f>
        <v>8</v>
      </c>
      <c r="B59" s="1090">
        <f ca="1">IF(A59="","",IF(A59&lt;1,0,IF(A59=1,$B$44-'Cash Flow Analysis'!I75,-'Cash Flow Analysis'!I75)))</f>
        <v>17420049.035719596</v>
      </c>
      <c r="C59" s="112">
        <f t="shared" ref="C59:W59" ca="1" si="13">IF($B$59="","",IF(AND($B$42="Straight Line",C48&lt;=depr_length),$B$59/depr_length,IF(AND($B$42="MACRS",C48&lt;=depr_length+1),$B$59*INDEX(MACRS_Table,MATCH(C48,recovery_year,0),MATCH($B$43,recovery_period,0)),"")))</f>
        <v>653251.83883948484</v>
      </c>
      <c r="D59" s="113">
        <f t="shared" ca="1" si="13"/>
        <v>1257553.3398885976</v>
      </c>
      <c r="E59" s="113">
        <f t="shared" ca="1" si="13"/>
        <v>1163136.6741149973</v>
      </c>
      <c r="F59" s="113">
        <f t="shared" ca="1" si="13"/>
        <v>1076036.4289363995</v>
      </c>
      <c r="G59" s="113">
        <f t="shared" ca="1" si="13"/>
        <v>995207.40141066047</v>
      </c>
      <c r="H59" s="113">
        <f t="shared" ca="1" si="13"/>
        <v>920649.59153778071</v>
      </c>
      <c r="I59" s="113">
        <f t="shared" ca="1" si="13"/>
        <v>851491.99686597381</v>
      </c>
      <c r="J59" s="113">
        <f t="shared" ca="1" si="13"/>
        <v>787734.61739524023</v>
      </c>
      <c r="K59" s="113">
        <f t="shared" ca="1" si="13"/>
        <v>777282.5879738084</v>
      </c>
      <c r="L59" s="113">
        <f t="shared" ca="1" si="13"/>
        <v>777108.38748345117</v>
      </c>
      <c r="M59" s="113">
        <f t="shared" ca="1" si="13"/>
        <v>777282.5879738084</v>
      </c>
      <c r="N59" s="113">
        <f t="shared" ca="1" si="13"/>
        <v>777108.38748345117</v>
      </c>
      <c r="O59" s="113">
        <f t="shared" ca="1" si="13"/>
        <v>777282.5879738084</v>
      </c>
      <c r="P59" s="113">
        <f t="shared" ca="1" si="13"/>
        <v>777108.38748345117</v>
      </c>
      <c r="Q59" s="113">
        <f t="shared" ca="1" si="13"/>
        <v>777282.5879738084</v>
      </c>
      <c r="R59" s="113">
        <f t="shared" ca="1" si="13"/>
        <v>777108.38748345117</v>
      </c>
      <c r="S59" s="113">
        <f t="shared" ca="1" si="13"/>
        <v>777282.5879738084</v>
      </c>
      <c r="T59" s="113">
        <f t="shared" ca="1" si="13"/>
        <v>777108.38748345117</v>
      </c>
      <c r="U59" s="113">
        <f t="shared" ca="1" si="13"/>
        <v>777282.5879738084</v>
      </c>
      <c r="V59" s="113">
        <f t="shared" ca="1" si="13"/>
        <v>777108.38748345117</v>
      </c>
      <c r="W59" s="114">
        <f t="shared" ca="1" si="13"/>
        <v>388641.2939869042</v>
      </c>
      <c r="X59" s="111">
        <f t="shared" ca="1" si="3"/>
        <v>17420049.0357196</v>
      </c>
    </row>
    <row r="60" spans="1:24" ht="15" customHeight="1" x14ac:dyDescent="0.25">
      <c r="A60" s="79">
        <f>IF('Cash Flow Analysis'!C76="","",'Cash Flow Analysis'!C76)</f>
        <v>9</v>
      </c>
      <c r="B60" s="1090">
        <f ca="1">IF(A60="","",IF(A60&lt;1,0,IF(A60=1,$B$44-'Cash Flow Analysis'!I76,-'Cash Flow Analysis'!I76)))</f>
        <v>17751029.967398267</v>
      </c>
      <c r="C60" s="112">
        <f t="shared" ref="C60:W60" ca="1" si="14">IF($B$60="","",IF(AND($B$42="Straight Line",C48&lt;=depr_length),$B$60/depr_length,IF(AND($B$42="MACRS",C48&lt;=depr_length+1),$B$60*INDEX(MACRS_Table,MATCH(C48,recovery_year,0),MATCH($B$43,recovery_period,0)),"")))</f>
        <v>665663.62377743504</v>
      </c>
      <c r="D60" s="113">
        <f t="shared" ca="1" si="14"/>
        <v>1281446.853346481</v>
      </c>
      <c r="E60" s="113">
        <f t="shared" ca="1" si="14"/>
        <v>1185236.2709231821</v>
      </c>
      <c r="F60" s="113">
        <f t="shared" ca="1" si="14"/>
        <v>1096481.1210861909</v>
      </c>
      <c r="G60" s="113">
        <f t="shared" ca="1" si="14"/>
        <v>1014116.342037463</v>
      </c>
      <c r="H60" s="113">
        <f t="shared" ca="1" si="14"/>
        <v>938141.93377699843</v>
      </c>
      <c r="I60" s="113">
        <f t="shared" ca="1" si="14"/>
        <v>867670.34480642725</v>
      </c>
      <c r="J60" s="113">
        <f t="shared" ca="1" si="14"/>
        <v>802701.57512574969</v>
      </c>
      <c r="K60" s="113">
        <f t="shared" ca="1" si="14"/>
        <v>792050.95714531071</v>
      </c>
      <c r="L60" s="113">
        <f t="shared" ca="1" si="14"/>
        <v>791873.4468456367</v>
      </c>
      <c r="M60" s="113">
        <f t="shared" ca="1" si="14"/>
        <v>792050.95714531071</v>
      </c>
      <c r="N60" s="113">
        <f t="shared" ca="1" si="14"/>
        <v>791873.4468456367</v>
      </c>
      <c r="O60" s="113">
        <f t="shared" ca="1" si="14"/>
        <v>792050.95714531071</v>
      </c>
      <c r="P60" s="113">
        <f t="shared" ca="1" si="14"/>
        <v>791873.4468456367</v>
      </c>
      <c r="Q60" s="113">
        <f t="shared" ca="1" si="14"/>
        <v>792050.95714531071</v>
      </c>
      <c r="R60" s="113">
        <f t="shared" ca="1" si="14"/>
        <v>791873.4468456367</v>
      </c>
      <c r="S60" s="113">
        <f t="shared" ca="1" si="14"/>
        <v>792050.95714531071</v>
      </c>
      <c r="T60" s="113">
        <f t="shared" ca="1" si="14"/>
        <v>791873.4468456367</v>
      </c>
      <c r="U60" s="113">
        <f t="shared" ca="1" si="14"/>
        <v>792050.95714531071</v>
      </c>
      <c r="V60" s="113">
        <f t="shared" ca="1" si="14"/>
        <v>791873.4468456367</v>
      </c>
      <c r="W60" s="114">
        <f t="shared" ca="1" si="14"/>
        <v>396025.47857265535</v>
      </c>
      <c r="X60" s="111">
        <f t="shared" ca="1" si="3"/>
        <v>17751029.967398264</v>
      </c>
    </row>
    <row r="61" spans="1:24" ht="15" customHeight="1" x14ac:dyDescent="0.25">
      <c r="A61" s="79">
        <f>IF('Cash Flow Analysis'!C77="","",'Cash Flow Analysis'!C77)</f>
        <v>10</v>
      </c>
      <c r="B61" s="1090">
        <f ca="1">IF(A61="","",IF(A61&lt;1,0,IF(A61=1,$B$44-'Cash Flow Analysis'!I77,-'Cash Flow Analysis'!I77)))</f>
        <v>18088299.536778834</v>
      </c>
      <c r="C61" s="112">
        <f t="shared" ref="C61:W61" ca="1" si="15">IF($B$61="","",IF(AND($B$42="Straight Line",C48&lt;=depr_length),$B$61/depr_length,IF(AND($B$42="MACRS",C48&lt;=depr_length+1),$B$61*INDEX(MACRS_Table,MATCH(C48,recovery_year,0),MATCH($B$43,recovery_period,0)),"")))</f>
        <v>678311.23262920626</v>
      </c>
      <c r="D61" s="113">
        <f t="shared" ca="1" si="15"/>
        <v>1305794.343560064</v>
      </c>
      <c r="E61" s="113">
        <f t="shared" ca="1" si="15"/>
        <v>1207755.7600707226</v>
      </c>
      <c r="F61" s="113">
        <f t="shared" ca="1" si="15"/>
        <v>1117314.2623868284</v>
      </c>
      <c r="G61" s="113">
        <f t="shared" ca="1" si="15"/>
        <v>1033384.5525361748</v>
      </c>
      <c r="H61" s="113">
        <f t="shared" ca="1" si="15"/>
        <v>955966.63051876135</v>
      </c>
      <c r="I61" s="113">
        <f t="shared" ca="1" si="15"/>
        <v>884156.08135774941</v>
      </c>
      <c r="J61" s="113">
        <f t="shared" ca="1" si="15"/>
        <v>817952.90505313897</v>
      </c>
      <c r="K61" s="113">
        <f t="shared" ca="1" si="15"/>
        <v>807099.9253310716</v>
      </c>
      <c r="L61" s="113">
        <f t="shared" ca="1" si="15"/>
        <v>806919.04233570374</v>
      </c>
      <c r="M61" s="113">
        <f t="shared" ca="1" si="15"/>
        <v>807099.9253310716</v>
      </c>
      <c r="N61" s="113">
        <f t="shared" ca="1" si="15"/>
        <v>806919.04233570374</v>
      </c>
      <c r="O61" s="113">
        <f t="shared" ca="1" si="15"/>
        <v>807099.9253310716</v>
      </c>
      <c r="P61" s="113">
        <f t="shared" ca="1" si="15"/>
        <v>806919.04233570374</v>
      </c>
      <c r="Q61" s="113">
        <f t="shared" ca="1" si="15"/>
        <v>807099.9253310716</v>
      </c>
      <c r="R61" s="113">
        <f t="shared" ca="1" si="15"/>
        <v>806919.04233570374</v>
      </c>
      <c r="S61" s="113">
        <f t="shared" ca="1" si="15"/>
        <v>807099.9253310716</v>
      </c>
      <c r="T61" s="113">
        <f t="shared" ca="1" si="15"/>
        <v>806919.04233570374</v>
      </c>
      <c r="U61" s="113">
        <f t="shared" ca="1" si="15"/>
        <v>807099.9253310716</v>
      </c>
      <c r="V61" s="113">
        <f t="shared" ca="1" si="15"/>
        <v>806919.04233570374</v>
      </c>
      <c r="W61" s="114">
        <f t="shared" ca="1" si="15"/>
        <v>403549.9626655358</v>
      </c>
      <c r="X61" s="111">
        <f t="shared" ca="1" si="3"/>
        <v>18088299.536778834</v>
      </c>
    </row>
    <row r="62" spans="1:24" ht="15" customHeight="1" x14ac:dyDescent="0.25">
      <c r="A62" s="79">
        <f>IF('Cash Flow Analysis'!C78="","",'Cash Flow Analysis'!C78)</f>
        <v>11</v>
      </c>
      <c r="B62" s="1090">
        <f ca="1">IF(A62="","",IF(A62&lt;1,0,IF(A62=1,$B$44-'Cash Flow Analysis'!I78,-'Cash Flow Analysis'!I78)))</f>
        <v>18431977.22797763</v>
      </c>
      <c r="C62" s="112">
        <f t="shared" ref="C62:W62" ca="1" si="16">IF($B$62="","",IF(AND($B$42="Straight Line",C48&lt;=depr_length),$B$62/depr_length,IF(AND($B$42="MACRS",C48&lt;=depr_length+1),$B$62*INDEX(MACRS_Table,MATCH(C48,recovery_year,0),MATCH($B$43,recovery_period,0)),"")))</f>
        <v>691199.14604916109</v>
      </c>
      <c r="D62" s="113">
        <f t="shared" ca="1" si="16"/>
        <v>1330604.4360877052</v>
      </c>
      <c r="E62" s="113">
        <f t="shared" ca="1" si="16"/>
        <v>1230703.1195120662</v>
      </c>
      <c r="F62" s="113">
        <f t="shared" ca="1" si="16"/>
        <v>1138543.2333721782</v>
      </c>
      <c r="G62" s="113">
        <f t="shared" ca="1" si="16"/>
        <v>1053018.859034362</v>
      </c>
      <c r="H62" s="113">
        <f t="shared" ca="1" si="16"/>
        <v>974129.99649861781</v>
      </c>
      <c r="I62" s="113">
        <f t="shared" ca="1" si="16"/>
        <v>900955.04690354655</v>
      </c>
      <c r="J62" s="113">
        <f t="shared" ca="1" si="16"/>
        <v>833494.01024914847</v>
      </c>
      <c r="K62" s="113">
        <f t="shared" ca="1" si="16"/>
        <v>822434.82391236187</v>
      </c>
      <c r="L62" s="113">
        <f t="shared" ca="1" si="16"/>
        <v>822250.50414008205</v>
      </c>
      <c r="M62" s="113">
        <f t="shared" ca="1" si="16"/>
        <v>822434.82391236187</v>
      </c>
      <c r="N62" s="113">
        <f t="shared" ca="1" si="16"/>
        <v>822250.50414008205</v>
      </c>
      <c r="O62" s="113">
        <f t="shared" ca="1" si="16"/>
        <v>822434.82391236187</v>
      </c>
      <c r="P62" s="113">
        <f t="shared" ca="1" si="16"/>
        <v>822250.50414008205</v>
      </c>
      <c r="Q62" s="113">
        <f t="shared" ca="1" si="16"/>
        <v>822434.82391236187</v>
      </c>
      <c r="R62" s="113">
        <f t="shared" ca="1" si="16"/>
        <v>822250.50414008205</v>
      </c>
      <c r="S62" s="113">
        <f t="shared" ca="1" si="16"/>
        <v>822434.82391236187</v>
      </c>
      <c r="T62" s="113">
        <f t="shared" ca="1" si="16"/>
        <v>822250.50414008205</v>
      </c>
      <c r="U62" s="113">
        <f t="shared" ca="1" si="16"/>
        <v>822434.82391236187</v>
      </c>
      <c r="V62" s="113">
        <f t="shared" ca="1" si="16"/>
        <v>822250.50414008205</v>
      </c>
      <c r="W62" s="114">
        <f t="shared" ca="1" si="16"/>
        <v>411217.41195618093</v>
      </c>
      <c r="X62" s="111">
        <f t="shared" ca="1" si="3"/>
        <v>18431977.227977633</v>
      </c>
    </row>
    <row r="63" spans="1:24" ht="15" customHeight="1" x14ac:dyDescent="0.25">
      <c r="A63" s="79">
        <f>IF('Cash Flow Analysis'!C79="","",'Cash Flow Analysis'!C79)</f>
        <v>12</v>
      </c>
      <c r="B63" s="1090">
        <f ca="1">IF(A63="","",IF(A63&lt;1,0,IF(A63=1,$B$44-'Cash Flow Analysis'!I79,-'Cash Flow Analysis'!I79)))</f>
        <v>18782184.795309205</v>
      </c>
      <c r="C63" s="112">
        <f t="shared" ref="C63:W63" ca="1" si="17">IF($B$63="","",IF(AND($B$42="Straight Line",C48&lt;=depr_length),$B$63/depr_length,IF(AND($B$42="MACRS",C48&lt;=depr_length+1),$B$63*INDEX(MACRS_Table,MATCH(C48,recovery_year,0),MATCH($B$43,recovery_period,0)),"")))</f>
        <v>704331.9298240951</v>
      </c>
      <c r="D63" s="113">
        <f t="shared" ca="1" si="17"/>
        <v>1355885.9203733716</v>
      </c>
      <c r="E63" s="113">
        <f t="shared" ca="1" si="17"/>
        <v>1254086.4787827956</v>
      </c>
      <c r="F63" s="113">
        <f t="shared" ca="1" si="17"/>
        <v>1160175.5548062494</v>
      </c>
      <c r="G63" s="113">
        <f t="shared" ca="1" si="17"/>
        <v>1073026.2173560148</v>
      </c>
      <c r="H63" s="113">
        <f t="shared" ca="1" si="17"/>
        <v>992638.46643209143</v>
      </c>
      <c r="I63" s="113">
        <f t="shared" ca="1" si="17"/>
        <v>918073.19279471389</v>
      </c>
      <c r="J63" s="113">
        <f t="shared" ca="1" si="17"/>
        <v>849330.39644388226</v>
      </c>
      <c r="K63" s="113">
        <f t="shared" ca="1" si="17"/>
        <v>838061.08556669671</v>
      </c>
      <c r="L63" s="113">
        <f t="shared" ca="1" si="17"/>
        <v>837873.26371874358</v>
      </c>
      <c r="M63" s="113">
        <f t="shared" ca="1" si="17"/>
        <v>838061.08556669671</v>
      </c>
      <c r="N63" s="113">
        <f t="shared" ca="1" si="17"/>
        <v>837873.26371874358</v>
      </c>
      <c r="O63" s="113">
        <f t="shared" ca="1" si="17"/>
        <v>838061.08556669671</v>
      </c>
      <c r="P63" s="113">
        <f t="shared" ca="1" si="17"/>
        <v>837873.26371874358</v>
      </c>
      <c r="Q63" s="113">
        <f t="shared" ca="1" si="17"/>
        <v>838061.08556669671</v>
      </c>
      <c r="R63" s="113">
        <f t="shared" ca="1" si="17"/>
        <v>837873.26371874358</v>
      </c>
      <c r="S63" s="113">
        <f t="shared" ca="1" si="17"/>
        <v>838061.08556669671</v>
      </c>
      <c r="T63" s="113">
        <f t="shared" ca="1" si="17"/>
        <v>837873.26371874358</v>
      </c>
      <c r="U63" s="113">
        <f t="shared" ca="1" si="17"/>
        <v>838061.08556669671</v>
      </c>
      <c r="V63" s="113">
        <f t="shared" ca="1" si="17"/>
        <v>837873.26371874358</v>
      </c>
      <c r="W63" s="114">
        <f t="shared" ca="1" si="17"/>
        <v>419030.54278334836</v>
      </c>
      <c r="X63" s="111">
        <f t="shared" ca="1" si="3"/>
        <v>18782184.795309197</v>
      </c>
    </row>
    <row r="64" spans="1:24" ht="15" customHeight="1" x14ac:dyDescent="0.25">
      <c r="A64" s="79">
        <f>IF('Cash Flow Analysis'!C80="","",'Cash Flow Analysis'!C80)</f>
        <v>13</v>
      </c>
      <c r="B64" s="1090">
        <f ca="1">IF(A64="","",IF(A64&lt;1,0,IF(A64=1,$B$44-'Cash Flow Analysis'!I80,-'Cash Flow Analysis'!I80)))</f>
        <v>19139046.306420077</v>
      </c>
      <c r="C64" s="112">
        <f t="shared" ref="C64:W64" ca="1" si="18">IF($B$64="","",IF(AND($B$42="Straight Line",C48&lt;=depr_length),$B$64/depr_length,IF(AND($B$42="MACRS",C48&lt;=depr_length+1),$B$64*INDEX(MACRS_Table,MATCH(C48,recovery_year,0),MATCH($B$43,recovery_period,0)),"")))</f>
        <v>717714.2364907529</v>
      </c>
      <c r="D64" s="113">
        <f t="shared" ca="1" si="18"/>
        <v>1381647.7528604653</v>
      </c>
      <c r="E64" s="113">
        <f t="shared" ca="1" si="18"/>
        <v>1277914.1218796684</v>
      </c>
      <c r="F64" s="113">
        <f t="shared" ca="1" si="18"/>
        <v>1182218.8903475681</v>
      </c>
      <c r="G64" s="113">
        <f t="shared" ca="1" si="18"/>
        <v>1093413.7154857789</v>
      </c>
      <c r="H64" s="113">
        <f t="shared" ca="1" si="18"/>
        <v>1011498.597294301</v>
      </c>
      <c r="I64" s="113">
        <f t="shared" ca="1" si="18"/>
        <v>935516.58345781337</v>
      </c>
      <c r="J64" s="113">
        <f t="shared" ca="1" si="18"/>
        <v>865467.67397631588</v>
      </c>
      <c r="K64" s="113">
        <f t="shared" ca="1" si="18"/>
        <v>853984.24619246379</v>
      </c>
      <c r="L64" s="113">
        <f t="shared" ca="1" si="18"/>
        <v>853792.8557293996</v>
      </c>
      <c r="M64" s="113">
        <f t="shared" ca="1" si="18"/>
        <v>853984.24619246379</v>
      </c>
      <c r="N64" s="113">
        <f t="shared" ca="1" si="18"/>
        <v>853792.8557293996</v>
      </c>
      <c r="O64" s="113">
        <f t="shared" ca="1" si="18"/>
        <v>853984.24619246379</v>
      </c>
      <c r="P64" s="113">
        <f t="shared" ca="1" si="18"/>
        <v>853792.8557293996</v>
      </c>
      <c r="Q64" s="113">
        <f t="shared" ca="1" si="18"/>
        <v>853984.24619246379</v>
      </c>
      <c r="R64" s="113">
        <f t="shared" ca="1" si="18"/>
        <v>853792.8557293996</v>
      </c>
      <c r="S64" s="113">
        <f t="shared" ca="1" si="18"/>
        <v>853984.24619246379</v>
      </c>
      <c r="T64" s="113">
        <f t="shared" ca="1" si="18"/>
        <v>853792.8557293996</v>
      </c>
      <c r="U64" s="113">
        <f t="shared" ca="1" si="18"/>
        <v>853984.24619246379</v>
      </c>
      <c r="V64" s="113">
        <f t="shared" ca="1" si="18"/>
        <v>853792.8557293996</v>
      </c>
      <c r="W64" s="114">
        <f t="shared" ca="1" si="18"/>
        <v>426992.1230962319</v>
      </c>
      <c r="X64" s="111">
        <f t="shared" ca="1" si="3"/>
        <v>19139046.30642008</v>
      </c>
    </row>
    <row r="65" spans="1:24" ht="15" customHeight="1" x14ac:dyDescent="0.25">
      <c r="A65" s="79">
        <f>IF('Cash Flow Analysis'!C81="","",'Cash Flow Analysis'!C81)</f>
        <v>14</v>
      </c>
      <c r="B65" s="1090">
        <f ca="1">IF(A65="","",IF(A65&lt;1,0,IF(A65=1,$B$44-'Cash Flow Analysis'!I81,-'Cash Flow Analysis'!I81)))</f>
        <v>19502688.186242055</v>
      </c>
      <c r="C65" s="112">
        <f t="shared" ref="C65:W65" ca="1" si="19">IF($B$65="","",IF(AND($B$42="Straight Line",C48&lt;=depr_length),$B$65/depr_length,IF(AND($B$42="MACRS",C48&lt;=depr_length+1),$B$65*INDEX(MACRS_Table,MATCH(C48,recovery_year,0),MATCH($B$43,recovery_period,0)),"")))</f>
        <v>731350.80698407709</v>
      </c>
      <c r="D65" s="113">
        <f t="shared" ca="1" si="19"/>
        <v>1407899.0601648141</v>
      </c>
      <c r="E65" s="113">
        <f t="shared" ca="1" si="19"/>
        <v>1302194.4901953819</v>
      </c>
      <c r="F65" s="113">
        <f t="shared" ca="1" si="19"/>
        <v>1204681.0492641716</v>
      </c>
      <c r="G65" s="113">
        <f t="shared" ca="1" si="19"/>
        <v>1114188.5760800086</v>
      </c>
      <c r="H65" s="113">
        <f t="shared" ca="1" si="19"/>
        <v>1030717.0706428926</v>
      </c>
      <c r="I65" s="113">
        <f t="shared" ca="1" si="19"/>
        <v>953291.39854351163</v>
      </c>
      <c r="J65" s="113">
        <f t="shared" ca="1" si="19"/>
        <v>881911.5597818658</v>
      </c>
      <c r="K65" s="113">
        <f t="shared" ca="1" si="19"/>
        <v>870209.94687012048</v>
      </c>
      <c r="L65" s="113">
        <f t="shared" ca="1" si="19"/>
        <v>870014.91998825804</v>
      </c>
      <c r="M65" s="113">
        <f t="shared" ca="1" si="19"/>
        <v>870209.94687012048</v>
      </c>
      <c r="N65" s="113">
        <f t="shared" ca="1" si="19"/>
        <v>870014.91998825804</v>
      </c>
      <c r="O65" s="113">
        <f t="shared" ca="1" si="19"/>
        <v>870209.94687012048</v>
      </c>
      <c r="P65" s="113">
        <f t="shared" ca="1" si="19"/>
        <v>870014.91998825804</v>
      </c>
      <c r="Q65" s="113">
        <f t="shared" ca="1" si="19"/>
        <v>870209.94687012048</v>
      </c>
      <c r="R65" s="113">
        <f t="shared" ca="1" si="19"/>
        <v>870014.91998825804</v>
      </c>
      <c r="S65" s="113">
        <f t="shared" ca="1" si="19"/>
        <v>870209.94687012048</v>
      </c>
      <c r="T65" s="113">
        <f t="shared" ca="1" si="19"/>
        <v>870014.91998825804</v>
      </c>
      <c r="U65" s="113">
        <f t="shared" ca="1" si="19"/>
        <v>870209.94687012048</v>
      </c>
      <c r="V65" s="113">
        <f t="shared" ca="1" si="19"/>
        <v>870014.91998825804</v>
      </c>
      <c r="W65" s="114">
        <f t="shared" ca="1" si="19"/>
        <v>435104.97343506024</v>
      </c>
      <c r="X65" s="111">
        <f t="shared" ca="1" si="3"/>
        <v>19502688.186242055</v>
      </c>
    </row>
    <row r="66" spans="1:24" ht="15" customHeight="1" x14ac:dyDescent="0.25">
      <c r="A66" s="79">
        <f>IF('Cash Flow Analysis'!C82="","",'Cash Flow Analysis'!C82)</f>
        <v>15</v>
      </c>
      <c r="B66" s="1090">
        <f ca="1">IF(A66="","",IF(A66&lt;1,0,IF(A66=1,$B$44-'Cash Flow Analysis'!I82,-'Cash Flow Analysis'!I82)))</f>
        <v>19873239.261780657</v>
      </c>
      <c r="C66" s="112">
        <f t="shared" ref="C66:W66" ca="1" si="20">IF($B$66="","",IF(AND($B$42="Straight Line",C48&lt;=depr_length),$B$66/depr_length,IF(AND($B$42="MACRS",C48&lt;=depr_length+1),$B$66*INDEX(MACRS_Table,MATCH(C48,recovery_year,0),MATCH($B$43,recovery_period,0)),"")))</f>
        <v>745246.47231677466</v>
      </c>
      <c r="D66" s="113">
        <f t="shared" ca="1" si="20"/>
        <v>1434649.1423079458</v>
      </c>
      <c r="E66" s="113">
        <f t="shared" ca="1" si="20"/>
        <v>1326936.1855090943</v>
      </c>
      <c r="F66" s="113">
        <f t="shared" ca="1" si="20"/>
        <v>1227569.9892001911</v>
      </c>
      <c r="G66" s="113">
        <f t="shared" ca="1" si="20"/>
        <v>1135358.1590255289</v>
      </c>
      <c r="H66" s="113">
        <f t="shared" ca="1" si="20"/>
        <v>1050300.6949851078</v>
      </c>
      <c r="I66" s="113">
        <f t="shared" ca="1" si="20"/>
        <v>971403.93511583854</v>
      </c>
      <c r="J66" s="113">
        <f t="shared" ca="1" si="20"/>
        <v>898667.87941772141</v>
      </c>
      <c r="K66" s="113">
        <f t="shared" ca="1" si="20"/>
        <v>886743.93586065294</v>
      </c>
      <c r="L66" s="113">
        <f t="shared" ca="1" si="20"/>
        <v>886545.20346803509</v>
      </c>
      <c r="M66" s="113">
        <f t="shared" ca="1" si="20"/>
        <v>886743.93586065294</v>
      </c>
      <c r="N66" s="113">
        <f t="shared" ca="1" si="20"/>
        <v>886545.20346803509</v>
      </c>
      <c r="O66" s="113">
        <f t="shared" ca="1" si="20"/>
        <v>886743.93586065294</v>
      </c>
      <c r="P66" s="113">
        <f t="shared" ca="1" si="20"/>
        <v>886545.20346803509</v>
      </c>
      <c r="Q66" s="113">
        <f t="shared" ca="1" si="20"/>
        <v>886743.93586065294</v>
      </c>
      <c r="R66" s="113">
        <f t="shared" ca="1" si="20"/>
        <v>886545.20346803509</v>
      </c>
      <c r="S66" s="113">
        <f t="shared" ca="1" si="20"/>
        <v>886743.93586065294</v>
      </c>
      <c r="T66" s="113">
        <f t="shared" ca="1" si="20"/>
        <v>886545.20346803509</v>
      </c>
      <c r="U66" s="113">
        <f t="shared" ca="1" si="20"/>
        <v>886743.93586065294</v>
      </c>
      <c r="V66" s="113">
        <f t="shared" ca="1" si="20"/>
        <v>886545.20346803509</v>
      </c>
      <c r="W66" s="114">
        <f t="shared" ca="1" si="20"/>
        <v>443371.96793032647</v>
      </c>
      <c r="X66" s="111">
        <f t="shared" ca="1" si="3"/>
        <v>19873239.261780661</v>
      </c>
    </row>
    <row r="67" spans="1:24" ht="15" customHeight="1" x14ac:dyDescent="0.25">
      <c r="A67" s="79">
        <f>IF('Cash Flow Analysis'!C83="","",'Cash Flow Analysis'!C83)</f>
        <v>16</v>
      </c>
      <c r="B67" s="1090">
        <f ca="1">IF(A67="","",IF(A67&lt;1,0,IF(A67=1,$B$44-'Cash Flow Analysis'!I83,-'Cash Flow Analysis'!I83)))</f>
        <v>20250830.807754491</v>
      </c>
      <c r="C67" s="112">
        <f t="shared" ref="C67:W67" ca="1" si="21">IF($B$67="","",IF(AND($B$42="Straight Line",C48&lt;=depr_length),$B$67/depr_length,IF(AND($B$42="MACRS",C48&lt;=depr_length+1),$B$67*INDEX(MACRS_Table,MATCH(C48,recovery_year,0),MATCH($B$43,recovery_period,0)),"")))</f>
        <v>759406.15529079339</v>
      </c>
      <c r="D67" s="113">
        <f t="shared" ca="1" si="21"/>
        <v>1461907.4760117969</v>
      </c>
      <c r="E67" s="113">
        <f t="shared" ca="1" si="21"/>
        <v>1352147.9730337672</v>
      </c>
      <c r="F67" s="113">
        <f t="shared" ca="1" si="21"/>
        <v>1250893.8189949947</v>
      </c>
      <c r="G67" s="113">
        <f t="shared" ca="1" si="21"/>
        <v>1156929.964047014</v>
      </c>
      <c r="H67" s="113">
        <f t="shared" ca="1" si="21"/>
        <v>1070256.4081898248</v>
      </c>
      <c r="I67" s="113">
        <f t="shared" ca="1" si="21"/>
        <v>989860.60988303949</v>
      </c>
      <c r="J67" s="113">
        <f t="shared" ca="1" si="21"/>
        <v>915742.56912665814</v>
      </c>
      <c r="K67" s="113">
        <f t="shared" ca="1" si="21"/>
        <v>903592.07064200542</v>
      </c>
      <c r="L67" s="113">
        <f t="shared" ca="1" si="21"/>
        <v>903389.56233392772</v>
      </c>
      <c r="M67" s="113">
        <f t="shared" ca="1" si="21"/>
        <v>903592.07064200542</v>
      </c>
      <c r="N67" s="113">
        <f t="shared" ca="1" si="21"/>
        <v>903389.56233392772</v>
      </c>
      <c r="O67" s="113">
        <f t="shared" ca="1" si="21"/>
        <v>903592.07064200542</v>
      </c>
      <c r="P67" s="113">
        <f t="shared" ca="1" si="21"/>
        <v>903389.56233392772</v>
      </c>
      <c r="Q67" s="113">
        <f t="shared" ca="1" si="21"/>
        <v>903592.07064200542</v>
      </c>
      <c r="R67" s="113">
        <f t="shared" ca="1" si="21"/>
        <v>903389.56233392772</v>
      </c>
      <c r="S67" s="113">
        <f t="shared" ca="1" si="21"/>
        <v>903592.07064200542</v>
      </c>
      <c r="T67" s="113">
        <f t="shared" ca="1" si="21"/>
        <v>903389.56233392772</v>
      </c>
      <c r="U67" s="113">
        <f t="shared" ca="1" si="21"/>
        <v>903592.07064200542</v>
      </c>
      <c r="V67" s="113">
        <f t="shared" ca="1" si="21"/>
        <v>903389.56233392772</v>
      </c>
      <c r="W67" s="114">
        <f t="shared" ca="1" si="21"/>
        <v>451796.03532100271</v>
      </c>
      <c r="X67" s="111">
        <f t="shared" ca="1" si="3"/>
        <v>20250830.807754491</v>
      </c>
    </row>
    <row r="68" spans="1:24" ht="15" customHeight="1" x14ac:dyDescent="0.25">
      <c r="A68" s="79">
        <f>IF('Cash Flow Analysis'!C84="","",'Cash Flow Analysis'!C84)</f>
        <v>17</v>
      </c>
      <c r="B68" s="1090">
        <f ca="1">IF(A68="","",IF(A68&lt;1,0,IF(A68=1,$B$44-'Cash Flow Analysis'!I84,-'Cash Flow Analysis'!I84)))</f>
        <v>20635596.593101822</v>
      </c>
      <c r="C68" s="112">
        <f t="shared" ref="C68:W68" ca="1" si="22">IF($B$68="","",IF(AND($B$42="Straight Line",C48&lt;=depr_length),$B$68/depr_length,IF(AND($B$42="MACRS",C48&lt;=depr_length+1),$B$68*INDEX(MACRS_Table,MATCH(C48,recovery_year,0),MATCH($B$43,recovery_period,0)),"")))</f>
        <v>773834.87224131834</v>
      </c>
      <c r="D68" s="113">
        <f t="shared" ca="1" si="22"/>
        <v>1489683.7180560206</v>
      </c>
      <c r="E68" s="113">
        <f t="shared" ca="1" si="22"/>
        <v>1377838.7845214086</v>
      </c>
      <c r="F68" s="113">
        <f t="shared" ca="1" si="22"/>
        <v>1274660.8015558994</v>
      </c>
      <c r="G68" s="113">
        <f t="shared" ca="1" si="22"/>
        <v>1178911.633363907</v>
      </c>
      <c r="H68" s="113">
        <f t="shared" ca="1" si="22"/>
        <v>1090591.2799454313</v>
      </c>
      <c r="I68" s="113">
        <f t="shared" ca="1" si="22"/>
        <v>1008667.9614708171</v>
      </c>
      <c r="J68" s="113">
        <f t="shared" ca="1" si="22"/>
        <v>933141.67794006446</v>
      </c>
      <c r="K68" s="113">
        <f t="shared" ca="1" si="22"/>
        <v>920760.31998420332</v>
      </c>
      <c r="L68" s="113">
        <f t="shared" ca="1" si="22"/>
        <v>920553.96401827224</v>
      </c>
      <c r="M68" s="113">
        <f t="shared" ca="1" si="22"/>
        <v>920760.31998420332</v>
      </c>
      <c r="N68" s="113">
        <f t="shared" ca="1" si="22"/>
        <v>920553.96401827224</v>
      </c>
      <c r="O68" s="113">
        <f t="shared" ca="1" si="22"/>
        <v>920760.31998420332</v>
      </c>
      <c r="P68" s="113">
        <f t="shared" ca="1" si="22"/>
        <v>920553.96401827224</v>
      </c>
      <c r="Q68" s="113">
        <f t="shared" ca="1" si="22"/>
        <v>920760.31998420332</v>
      </c>
      <c r="R68" s="113">
        <f t="shared" ca="1" si="22"/>
        <v>920553.96401827224</v>
      </c>
      <c r="S68" s="113">
        <f t="shared" ca="1" si="22"/>
        <v>920760.31998420332</v>
      </c>
      <c r="T68" s="113">
        <f t="shared" ca="1" si="22"/>
        <v>920553.96401827224</v>
      </c>
      <c r="U68" s="113">
        <f t="shared" ca="1" si="22"/>
        <v>920760.31998420332</v>
      </c>
      <c r="V68" s="113">
        <f t="shared" ca="1" si="22"/>
        <v>920553.96401827224</v>
      </c>
      <c r="W68" s="114">
        <f t="shared" ca="1" si="22"/>
        <v>460380.15999210166</v>
      </c>
      <c r="X68" s="111">
        <f t="shared" ca="1" si="3"/>
        <v>20635596.593101826</v>
      </c>
    </row>
    <row r="69" spans="1:24" ht="15" customHeight="1" x14ac:dyDescent="0.25">
      <c r="A69" s="79">
        <f>IF('Cash Flow Analysis'!C85="","",'Cash Flow Analysis'!C85)</f>
        <v>18</v>
      </c>
      <c r="B69" s="1090">
        <f ca="1">IF(A69="","",IF(A69&lt;1,0,IF(A69=1,$B$44-'Cash Flow Analysis'!I85,-'Cash Flow Analysis'!I85)))</f>
        <v>21027672.928370759</v>
      </c>
      <c r="C69" s="112">
        <f t="shared" ref="C69:W69" ca="1" si="23">IF($B$69="","",IF(AND($B$42="Straight Line",C48&lt;=depr_length),$B$69/depr_length,IF(AND($B$42="MACRS",C48&lt;=depr_length+1),$B$69*INDEX(MACRS_Table,MATCH(C48,recovery_year,0),MATCH($B$43,recovery_period,0)),"")))</f>
        <v>788537.73481390346</v>
      </c>
      <c r="D69" s="113">
        <f t="shared" ca="1" si="23"/>
        <v>1517987.7086990853</v>
      </c>
      <c r="E69" s="113">
        <f t="shared" ca="1" si="23"/>
        <v>1404017.7214273154</v>
      </c>
      <c r="F69" s="113">
        <f t="shared" ca="1" si="23"/>
        <v>1298879.3567854618</v>
      </c>
      <c r="G69" s="113">
        <f t="shared" ca="1" si="23"/>
        <v>1201310.9543978216</v>
      </c>
      <c r="H69" s="113">
        <f t="shared" ca="1" si="23"/>
        <v>1111312.5142643945</v>
      </c>
      <c r="I69" s="113">
        <f t="shared" ca="1" si="23"/>
        <v>1027832.6527387627</v>
      </c>
      <c r="J69" s="113">
        <f t="shared" ca="1" si="23"/>
        <v>950871.36982092576</v>
      </c>
      <c r="K69" s="113">
        <f t="shared" ca="1" si="23"/>
        <v>938254.76606390323</v>
      </c>
      <c r="L69" s="113">
        <f t="shared" ca="1" si="23"/>
        <v>938044.48933461949</v>
      </c>
      <c r="M69" s="113">
        <f t="shared" ca="1" si="23"/>
        <v>938254.76606390323</v>
      </c>
      <c r="N69" s="113">
        <f t="shared" ca="1" si="23"/>
        <v>938044.48933461949</v>
      </c>
      <c r="O69" s="113">
        <f t="shared" ca="1" si="23"/>
        <v>938254.76606390323</v>
      </c>
      <c r="P69" s="113">
        <f t="shared" ca="1" si="23"/>
        <v>938044.48933461949</v>
      </c>
      <c r="Q69" s="113">
        <f t="shared" ca="1" si="23"/>
        <v>938254.76606390323</v>
      </c>
      <c r="R69" s="113">
        <f t="shared" ca="1" si="23"/>
        <v>938044.48933461949</v>
      </c>
      <c r="S69" s="113">
        <f t="shared" ca="1" si="23"/>
        <v>938254.76606390323</v>
      </c>
      <c r="T69" s="113">
        <f t="shared" ca="1" si="23"/>
        <v>938044.48933461949</v>
      </c>
      <c r="U69" s="113">
        <f t="shared" ca="1" si="23"/>
        <v>938254.76606390323</v>
      </c>
      <c r="V69" s="113">
        <f t="shared" ca="1" si="23"/>
        <v>938044.48933461949</v>
      </c>
      <c r="W69" s="114">
        <f t="shared" ca="1" si="23"/>
        <v>469127.38303195161</v>
      </c>
      <c r="X69" s="111">
        <f t="shared" ca="1" si="3"/>
        <v>21027672.928370755</v>
      </c>
    </row>
    <row r="70" spans="1:24" ht="15" customHeight="1" x14ac:dyDescent="0.25">
      <c r="A70" s="79">
        <f>IF('Cash Flow Analysis'!C86="","",'Cash Flow Analysis'!C86)</f>
        <v>19</v>
      </c>
      <c r="B70" s="1090">
        <f ca="1">IF(A70="","",IF(A70&lt;1,0,IF(A70=1,$B$44-'Cash Flow Analysis'!I86,-'Cash Flow Analysis'!I86)))</f>
        <v>21427198.714009799</v>
      </c>
      <c r="C70" s="112">
        <f t="shared" ref="C70:W70" ca="1" si="24">IF($B$70="","",IF(AND($B$42="Straight Line",C48&lt;=depr_length),$B$70/depr_length,IF(AND($B$42="MACRS",C48&lt;=depr_length+1),$B$70*INDEX(MACRS_Table,MATCH(C48,recovery_year,0),MATCH($B$43,recovery_period,0)),"")))</f>
        <v>803519.95177536749</v>
      </c>
      <c r="D70" s="113">
        <f t="shared" ca="1" si="24"/>
        <v>1546829.4751643676</v>
      </c>
      <c r="E70" s="113">
        <f t="shared" ca="1" si="24"/>
        <v>1430694.0581344343</v>
      </c>
      <c r="F70" s="113">
        <f t="shared" ca="1" si="24"/>
        <v>1323558.0645643852</v>
      </c>
      <c r="G70" s="113">
        <f t="shared" ca="1" si="24"/>
        <v>1224135.8625313798</v>
      </c>
      <c r="H70" s="113">
        <f t="shared" ca="1" si="24"/>
        <v>1132427.452035418</v>
      </c>
      <c r="I70" s="113">
        <f t="shared" ca="1" si="24"/>
        <v>1047361.473140799</v>
      </c>
      <c r="J70" s="113">
        <f t="shared" ca="1" si="24"/>
        <v>968937.92584752315</v>
      </c>
      <c r="K70" s="113">
        <f t="shared" ca="1" si="24"/>
        <v>956081.6066191172</v>
      </c>
      <c r="L70" s="113">
        <f t="shared" ca="1" si="24"/>
        <v>955867.33463197702</v>
      </c>
      <c r="M70" s="113">
        <f t="shared" ca="1" si="24"/>
        <v>956081.6066191172</v>
      </c>
      <c r="N70" s="113">
        <f t="shared" ca="1" si="24"/>
        <v>955867.33463197702</v>
      </c>
      <c r="O70" s="113">
        <f t="shared" ca="1" si="24"/>
        <v>956081.6066191172</v>
      </c>
      <c r="P70" s="113">
        <f t="shared" ca="1" si="24"/>
        <v>955867.33463197702</v>
      </c>
      <c r="Q70" s="113">
        <f t="shared" ca="1" si="24"/>
        <v>956081.6066191172</v>
      </c>
      <c r="R70" s="113">
        <f t="shared" ca="1" si="24"/>
        <v>955867.33463197702</v>
      </c>
      <c r="S70" s="113">
        <f t="shared" ca="1" si="24"/>
        <v>956081.6066191172</v>
      </c>
      <c r="T70" s="113">
        <f t="shared" ca="1" si="24"/>
        <v>955867.33463197702</v>
      </c>
      <c r="U70" s="113">
        <f t="shared" ca="1" si="24"/>
        <v>956081.6066191172</v>
      </c>
      <c r="V70" s="113">
        <f t="shared" ca="1" si="24"/>
        <v>955867.33463197702</v>
      </c>
      <c r="W70" s="114">
        <f t="shared" ca="1" si="24"/>
        <v>478040.8033095586</v>
      </c>
      <c r="X70" s="111">
        <f t="shared" ca="1" si="3"/>
        <v>21427198.714009799</v>
      </c>
    </row>
    <row r="71" spans="1:24" ht="15" customHeight="1" x14ac:dyDescent="0.25">
      <c r="A71" s="79">
        <f>IF('Cash Flow Analysis'!C87="","",'Cash Flow Analysis'!C87)</f>
        <v>20</v>
      </c>
      <c r="B71" s="1090">
        <f ca="1">IF(A71="","",IF(A71&lt;1,0,IF(A71=1,$B$44-'Cash Flow Analysis'!I87,-'Cash Flow Analysis'!I87)))</f>
        <v>21834315.489575986</v>
      </c>
      <c r="C71" s="112">
        <f t="shared" ref="C71:W71" ca="1" si="25">IF($B$71="","",IF(AND($B$42="Straight Line",C48&lt;=depr_length),$B$71/depr_length,IF(AND($B$42="MACRS",C48&lt;=depr_length+1),$B$71*INDEX(MACRS_Table,MATCH(C48,recovery_year,0),MATCH($B$43,recovery_period,0)),"")))</f>
        <v>818786.8308590994</v>
      </c>
      <c r="D71" s="113">
        <f t="shared" ca="1" si="25"/>
        <v>1576219.2351924905</v>
      </c>
      <c r="E71" s="113">
        <f t="shared" ca="1" si="25"/>
        <v>1457877.2452389884</v>
      </c>
      <c r="F71" s="113">
        <f t="shared" ca="1" si="25"/>
        <v>1348705.6677911086</v>
      </c>
      <c r="G71" s="113">
        <f t="shared" ca="1" si="25"/>
        <v>1247394.4439194761</v>
      </c>
      <c r="H71" s="113">
        <f t="shared" ca="1" si="25"/>
        <v>1153943.573624091</v>
      </c>
      <c r="I71" s="113">
        <f t="shared" ca="1" si="25"/>
        <v>1067261.3411304741</v>
      </c>
      <c r="J71" s="113">
        <f t="shared" ca="1" si="25"/>
        <v>987347.7464386262</v>
      </c>
      <c r="K71" s="113">
        <f t="shared" ca="1" si="25"/>
        <v>974247.1571448805</v>
      </c>
      <c r="L71" s="113">
        <f t="shared" ca="1" si="25"/>
        <v>974028.81398998469</v>
      </c>
      <c r="M71" s="113">
        <f t="shared" ca="1" si="25"/>
        <v>974247.1571448805</v>
      </c>
      <c r="N71" s="113">
        <f t="shared" ca="1" si="25"/>
        <v>974028.81398998469</v>
      </c>
      <c r="O71" s="113">
        <f t="shared" ca="1" si="25"/>
        <v>974247.1571448805</v>
      </c>
      <c r="P71" s="113">
        <f t="shared" ca="1" si="25"/>
        <v>974028.81398998469</v>
      </c>
      <c r="Q71" s="113">
        <f t="shared" ca="1" si="25"/>
        <v>974247.1571448805</v>
      </c>
      <c r="R71" s="113">
        <f t="shared" ca="1" si="25"/>
        <v>974028.81398998469</v>
      </c>
      <c r="S71" s="113">
        <f t="shared" ca="1" si="25"/>
        <v>974247.1571448805</v>
      </c>
      <c r="T71" s="113">
        <f t="shared" ca="1" si="25"/>
        <v>974028.81398998469</v>
      </c>
      <c r="U71" s="113">
        <f t="shared" ca="1" si="25"/>
        <v>974247.1571448805</v>
      </c>
      <c r="V71" s="113">
        <f t="shared" ca="1" si="25"/>
        <v>974028.81398998469</v>
      </c>
      <c r="W71" s="114">
        <f t="shared" ca="1" si="25"/>
        <v>487123.57857244025</v>
      </c>
      <c r="X71" s="111">
        <f t="shared" ca="1" si="3"/>
        <v>21834315.489575986</v>
      </c>
    </row>
    <row r="72" spans="1:24" ht="15" customHeight="1" x14ac:dyDescent="0.25">
      <c r="A72" s="79">
        <f>IF('Cash Flow Analysis'!C88="","",'Cash Flow Analysis'!C88)</f>
        <v>21</v>
      </c>
      <c r="B72" s="1090">
        <f ca="1">IF(A72="","",IF(A72&lt;1,0,IF(A72=1,$B$44-'Cash Flow Analysis'!I88,-'Cash Flow Analysis'!I88)))</f>
        <v>22249167.483877927</v>
      </c>
      <c r="C72" s="112">
        <f t="shared" ref="C72:W72" ca="1" si="26">IF($B$72="","",IF(AND($B$42="Straight Line",C48&lt;=depr_length),$B$72/depr_length,IF(AND($B$42="MACRS",C48&lt;=depr_length+1),$B$72*INDEX(MACRS_Table,MATCH(C48,recovery_year,0),MATCH($B$43,recovery_period,0)),"")))</f>
        <v>834343.78064542229</v>
      </c>
      <c r="D72" s="113">
        <f t="shared" ca="1" si="26"/>
        <v>1606167.4006611477</v>
      </c>
      <c r="E72" s="113">
        <f t="shared" ca="1" si="26"/>
        <v>1485576.9128985291</v>
      </c>
      <c r="F72" s="113">
        <f t="shared" ca="1" si="26"/>
        <v>1374331.0754791396</v>
      </c>
      <c r="G72" s="113">
        <f t="shared" ca="1" si="26"/>
        <v>1271094.938353946</v>
      </c>
      <c r="H72" s="113">
        <f t="shared" ca="1" si="26"/>
        <v>1175868.5015229485</v>
      </c>
      <c r="I72" s="113">
        <f t="shared" ca="1" si="26"/>
        <v>1087539.3066119531</v>
      </c>
      <c r="J72" s="113">
        <f t="shared" ca="1" si="26"/>
        <v>1006107.3536209599</v>
      </c>
      <c r="K72" s="113">
        <f t="shared" ca="1" si="26"/>
        <v>992757.85313063313</v>
      </c>
      <c r="L72" s="113">
        <f t="shared" ca="1" si="26"/>
        <v>992535.36145579431</v>
      </c>
      <c r="M72" s="113">
        <f t="shared" ca="1" si="26"/>
        <v>992757.85313063313</v>
      </c>
      <c r="N72" s="113">
        <f t="shared" ca="1" si="26"/>
        <v>992535.36145579431</v>
      </c>
      <c r="O72" s="113">
        <f t="shared" ca="1" si="26"/>
        <v>992757.85313063313</v>
      </c>
      <c r="P72" s="113">
        <f t="shared" ca="1" si="26"/>
        <v>992535.36145579431</v>
      </c>
      <c r="Q72" s="113">
        <f t="shared" ca="1" si="26"/>
        <v>992757.85313063313</v>
      </c>
      <c r="R72" s="113">
        <f t="shared" ca="1" si="26"/>
        <v>992535.36145579431</v>
      </c>
      <c r="S72" s="113">
        <f t="shared" ca="1" si="26"/>
        <v>992757.85313063313</v>
      </c>
      <c r="T72" s="113">
        <f t="shared" ca="1" si="26"/>
        <v>992535.36145579431</v>
      </c>
      <c r="U72" s="113">
        <f t="shared" ca="1" si="26"/>
        <v>992757.85313063313</v>
      </c>
      <c r="V72" s="113">
        <f t="shared" ca="1" si="26"/>
        <v>992535.36145579431</v>
      </c>
      <c r="W72" s="114">
        <f t="shared" ca="1" si="26"/>
        <v>496378.92656531656</v>
      </c>
      <c r="X72" s="111">
        <f t="shared" ca="1" si="3"/>
        <v>22249167.483877931</v>
      </c>
    </row>
    <row r="73" spans="1:24" ht="15" customHeight="1" x14ac:dyDescent="0.25">
      <c r="A73" s="79">
        <f>IF('Cash Flow Analysis'!C89="","",'Cash Flow Analysis'!C89)</f>
        <v>22</v>
      </c>
      <c r="B73" s="1090">
        <f ca="1">IF(A73="","",IF(A73&lt;1,0,IF(A73=1,$B$44-'Cash Flow Analysis'!I89,-'Cash Flow Analysis'!I89)))</f>
        <v>22671901.666071609</v>
      </c>
      <c r="C73" s="112">
        <f t="shared" ref="C73:W73" ca="1" si="27">IF($B$73="","",IF(AND($B$42="Straight Line",C48&lt;=depr_length),$B$73/depr_length,IF(AND($B$42="MACRS",C48&lt;=depr_length+1),$B$73*INDEX(MACRS_Table,MATCH(C48,recovery_year,0),MATCH($B$43,recovery_period,0)),"")))</f>
        <v>850196.31247768528</v>
      </c>
      <c r="D73" s="113">
        <f t="shared" ca="1" si="27"/>
        <v>1636684.5812737094</v>
      </c>
      <c r="E73" s="113">
        <f t="shared" ca="1" si="27"/>
        <v>1513802.8742436012</v>
      </c>
      <c r="F73" s="113">
        <f t="shared" ca="1" si="27"/>
        <v>1400443.3659132433</v>
      </c>
      <c r="G73" s="113">
        <f t="shared" ca="1" si="27"/>
        <v>1295245.7421826711</v>
      </c>
      <c r="H73" s="113">
        <f t="shared" ca="1" si="27"/>
        <v>1198210.0030518845</v>
      </c>
      <c r="I73" s="113">
        <f t="shared" ca="1" si="27"/>
        <v>1108202.5534375801</v>
      </c>
      <c r="J73" s="113">
        <f t="shared" ca="1" si="27"/>
        <v>1025223.3933397583</v>
      </c>
      <c r="K73" s="113">
        <f t="shared" ca="1" si="27"/>
        <v>1011620.2523401151</v>
      </c>
      <c r="L73" s="113">
        <f t="shared" ca="1" si="27"/>
        <v>1011393.5333234544</v>
      </c>
      <c r="M73" s="113">
        <f t="shared" ca="1" si="27"/>
        <v>1011620.2523401151</v>
      </c>
      <c r="N73" s="113">
        <f t="shared" ca="1" si="27"/>
        <v>1011393.5333234544</v>
      </c>
      <c r="O73" s="113">
        <f t="shared" ca="1" si="27"/>
        <v>1011620.2523401151</v>
      </c>
      <c r="P73" s="113">
        <f t="shared" ca="1" si="27"/>
        <v>1011393.5333234544</v>
      </c>
      <c r="Q73" s="113">
        <f t="shared" ca="1" si="27"/>
        <v>1011620.2523401151</v>
      </c>
      <c r="R73" s="113">
        <f t="shared" ca="1" si="27"/>
        <v>1011393.5333234544</v>
      </c>
      <c r="S73" s="113">
        <f t="shared" ca="1" si="27"/>
        <v>1011620.2523401151</v>
      </c>
      <c r="T73" s="113">
        <f t="shared" ca="1" si="27"/>
        <v>1011393.5333234544</v>
      </c>
      <c r="U73" s="113">
        <f t="shared" ca="1" si="27"/>
        <v>1011620.2523401151</v>
      </c>
      <c r="V73" s="113">
        <f t="shared" ca="1" si="27"/>
        <v>1011393.5333234544</v>
      </c>
      <c r="W73" s="114">
        <f t="shared" ca="1" si="27"/>
        <v>505810.12617005757</v>
      </c>
      <c r="X73" s="111">
        <f t="shared" ca="1" si="3"/>
        <v>22671901.666071612</v>
      </c>
    </row>
    <row r="74" spans="1:24" ht="15" customHeight="1" x14ac:dyDescent="0.25">
      <c r="A74" s="79">
        <f>IF('Cash Flow Analysis'!C90="","",'Cash Flow Analysis'!C90)</f>
        <v>23</v>
      </c>
      <c r="B74" s="1090">
        <f ca="1">IF(A74="","",IF(A74&lt;1,0,IF(A74=1,$B$44-'Cash Flow Analysis'!I90,-'Cash Flow Analysis'!I90)))</f>
        <v>23102667.79772697</v>
      </c>
      <c r="C74" s="112">
        <f t="shared" ref="C74:W74" ca="1" si="28">IF($B$74="","",IF(AND($B$42="Straight Line",C48&lt;=depr_length),$B$74/depr_length,IF(AND($B$42="MACRS",C48&lt;=depr_length+1),$B$74*INDEX(MACRS_Table,MATCH(C48,recovery_year,0),MATCH($B$43,recovery_period,0)),"")))</f>
        <v>866350.04241476138</v>
      </c>
      <c r="D74" s="113">
        <f t="shared" ca="1" si="28"/>
        <v>1667781.58831791</v>
      </c>
      <c r="E74" s="113">
        <f t="shared" ca="1" si="28"/>
        <v>1542565.1288542298</v>
      </c>
      <c r="F74" s="113">
        <f t="shared" ca="1" si="28"/>
        <v>1427051.7898655948</v>
      </c>
      <c r="G74" s="113">
        <f t="shared" ca="1" si="28"/>
        <v>1319855.4112841417</v>
      </c>
      <c r="H74" s="113">
        <f t="shared" ca="1" si="28"/>
        <v>1220975.9931098705</v>
      </c>
      <c r="I74" s="113">
        <f t="shared" ca="1" si="28"/>
        <v>1129258.4019528944</v>
      </c>
      <c r="J74" s="113">
        <f t="shared" ca="1" si="28"/>
        <v>1044702.6378132136</v>
      </c>
      <c r="K74" s="113">
        <f t="shared" ca="1" si="28"/>
        <v>1030841.0371345774</v>
      </c>
      <c r="L74" s="113">
        <f t="shared" ca="1" si="28"/>
        <v>1030610.0104566001</v>
      </c>
      <c r="M74" s="113">
        <f t="shared" ca="1" si="28"/>
        <v>1030841.0371345774</v>
      </c>
      <c r="N74" s="113">
        <f t="shared" ca="1" si="28"/>
        <v>1030610.0104566001</v>
      </c>
      <c r="O74" s="113">
        <f t="shared" ca="1" si="28"/>
        <v>1030841.0371345774</v>
      </c>
      <c r="P74" s="113">
        <f t="shared" ca="1" si="28"/>
        <v>1030610.0104566001</v>
      </c>
      <c r="Q74" s="113">
        <f t="shared" ca="1" si="28"/>
        <v>1030841.0371345774</v>
      </c>
      <c r="R74" s="113">
        <f t="shared" ca="1" si="28"/>
        <v>1030610.0104566001</v>
      </c>
      <c r="S74" s="113">
        <f t="shared" ca="1" si="28"/>
        <v>1030841.0371345774</v>
      </c>
      <c r="T74" s="113">
        <f t="shared" ca="1" si="28"/>
        <v>1030610.0104566001</v>
      </c>
      <c r="U74" s="113">
        <f t="shared" ca="1" si="28"/>
        <v>1030841.0371345774</v>
      </c>
      <c r="V74" s="113">
        <f t="shared" ca="1" si="28"/>
        <v>1030610.0104566001</v>
      </c>
      <c r="W74" s="114">
        <f t="shared" ca="1" si="28"/>
        <v>515420.5185672887</v>
      </c>
      <c r="X74" s="111">
        <f t="shared" ca="1" si="3"/>
        <v>23102667.797726963</v>
      </c>
    </row>
    <row r="75" spans="1:24" ht="15" customHeight="1" x14ac:dyDescent="0.25">
      <c r="A75" s="79">
        <f>IF('Cash Flow Analysis'!C91="","",'Cash Flow Analysis'!C91)</f>
        <v>24</v>
      </c>
      <c r="B75" s="1090">
        <f ca="1">IF(A75="","",IF(A75&lt;1,0,IF(A75=1,$B$44-'Cash Flow Analysis'!I91,-'Cash Flow Analysis'!I91)))</f>
        <v>23541618.48588378</v>
      </c>
      <c r="C75" s="112">
        <f t="shared" ref="C75:W75" ca="1" si="29">IF($B$75="","",IF(AND($B$42="Straight Line",C48&lt;=depr_length),$B$75/depr_length,IF(AND($B$42="MACRS",C48&lt;=depr_length+1),$B$75*INDEX(MACRS_Table,MATCH(C48,recovery_year,0),MATCH($B$43,recovery_period,0)),"")))</f>
        <v>882810.6932206417</v>
      </c>
      <c r="D75" s="113">
        <f t="shared" ca="1" si="29"/>
        <v>1699469.4384959501</v>
      </c>
      <c r="E75" s="113">
        <f t="shared" ca="1" si="29"/>
        <v>1571873.86630246</v>
      </c>
      <c r="F75" s="113">
        <f t="shared" ca="1" si="29"/>
        <v>1454165.7738730412</v>
      </c>
      <c r="G75" s="113">
        <f t="shared" ca="1" si="29"/>
        <v>1344932.6640985403</v>
      </c>
      <c r="H75" s="113">
        <f t="shared" ca="1" si="29"/>
        <v>1244174.5369789577</v>
      </c>
      <c r="I75" s="113">
        <f t="shared" ca="1" si="29"/>
        <v>1150714.3115899991</v>
      </c>
      <c r="J75" s="113">
        <f t="shared" ca="1" si="29"/>
        <v>1064551.9879316646</v>
      </c>
      <c r="K75" s="113">
        <f t="shared" ca="1" si="29"/>
        <v>1050427.0168401343</v>
      </c>
      <c r="L75" s="113">
        <f t="shared" ca="1" si="29"/>
        <v>1050191.6006552754</v>
      </c>
      <c r="M75" s="113">
        <f t="shared" ca="1" si="29"/>
        <v>1050427.0168401343</v>
      </c>
      <c r="N75" s="113">
        <f t="shared" ca="1" si="29"/>
        <v>1050191.6006552754</v>
      </c>
      <c r="O75" s="113">
        <f t="shared" ca="1" si="29"/>
        <v>1050427.0168401343</v>
      </c>
      <c r="P75" s="113">
        <f t="shared" ca="1" si="29"/>
        <v>1050191.6006552754</v>
      </c>
      <c r="Q75" s="113">
        <f t="shared" ca="1" si="29"/>
        <v>1050427.0168401343</v>
      </c>
      <c r="R75" s="113">
        <f t="shared" ca="1" si="29"/>
        <v>1050191.6006552754</v>
      </c>
      <c r="S75" s="113">
        <f t="shared" ca="1" si="29"/>
        <v>1050427.0168401343</v>
      </c>
      <c r="T75" s="113">
        <f t="shared" ca="1" si="29"/>
        <v>1050191.6006552754</v>
      </c>
      <c r="U75" s="113">
        <f t="shared" ca="1" si="29"/>
        <v>1050427.0168401343</v>
      </c>
      <c r="V75" s="113">
        <f t="shared" ca="1" si="29"/>
        <v>1050191.6006552754</v>
      </c>
      <c r="W75" s="114">
        <f t="shared" ca="1" si="29"/>
        <v>525213.50842006714</v>
      </c>
      <c r="X75" s="111">
        <f t="shared" ca="1" si="3"/>
        <v>23541618.485883784</v>
      </c>
    </row>
    <row r="76" spans="1:24" ht="15" customHeight="1" x14ac:dyDescent="0.25">
      <c r="A76" s="79">
        <f>IF('Cash Flow Analysis'!C92="","",'Cash Flow Analysis'!C92)</f>
        <v>25</v>
      </c>
      <c r="B76" s="1090">
        <f ca="1">IF(A76="","",IF(A76&lt;1,0,IF(A76=1,$B$44-'Cash Flow Analysis'!I92,-'Cash Flow Analysis'!I92)))</f>
        <v>23988909.237115569</v>
      </c>
      <c r="C76" s="112">
        <f t="shared" ref="C76:W76" ca="1" si="30">IF($B$76="","",IF(AND($B$42="Straight Line",C48&lt;=depr_length),$B$76/depr_length,IF(AND($B$42="MACRS",C48&lt;=depr_length+1),$B$76*INDEX(MACRS_Table,MATCH(C48,recovery_year,0),MATCH($B$43,recovery_period,0)),"")))</f>
        <v>899584.09639183385</v>
      </c>
      <c r="D76" s="113">
        <f t="shared" ca="1" si="30"/>
        <v>1731759.3578273731</v>
      </c>
      <c r="E76" s="113">
        <f t="shared" ca="1" si="30"/>
        <v>1601739.4697622065</v>
      </c>
      <c r="F76" s="113">
        <f t="shared" ca="1" si="30"/>
        <v>1481794.9235766288</v>
      </c>
      <c r="G76" s="113">
        <f t="shared" ca="1" si="30"/>
        <v>1370486.3847164125</v>
      </c>
      <c r="H76" s="113">
        <f t="shared" ca="1" si="30"/>
        <v>1267813.853181558</v>
      </c>
      <c r="I76" s="113">
        <f t="shared" ca="1" si="30"/>
        <v>1172577.8835102089</v>
      </c>
      <c r="J76" s="113">
        <f t="shared" ca="1" si="30"/>
        <v>1084778.4757023661</v>
      </c>
      <c r="K76" s="113">
        <f t="shared" ca="1" si="30"/>
        <v>1070385.1301600968</v>
      </c>
      <c r="L76" s="113">
        <f t="shared" ca="1" si="30"/>
        <v>1070145.2410677255</v>
      </c>
      <c r="M76" s="113">
        <f t="shared" ca="1" si="30"/>
        <v>1070385.1301600968</v>
      </c>
      <c r="N76" s="113">
        <f t="shared" ca="1" si="30"/>
        <v>1070145.2410677255</v>
      </c>
      <c r="O76" s="113">
        <f t="shared" ca="1" si="30"/>
        <v>1070385.1301600968</v>
      </c>
      <c r="P76" s="113">
        <f t="shared" ca="1" si="30"/>
        <v>1070145.2410677255</v>
      </c>
      <c r="Q76" s="113">
        <f t="shared" ca="1" si="30"/>
        <v>1070385.1301600968</v>
      </c>
      <c r="R76" s="113">
        <f t="shared" ca="1" si="30"/>
        <v>1070145.2410677255</v>
      </c>
      <c r="S76" s="113">
        <f t="shared" ca="1" si="30"/>
        <v>1070385.1301600968</v>
      </c>
      <c r="T76" s="113">
        <f t="shared" ca="1" si="30"/>
        <v>1070145.2410677255</v>
      </c>
      <c r="U76" s="113">
        <f t="shared" ca="1" si="30"/>
        <v>1070385.1301600968</v>
      </c>
      <c r="V76" s="113">
        <f t="shared" ca="1" si="30"/>
        <v>1070145.2410677255</v>
      </c>
      <c r="W76" s="114">
        <f t="shared" ca="1" si="30"/>
        <v>535192.5650800484</v>
      </c>
      <c r="X76" s="111">
        <f t="shared" ca="1" si="3"/>
        <v>23988909.237115573</v>
      </c>
    </row>
    <row r="77" spans="1:24" ht="15" customHeight="1" x14ac:dyDescent="0.25">
      <c r="A77" s="79">
        <f>IF('Cash Flow Analysis'!C93="","",'Cash Flow Analysis'!C93)</f>
        <v>26</v>
      </c>
      <c r="B77" s="1090">
        <f ca="1">IF(A77="","",IF(A77&lt;1,0,IF(A77=1,$B$44-'Cash Flow Analysis'!I93,-'Cash Flow Analysis'!I93)))</f>
        <v>24444698.512620762</v>
      </c>
      <c r="C77" s="112">
        <f t="shared" ref="C77:W77" ca="1" si="31">IF($B$77="","",IF(AND($B$42="Straight Line",C48&lt;=depr_length),$B$77/depr_length,IF(AND($B$42="MACRS",C48&lt;=depr_length+1),$B$77*INDEX(MACRS_Table,MATCH(C48,recovery_year,0),MATCH($B$43,recovery_period,0)),"")))</f>
        <v>916676.19422327855</v>
      </c>
      <c r="D77" s="113">
        <f t="shared" ca="1" si="31"/>
        <v>1764662.7856260929</v>
      </c>
      <c r="E77" s="113">
        <f t="shared" ca="1" si="31"/>
        <v>1632172.5196876882</v>
      </c>
      <c r="F77" s="113">
        <f t="shared" ca="1" si="31"/>
        <v>1509949.0271245844</v>
      </c>
      <c r="G77" s="113">
        <f t="shared" ca="1" si="31"/>
        <v>1396525.6260260241</v>
      </c>
      <c r="H77" s="113">
        <f t="shared" ca="1" si="31"/>
        <v>1291902.3163920073</v>
      </c>
      <c r="I77" s="113">
        <f t="shared" ca="1" si="31"/>
        <v>1194856.8632969027</v>
      </c>
      <c r="J77" s="113">
        <f t="shared" ca="1" si="31"/>
        <v>1105389.2667407109</v>
      </c>
      <c r="K77" s="113">
        <f t="shared" ca="1" si="31"/>
        <v>1090722.4476331384</v>
      </c>
      <c r="L77" s="113">
        <f t="shared" ca="1" si="31"/>
        <v>1090478.0006480122</v>
      </c>
      <c r="M77" s="113">
        <f t="shared" ca="1" si="31"/>
        <v>1090722.4476331384</v>
      </c>
      <c r="N77" s="113">
        <f t="shared" ca="1" si="31"/>
        <v>1090478.0006480122</v>
      </c>
      <c r="O77" s="113">
        <f t="shared" ca="1" si="31"/>
        <v>1090722.4476331384</v>
      </c>
      <c r="P77" s="113">
        <f t="shared" ca="1" si="31"/>
        <v>1090478.0006480122</v>
      </c>
      <c r="Q77" s="113">
        <f t="shared" ca="1" si="31"/>
        <v>1090722.4476331384</v>
      </c>
      <c r="R77" s="113">
        <f t="shared" ca="1" si="31"/>
        <v>1090478.0006480122</v>
      </c>
      <c r="S77" s="113">
        <f t="shared" ca="1" si="31"/>
        <v>1090722.4476331384</v>
      </c>
      <c r="T77" s="113">
        <f t="shared" ca="1" si="31"/>
        <v>1090478.0006480122</v>
      </c>
      <c r="U77" s="113">
        <f t="shared" ca="1" si="31"/>
        <v>1090722.4476331384</v>
      </c>
      <c r="V77" s="113">
        <f t="shared" ca="1" si="31"/>
        <v>1090478.0006480122</v>
      </c>
      <c r="W77" s="114">
        <f t="shared" ca="1" si="31"/>
        <v>545361.2238165692</v>
      </c>
      <c r="X77" s="111">
        <f t="shared" ca="1" si="3"/>
        <v>24444698.512620762</v>
      </c>
    </row>
    <row r="78" spans="1:24" ht="15" customHeight="1" x14ac:dyDescent="0.25">
      <c r="A78" s="79">
        <f>IF('Cash Flow Analysis'!C94="","",'Cash Flow Analysis'!C94)</f>
        <v>27</v>
      </c>
      <c r="B78" s="1090">
        <f ca="1">IF(A78="","",IF(A78&lt;1,0,IF(A78=1,$B$44-'Cash Flow Analysis'!I94,-'Cash Flow Analysis'!I94)))</f>
        <v>24909147.784360558</v>
      </c>
      <c r="C78" s="112">
        <f t="shared" ref="C78:W78" ca="1" si="32">IF($B$78="","",IF(AND($B$42="Straight Line",C48&lt;=depr_length),$B$78/depr_length,IF(AND($B$42="MACRS",C48&lt;=depr_length+1),$B$78*INDEX(MACRS_Table,MATCH(C48,recovery_year,0),MATCH($B$43,recovery_period,0)),"")))</f>
        <v>934093.04191352089</v>
      </c>
      <c r="D78" s="113">
        <f t="shared" ca="1" si="32"/>
        <v>1798191.3785529889</v>
      </c>
      <c r="E78" s="113">
        <f t="shared" ca="1" si="32"/>
        <v>1663183.7975617542</v>
      </c>
      <c r="F78" s="113">
        <f t="shared" ca="1" si="32"/>
        <v>1538638.0586399515</v>
      </c>
      <c r="G78" s="113">
        <f t="shared" ca="1" si="32"/>
        <v>1423059.6129205187</v>
      </c>
      <c r="H78" s="113">
        <f t="shared" ca="1" si="32"/>
        <v>1316448.4604034554</v>
      </c>
      <c r="I78" s="113">
        <f t="shared" ca="1" si="32"/>
        <v>1217559.143699544</v>
      </c>
      <c r="J78" s="113">
        <f t="shared" ca="1" si="32"/>
        <v>1126391.6628087845</v>
      </c>
      <c r="K78" s="113">
        <f t="shared" ca="1" si="32"/>
        <v>1111446.1741381681</v>
      </c>
      <c r="L78" s="113">
        <f t="shared" ca="1" si="32"/>
        <v>1111197.0826603244</v>
      </c>
      <c r="M78" s="113">
        <f t="shared" ca="1" si="32"/>
        <v>1111446.1741381681</v>
      </c>
      <c r="N78" s="113">
        <f t="shared" ca="1" si="32"/>
        <v>1111197.0826603244</v>
      </c>
      <c r="O78" s="113">
        <f t="shared" ca="1" si="32"/>
        <v>1111446.1741381681</v>
      </c>
      <c r="P78" s="113">
        <f t="shared" ca="1" si="32"/>
        <v>1111197.0826603244</v>
      </c>
      <c r="Q78" s="113">
        <f t="shared" ca="1" si="32"/>
        <v>1111446.1741381681</v>
      </c>
      <c r="R78" s="113">
        <f t="shared" ca="1" si="32"/>
        <v>1111197.0826603244</v>
      </c>
      <c r="S78" s="113">
        <f t="shared" ca="1" si="32"/>
        <v>1111446.1741381681</v>
      </c>
      <c r="T78" s="113">
        <f t="shared" ca="1" si="32"/>
        <v>1111197.0826603244</v>
      </c>
      <c r="U78" s="113">
        <f t="shared" ca="1" si="32"/>
        <v>1111446.1741381681</v>
      </c>
      <c r="V78" s="113">
        <f t="shared" ca="1" si="32"/>
        <v>1111197.0826603244</v>
      </c>
      <c r="W78" s="114">
        <f t="shared" ca="1" si="32"/>
        <v>555723.08706908405</v>
      </c>
      <c r="X78" s="111">
        <f t="shared" ca="1" si="3"/>
        <v>24909147.784360562</v>
      </c>
    </row>
    <row r="79" spans="1:24" ht="15" customHeight="1" x14ac:dyDescent="0.25">
      <c r="A79" s="79">
        <f>IF('Cash Flow Analysis'!C95="","",'Cash Flow Analysis'!C95)</f>
        <v>28</v>
      </c>
      <c r="B79" s="1090">
        <f ca="1">IF(A79="","",IF(A79&lt;1,0,IF(A79=1,$B$44-'Cash Flow Analysis'!I95,-'Cash Flow Analysis'!I95)))</f>
        <v>25382421.592263408</v>
      </c>
      <c r="C79" s="112">
        <f t="shared" ref="C79:W79" ca="1" si="33">IF($B$79="","",IF(AND($B$42="Straight Line",C48&lt;=depr_length),$B$79/depr_length,IF(AND($B$42="MACRS",C48&lt;=depr_length+1),$B$79*INDEX(MACRS_Table,MATCH(C48,recovery_year,0),MATCH($B$43,recovery_period,0)),"")))</f>
        <v>951840.80970987771</v>
      </c>
      <c r="D79" s="113">
        <f t="shared" ca="1" si="33"/>
        <v>1832357.0147454955</v>
      </c>
      <c r="E79" s="113">
        <f t="shared" ca="1" si="33"/>
        <v>1694784.2897154277</v>
      </c>
      <c r="F79" s="113">
        <f t="shared" ca="1" si="33"/>
        <v>1567872.1817541106</v>
      </c>
      <c r="G79" s="113">
        <f t="shared" ca="1" si="33"/>
        <v>1450097.7455660086</v>
      </c>
      <c r="H79" s="113">
        <f t="shared" ca="1" si="33"/>
        <v>1341460.9811511212</v>
      </c>
      <c r="I79" s="113">
        <f t="shared" ca="1" si="33"/>
        <v>1240692.7674298354</v>
      </c>
      <c r="J79" s="113">
        <f t="shared" ca="1" si="33"/>
        <v>1147793.1044021514</v>
      </c>
      <c r="K79" s="113">
        <f t="shared" ca="1" si="33"/>
        <v>1132563.6514467932</v>
      </c>
      <c r="L79" s="113">
        <f t="shared" ca="1" si="33"/>
        <v>1132309.8272308705</v>
      </c>
      <c r="M79" s="113">
        <f t="shared" ca="1" si="33"/>
        <v>1132563.6514467932</v>
      </c>
      <c r="N79" s="113">
        <f t="shared" ca="1" si="33"/>
        <v>1132309.8272308705</v>
      </c>
      <c r="O79" s="113">
        <f t="shared" ca="1" si="33"/>
        <v>1132563.6514467932</v>
      </c>
      <c r="P79" s="113">
        <f t="shared" ca="1" si="33"/>
        <v>1132309.8272308705</v>
      </c>
      <c r="Q79" s="113">
        <f t="shared" ca="1" si="33"/>
        <v>1132563.6514467932</v>
      </c>
      <c r="R79" s="113">
        <f t="shared" ca="1" si="33"/>
        <v>1132309.8272308705</v>
      </c>
      <c r="S79" s="113">
        <f t="shared" ca="1" si="33"/>
        <v>1132563.6514467932</v>
      </c>
      <c r="T79" s="113">
        <f t="shared" ca="1" si="33"/>
        <v>1132309.8272308705</v>
      </c>
      <c r="U79" s="113">
        <f t="shared" ca="1" si="33"/>
        <v>1132563.6514467932</v>
      </c>
      <c r="V79" s="113">
        <f t="shared" ca="1" si="33"/>
        <v>1132309.8272308705</v>
      </c>
      <c r="W79" s="114">
        <f t="shared" ca="1" si="33"/>
        <v>566281.82572339661</v>
      </c>
      <c r="X79" s="111">
        <f t="shared" ca="1" si="3"/>
        <v>25382421.592263408</v>
      </c>
    </row>
    <row r="80" spans="1:24" ht="15" customHeight="1" x14ac:dyDescent="0.25">
      <c r="A80" s="79">
        <f>IF('Cash Flow Analysis'!C96="","",'Cash Flow Analysis'!C96)</f>
        <v>29</v>
      </c>
      <c r="B80" s="1090">
        <f ca="1">IF(A80="","",IF(A80&lt;1,0,IF(A80=1,$B$44-'Cash Flow Analysis'!I96,-'Cash Flow Analysis'!I96)))</f>
        <v>25864687.602516409</v>
      </c>
      <c r="C80" s="112">
        <f t="shared" ref="C80:W80" ca="1" si="34">IF($B$80="","",IF(AND($B$42="Straight Line",C48&lt;=depr_length),$B$80/depr_length,IF(AND($B$42="MACRS",C48&lt;=depr_length+1),$B$80*INDEX(MACRS_Table,MATCH(C48,recovery_year,0),MATCH($B$43,recovery_period,0)),"")))</f>
        <v>969925.78509436524</v>
      </c>
      <c r="D80" s="113">
        <f t="shared" ca="1" si="34"/>
        <v>1867171.7980256598</v>
      </c>
      <c r="E80" s="113">
        <f t="shared" ca="1" si="34"/>
        <v>1726985.1912200206</v>
      </c>
      <c r="F80" s="113">
        <f t="shared" ca="1" si="34"/>
        <v>1597661.7532074386</v>
      </c>
      <c r="G80" s="113">
        <f t="shared" ca="1" si="34"/>
        <v>1477649.6027317625</v>
      </c>
      <c r="H80" s="113">
        <f t="shared" ca="1" si="34"/>
        <v>1366948.7397929924</v>
      </c>
      <c r="I80" s="113">
        <f t="shared" ca="1" si="34"/>
        <v>1264265.9300110021</v>
      </c>
      <c r="J80" s="113">
        <f t="shared" ca="1" si="34"/>
        <v>1169601.1733857922</v>
      </c>
      <c r="K80" s="113">
        <f t="shared" ca="1" si="34"/>
        <v>1154082.3608242823</v>
      </c>
      <c r="L80" s="113">
        <f t="shared" ca="1" si="34"/>
        <v>1153823.713948257</v>
      </c>
      <c r="M80" s="113">
        <f t="shared" ca="1" si="34"/>
        <v>1154082.3608242823</v>
      </c>
      <c r="N80" s="113">
        <f t="shared" ca="1" si="34"/>
        <v>1153823.713948257</v>
      </c>
      <c r="O80" s="113">
        <f t="shared" ca="1" si="34"/>
        <v>1154082.3608242823</v>
      </c>
      <c r="P80" s="113">
        <f t="shared" ca="1" si="34"/>
        <v>1153823.713948257</v>
      </c>
      <c r="Q80" s="113">
        <f t="shared" ca="1" si="34"/>
        <v>1154082.3608242823</v>
      </c>
      <c r="R80" s="113">
        <f t="shared" ca="1" si="34"/>
        <v>1153823.713948257</v>
      </c>
      <c r="S80" s="113">
        <f t="shared" ca="1" si="34"/>
        <v>1154082.3608242823</v>
      </c>
      <c r="T80" s="113">
        <f t="shared" ca="1" si="34"/>
        <v>1153823.713948257</v>
      </c>
      <c r="U80" s="113">
        <f t="shared" ca="1" si="34"/>
        <v>1154082.3608242823</v>
      </c>
      <c r="V80" s="113">
        <f t="shared" ca="1" si="34"/>
        <v>1153823.713948257</v>
      </c>
      <c r="W80" s="114">
        <f t="shared" ca="1" si="34"/>
        <v>577041.18041214114</v>
      </c>
      <c r="X80" s="111">
        <f t="shared" ca="1" si="3"/>
        <v>25864687.602516413</v>
      </c>
    </row>
    <row r="81" spans="1:24" ht="15" customHeight="1" x14ac:dyDescent="0.25">
      <c r="A81" s="79">
        <f>IF('Cash Flow Analysis'!C97="","",'Cash Flow Analysis'!C97)</f>
        <v>30</v>
      </c>
      <c r="B81" s="1090">
        <f ca="1">IF(A81="","",IF(A81&lt;1,0,IF(A81=1,$B$44-'Cash Flow Analysis'!I97,-'Cash Flow Analysis'!I97)))</f>
        <v>26356116.666964218</v>
      </c>
      <c r="C81" s="112">
        <f t="shared" ref="C81:W81" ca="1" si="35">IF($B$81="","",IF(AND($B$42="Straight Line",C48&lt;=depr_length),$B$81/depr_length,IF(AND($B$42="MACRS",C48&lt;=depr_length+1),$B$81*INDEX(MACRS_Table,MATCH(C48,recovery_year,0),MATCH($B$43,recovery_period,0)),"")))</f>
        <v>988354.37501115818</v>
      </c>
      <c r="D81" s="113">
        <f t="shared" ca="1" si="35"/>
        <v>1902648.0621881471</v>
      </c>
      <c r="E81" s="113">
        <f t="shared" ca="1" si="35"/>
        <v>1759797.9098532007</v>
      </c>
      <c r="F81" s="113">
        <f t="shared" ca="1" si="35"/>
        <v>1628017.3265183796</v>
      </c>
      <c r="G81" s="113">
        <f t="shared" ca="1" si="35"/>
        <v>1505724.9451836657</v>
      </c>
      <c r="H81" s="113">
        <f t="shared" ca="1" si="35"/>
        <v>1392920.765849059</v>
      </c>
      <c r="I81" s="113">
        <f t="shared" ca="1" si="35"/>
        <v>1288286.9826812111</v>
      </c>
      <c r="J81" s="113">
        <f t="shared" ca="1" si="35"/>
        <v>1191823.595680122</v>
      </c>
      <c r="K81" s="113">
        <f t="shared" ca="1" si="35"/>
        <v>1176009.9256799433</v>
      </c>
      <c r="L81" s="113">
        <f t="shared" ca="1" si="35"/>
        <v>1175746.3645132736</v>
      </c>
      <c r="M81" s="113">
        <f t="shared" ca="1" si="35"/>
        <v>1176009.9256799433</v>
      </c>
      <c r="N81" s="113">
        <f t="shared" ca="1" si="35"/>
        <v>1175746.3645132736</v>
      </c>
      <c r="O81" s="113">
        <f t="shared" ca="1" si="35"/>
        <v>1176009.9256799433</v>
      </c>
      <c r="P81" s="113">
        <f t="shared" ca="1" si="35"/>
        <v>1175746.3645132736</v>
      </c>
      <c r="Q81" s="113">
        <f t="shared" ca="1" si="35"/>
        <v>1176009.9256799433</v>
      </c>
      <c r="R81" s="113">
        <f t="shared" ca="1" si="35"/>
        <v>1175746.3645132736</v>
      </c>
      <c r="S81" s="113">
        <f t="shared" ca="1" si="35"/>
        <v>1176009.9256799433</v>
      </c>
      <c r="T81" s="113">
        <f t="shared" ca="1" si="35"/>
        <v>1175746.3645132736</v>
      </c>
      <c r="U81" s="113">
        <f t="shared" ca="1" si="35"/>
        <v>1176009.9256799433</v>
      </c>
      <c r="V81" s="113">
        <f t="shared" ca="1" si="35"/>
        <v>1175746.3645132736</v>
      </c>
      <c r="W81" s="114">
        <f t="shared" ca="1" si="35"/>
        <v>588004.96283997165</v>
      </c>
      <c r="X81" s="111">
        <f t="shared" ca="1" si="3"/>
        <v>26356116.666964222</v>
      </c>
    </row>
    <row r="82" spans="1:24" ht="15" customHeight="1" x14ac:dyDescent="0.25">
      <c r="A82" s="79">
        <f>IF('Cash Flow Analysis'!C98="","",'Cash Flow Analysis'!C98)</f>
        <v>31</v>
      </c>
      <c r="B82" s="1090">
        <f ca="1">IF(A82="","",IF(A82&lt;1,0,IF(A82=1,$B$44-'Cash Flow Analysis'!I98,-'Cash Flow Analysis'!I98)))</f>
        <v>26856882.883636545</v>
      </c>
      <c r="C82" s="112">
        <f t="shared" ref="C82:W82" ca="1" si="36">IF($B$82="","",IF(AND($B$42="Straight Line",C48&lt;=depr_length),$B$82/depr_length,IF(AND($B$42="MACRS",C48&lt;=depr_length+1),$B$82*INDEX(MACRS_Table,MATCH(C48,recovery_year,0),MATCH($B$43,recovery_period,0)),"")))</f>
        <v>1007133.1081363704</v>
      </c>
      <c r="D82" s="113">
        <f t="shared" ca="1" si="36"/>
        <v>1938798.3753697223</v>
      </c>
      <c r="E82" s="113">
        <f t="shared" ca="1" si="36"/>
        <v>1793234.0701404121</v>
      </c>
      <c r="F82" s="113">
        <f t="shared" ca="1" si="36"/>
        <v>1658949.6557222293</v>
      </c>
      <c r="G82" s="113">
        <f t="shared" ca="1" si="36"/>
        <v>1534333.719142156</v>
      </c>
      <c r="H82" s="113">
        <f t="shared" ca="1" si="36"/>
        <v>1419386.2604001914</v>
      </c>
      <c r="I82" s="113">
        <f t="shared" ca="1" si="36"/>
        <v>1312764.4353521543</v>
      </c>
      <c r="J82" s="113">
        <f t="shared" ca="1" si="36"/>
        <v>1214468.2439980446</v>
      </c>
      <c r="K82" s="113">
        <f t="shared" ca="1" si="36"/>
        <v>1198354.1142678626</v>
      </c>
      <c r="L82" s="113">
        <f t="shared" ca="1" si="36"/>
        <v>1198085.5454390263</v>
      </c>
      <c r="M82" s="113">
        <f t="shared" ca="1" si="36"/>
        <v>1198354.1142678626</v>
      </c>
      <c r="N82" s="113">
        <f t="shared" ca="1" si="36"/>
        <v>1198085.5454390263</v>
      </c>
      <c r="O82" s="113">
        <f t="shared" ca="1" si="36"/>
        <v>1198354.1142678626</v>
      </c>
      <c r="P82" s="113">
        <f t="shared" ca="1" si="36"/>
        <v>1198085.5454390263</v>
      </c>
      <c r="Q82" s="113">
        <f t="shared" ca="1" si="36"/>
        <v>1198354.1142678626</v>
      </c>
      <c r="R82" s="113">
        <f t="shared" ca="1" si="36"/>
        <v>1198085.5454390263</v>
      </c>
      <c r="S82" s="113">
        <f t="shared" ca="1" si="36"/>
        <v>1198354.1142678626</v>
      </c>
      <c r="T82" s="113">
        <f t="shared" ca="1" si="36"/>
        <v>1198085.5454390263</v>
      </c>
      <c r="U82" s="113">
        <f t="shared" ca="1" si="36"/>
        <v>1198354.1142678626</v>
      </c>
      <c r="V82" s="113">
        <f t="shared" ca="1" si="36"/>
        <v>1198085.5454390263</v>
      </c>
      <c r="W82" s="114">
        <f t="shared" ca="1" si="36"/>
        <v>599177.05713393132</v>
      </c>
      <c r="X82" s="111">
        <f t="shared" ca="1" si="3"/>
        <v>26856882.883636553</v>
      </c>
    </row>
    <row r="83" spans="1:24" ht="15" customHeight="1" x14ac:dyDescent="0.25">
      <c r="A83" s="79">
        <f>IF('Cash Flow Analysis'!C99="","",'Cash Flow Analysis'!C99)</f>
        <v>32</v>
      </c>
      <c r="B83" s="1090">
        <f ca="1">IF(A83="","",IF(A83&lt;1,0,IF(A83=1,$B$44-'Cash Flow Analysis'!I99,-'Cash Flow Analysis'!I99)))</f>
        <v>27367163.658425637</v>
      </c>
      <c r="C83" s="112">
        <f t="shared" ref="C83:W83" ca="1" si="37">IF($B$83="","",IF(AND($B$42="Straight Line",C48&lt;=depr_length),$B$83/depr_length,IF(AND($B$42="MACRS",C48&lt;=depr_length+1),$B$83*INDEX(MACRS_Table,MATCH(C48,recovery_year,0),MATCH($B$43,recovery_period,0)),"")))</f>
        <v>1026268.6371909613</v>
      </c>
      <c r="D83" s="113">
        <f t="shared" ca="1" si="37"/>
        <v>1975635.5445017468</v>
      </c>
      <c r="E83" s="113">
        <f t="shared" ca="1" si="37"/>
        <v>1827305.5174730797</v>
      </c>
      <c r="F83" s="113">
        <f t="shared" ca="1" si="37"/>
        <v>1690469.6991809516</v>
      </c>
      <c r="G83" s="113">
        <f t="shared" ca="1" si="37"/>
        <v>1563486.0598058566</v>
      </c>
      <c r="H83" s="113">
        <f t="shared" ca="1" si="37"/>
        <v>1446354.5993477949</v>
      </c>
      <c r="I83" s="113">
        <f t="shared" ca="1" si="37"/>
        <v>1337706.9596238451</v>
      </c>
      <c r="J83" s="113">
        <f t="shared" ca="1" si="37"/>
        <v>1237543.1406340073</v>
      </c>
      <c r="K83" s="113">
        <f t="shared" ca="1" si="37"/>
        <v>1221122.8424389518</v>
      </c>
      <c r="L83" s="113">
        <f t="shared" ca="1" si="37"/>
        <v>1220849.1708023676</v>
      </c>
      <c r="M83" s="113">
        <f t="shared" ca="1" si="37"/>
        <v>1221122.8424389518</v>
      </c>
      <c r="N83" s="113">
        <f t="shared" ca="1" si="37"/>
        <v>1220849.1708023676</v>
      </c>
      <c r="O83" s="113">
        <f t="shared" ca="1" si="37"/>
        <v>1221122.8424389518</v>
      </c>
      <c r="P83" s="113">
        <f t="shared" ca="1" si="37"/>
        <v>1220849.1708023676</v>
      </c>
      <c r="Q83" s="113">
        <f t="shared" ca="1" si="37"/>
        <v>1221122.8424389518</v>
      </c>
      <c r="R83" s="113">
        <f t="shared" ca="1" si="37"/>
        <v>1220849.1708023676</v>
      </c>
      <c r="S83" s="113">
        <f t="shared" ca="1" si="37"/>
        <v>1221122.8424389518</v>
      </c>
      <c r="T83" s="113">
        <f t="shared" ca="1" si="37"/>
        <v>1220849.1708023676</v>
      </c>
      <c r="U83" s="113">
        <f t="shared" ca="1" si="37"/>
        <v>1221122.8424389518</v>
      </c>
      <c r="V83" s="113">
        <f t="shared" ca="1" si="37"/>
        <v>1220849.1708023676</v>
      </c>
      <c r="W83" s="114">
        <f t="shared" ca="1" si="37"/>
        <v>610561.42121947592</v>
      </c>
      <c r="X83" s="111">
        <f t="shared" ca="1" si="3"/>
        <v>27367163.658425625</v>
      </c>
    </row>
    <row r="84" spans="1:24" ht="15" customHeight="1" x14ac:dyDescent="0.25">
      <c r="A84" s="79">
        <f>IF('Cash Flow Analysis'!C100="","",'Cash Flow Analysis'!C100)</f>
        <v>33</v>
      </c>
      <c r="B84" s="1090">
        <f ca="1">IF(A84="","",IF(A84&lt;1,0,IF(A84=1,$B$44-'Cash Flow Analysis'!I100,-'Cash Flow Analysis'!I100)))</f>
        <v>27887139.767935723</v>
      </c>
      <c r="C84" s="112">
        <f t="shared" ref="C84:W84" ca="1" si="38">IF($B$84="","",IF(AND($B$42="Straight Line",C48&lt;=depr_length),$B$84/depr_length,IF(AND($B$42="MACRS",C48&lt;=depr_length+1),$B$84*INDEX(MACRS_Table,MATCH(C48,recovery_year,0),MATCH($B$43,recovery_period,0)),"")))</f>
        <v>1045767.7412975896</v>
      </c>
      <c r="D84" s="113">
        <f t="shared" ca="1" si="38"/>
        <v>2013172.61984728</v>
      </c>
      <c r="E84" s="113">
        <f t="shared" ca="1" si="38"/>
        <v>1862024.3223050681</v>
      </c>
      <c r="F84" s="113">
        <f t="shared" ca="1" si="38"/>
        <v>1722588.6234653895</v>
      </c>
      <c r="G84" s="113">
        <f t="shared" ca="1" si="38"/>
        <v>1593192.2949421678</v>
      </c>
      <c r="H84" s="113">
        <f t="shared" ca="1" si="38"/>
        <v>1473835.3367354029</v>
      </c>
      <c r="I84" s="113">
        <f t="shared" ca="1" si="38"/>
        <v>1363123.3918566981</v>
      </c>
      <c r="J84" s="113">
        <f t="shared" ca="1" si="38"/>
        <v>1261056.4603060535</v>
      </c>
      <c r="K84" s="113">
        <f t="shared" ca="1" si="38"/>
        <v>1244324.1764452921</v>
      </c>
      <c r="L84" s="113">
        <f t="shared" ca="1" si="38"/>
        <v>1244045.3050476124</v>
      </c>
      <c r="M84" s="113">
        <f t="shared" ca="1" si="38"/>
        <v>1244324.1764452921</v>
      </c>
      <c r="N84" s="113">
        <f t="shared" ca="1" si="38"/>
        <v>1244045.3050476124</v>
      </c>
      <c r="O84" s="113">
        <f t="shared" ca="1" si="38"/>
        <v>1244324.1764452921</v>
      </c>
      <c r="P84" s="113">
        <f t="shared" ca="1" si="38"/>
        <v>1244045.3050476124</v>
      </c>
      <c r="Q84" s="113">
        <f t="shared" ca="1" si="38"/>
        <v>1244324.1764452921</v>
      </c>
      <c r="R84" s="113">
        <f t="shared" ca="1" si="38"/>
        <v>1244045.3050476124</v>
      </c>
      <c r="S84" s="113">
        <f t="shared" ca="1" si="38"/>
        <v>1244324.1764452921</v>
      </c>
      <c r="T84" s="113">
        <f t="shared" ca="1" si="38"/>
        <v>1244045.3050476124</v>
      </c>
      <c r="U84" s="113">
        <f t="shared" ca="1" si="38"/>
        <v>1244324.1764452921</v>
      </c>
      <c r="V84" s="113">
        <f t="shared" ca="1" si="38"/>
        <v>1244045.3050476124</v>
      </c>
      <c r="W84" s="114">
        <f t="shared" ca="1" si="38"/>
        <v>622162.08822264604</v>
      </c>
      <c r="X84" s="111">
        <f t="shared" ca="1" si="3"/>
        <v>27887139.767935716</v>
      </c>
    </row>
    <row r="85" spans="1:24" ht="15" customHeight="1" x14ac:dyDescent="0.25">
      <c r="A85" s="79">
        <f>IF('Cash Flow Analysis'!C101="","",'Cash Flow Analysis'!C101)</f>
        <v>34</v>
      </c>
      <c r="B85" s="1090">
        <f ca="1">IF(A85="","",IF(A85&lt;1,0,IF(A85=1,$B$44-'Cash Flow Analysis'!I101,-'Cash Flow Analysis'!I101)))</f>
        <v>28416995.423526496</v>
      </c>
      <c r="C85" s="112">
        <f t="shared" ref="C85:W85" ca="1" si="39">IF($B$85="","",IF(AND($B$42="Straight Line",C48&lt;=depr_length),$B$85/depr_length,IF(AND($B$42="MACRS",C48&lt;=depr_length+1),$B$85*INDEX(MACRS_Table,MATCH(C48,recovery_year,0),MATCH($B$43,recovery_period,0)),"")))</f>
        <v>1065637.3283822436</v>
      </c>
      <c r="D85" s="113">
        <f t="shared" ca="1" si="39"/>
        <v>2051422.899624378</v>
      </c>
      <c r="E85" s="113">
        <f t="shared" ca="1" si="39"/>
        <v>1897402.784428864</v>
      </c>
      <c r="F85" s="113">
        <f t="shared" ca="1" si="39"/>
        <v>1755317.8073112315</v>
      </c>
      <c r="G85" s="113">
        <f t="shared" ca="1" si="39"/>
        <v>1623462.9485460687</v>
      </c>
      <c r="H85" s="113">
        <f t="shared" ca="1" si="39"/>
        <v>1501838.2081333753</v>
      </c>
      <c r="I85" s="113">
        <f t="shared" ca="1" si="39"/>
        <v>1389022.7363019751</v>
      </c>
      <c r="J85" s="113">
        <f t="shared" ca="1" si="39"/>
        <v>1285016.5330518682</v>
      </c>
      <c r="K85" s="113">
        <f t="shared" ca="1" si="39"/>
        <v>1267966.3357977523</v>
      </c>
      <c r="L85" s="113">
        <f t="shared" ca="1" si="39"/>
        <v>1267682.1658435168</v>
      </c>
      <c r="M85" s="113">
        <f t="shared" ca="1" si="39"/>
        <v>1267966.3357977523</v>
      </c>
      <c r="N85" s="113">
        <f t="shared" ca="1" si="39"/>
        <v>1267682.1658435168</v>
      </c>
      <c r="O85" s="113">
        <f t="shared" ca="1" si="39"/>
        <v>1267966.3357977523</v>
      </c>
      <c r="P85" s="113">
        <f t="shared" ca="1" si="39"/>
        <v>1267682.1658435168</v>
      </c>
      <c r="Q85" s="113">
        <f t="shared" ca="1" si="39"/>
        <v>1267966.3357977523</v>
      </c>
      <c r="R85" s="113">
        <f t="shared" ca="1" si="39"/>
        <v>1267682.1658435168</v>
      </c>
      <c r="S85" s="113">
        <f t="shared" ca="1" si="39"/>
        <v>1267966.3357977523</v>
      </c>
      <c r="T85" s="113">
        <f t="shared" ca="1" si="39"/>
        <v>1267682.1658435168</v>
      </c>
      <c r="U85" s="113">
        <f t="shared" ca="1" si="39"/>
        <v>1267966.3357977523</v>
      </c>
      <c r="V85" s="113">
        <f t="shared" ca="1" si="39"/>
        <v>1267682.1658435168</v>
      </c>
      <c r="W85" s="114">
        <f t="shared" ca="1" si="39"/>
        <v>633983.16789887613</v>
      </c>
      <c r="X85" s="111">
        <f t="shared" ca="1" si="3"/>
        <v>28416995.423526496</v>
      </c>
    </row>
    <row r="86" spans="1:24" ht="15" customHeight="1" x14ac:dyDescent="0.25">
      <c r="A86" s="79">
        <f>IF('Cash Flow Analysis'!C102="","",'Cash Flow Analysis'!C102)</f>
        <v>35</v>
      </c>
      <c r="B86" s="1090">
        <f ca="1">IF(A86="","",IF(A86&lt;1,0,IF(A86=1,$B$44-'Cash Flow Analysis'!I102,-'Cash Flow Analysis'!I102)))</f>
        <v>28956918.3365735</v>
      </c>
      <c r="C86" s="112">
        <f t="shared" ref="C86:W86" ca="1" si="40">IF($B$86="","",IF(AND($B$42="Straight Line",C48&lt;=depr_length),$B$86/depr_length,IF(AND($B$42="MACRS",C48&lt;=depr_length+1),$B$86*INDEX(MACRS_Table,MATCH(C48,recovery_year,0),MATCH($B$43,recovery_period,0)),"")))</f>
        <v>1085884.4376215062</v>
      </c>
      <c r="D86" s="113">
        <f t="shared" ca="1" si="40"/>
        <v>2090399.9347172412</v>
      </c>
      <c r="E86" s="113">
        <f t="shared" ca="1" si="40"/>
        <v>1933453.4373330125</v>
      </c>
      <c r="F86" s="113">
        <f t="shared" ca="1" si="40"/>
        <v>1788668.8456501451</v>
      </c>
      <c r="G86" s="113">
        <f t="shared" ca="1" si="40"/>
        <v>1654308.7445684441</v>
      </c>
      <c r="H86" s="113">
        <f t="shared" ca="1" si="40"/>
        <v>1530373.1340879095</v>
      </c>
      <c r="I86" s="113">
        <f t="shared" ca="1" si="40"/>
        <v>1415414.1682917126</v>
      </c>
      <c r="J86" s="113">
        <f t="shared" ca="1" si="40"/>
        <v>1309431.8471798538</v>
      </c>
      <c r="K86" s="113">
        <f t="shared" ca="1" si="40"/>
        <v>1292057.6961779096</v>
      </c>
      <c r="L86" s="113">
        <f t="shared" ca="1" si="40"/>
        <v>1291768.1269945437</v>
      </c>
      <c r="M86" s="113">
        <f t="shared" ca="1" si="40"/>
        <v>1292057.6961779096</v>
      </c>
      <c r="N86" s="113">
        <f t="shared" ca="1" si="40"/>
        <v>1291768.1269945437</v>
      </c>
      <c r="O86" s="113">
        <f t="shared" ca="1" si="40"/>
        <v>1292057.6961779096</v>
      </c>
      <c r="P86" s="113">
        <f t="shared" ca="1" si="40"/>
        <v>1291768.1269945437</v>
      </c>
      <c r="Q86" s="113">
        <f t="shared" ca="1" si="40"/>
        <v>1292057.6961779096</v>
      </c>
      <c r="R86" s="113">
        <f t="shared" ca="1" si="40"/>
        <v>1291768.1269945437</v>
      </c>
      <c r="S86" s="113">
        <f t="shared" ca="1" si="40"/>
        <v>1292057.6961779096</v>
      </c>
      <c r="T86" s="113">
        <f t="shared" ca="1" si="40"/>
        <v>1291768.1269945437</v>
      </c>
      <c r="U86" s="113">
        <f t="shared" ca="1" si="40"/>
        <v>1292057.6961779096</v>
      </c>
      <c r="V86" s="113">
        <f t="shared" ca="1" si="40"/>
        <v>1291768.1269945437</v>
      </c>
      <c r="W86" s="114">
        <f t="shared" ca="1" si="40"/>
        <v>646028.84808895481</v>
      </c>
      <c r="X86" s="111">
        <f t="shared" ca="1" si="3"/>
        <v>28956918.3365735</v>
      </c>
    </row>
    <row r="87" spans="1:24" ht="15" customHeight="1" x14ac:dyDescent="0.25">
      <c r="A87" s="79">
        <f>IF('Cash Flow Analysis'!C103="","",'Cash Flow Analysis'!C103)</f>
        <v>36</v>
      </c>
      <c r="B87" s="1090">
        <f ca="1">IF(A87="","",IF(A87&lt;1,0,IF(A87=1,$B$44-'Cash Flow Analysis'!I103,-'Cash Flow Analysis'!I103)))</f>
        <v>29507099.784968399</v>
      </c>
      <c r="C87" s="112">
        <f t="shared" ref="C87:W87" ca="1" si="41">IF($B$87="","",IF(AND($B$42="Straight Line",C48&lt;=depr_length),$B$87/depr_length,IF(AND($B$42="MACRS",C48&lt;=depr_length+1),$B$87*INDEX(MACRS_Table,MATCH(C48,recovery_year,0),MATCH($B$43,recovery_period,0)),"")))</f>
        <v>1106516.2419363149</v>
      </c>
      <c r="D87" s="113">
        <f t="shared" ca="1" si="41"/>
        <v>2130117.5334768686</v>
      </c>
      <c r="E87" s="113">
        <f t="shared" ca="1" si="41"/>
        <v>1970189.0526423398</v>
      </c>
      <c r="F87" s="113">
        <f t="shared" ca="1" si="41"/>
        <v>1822653.553717498</v>
      </c>
      <c r="G87" s="113">
        <f t="shared" ca="1" si="41"/>
        <v>1685740.6107152447</v>
      </c>
      <c r="H87" s="113">
        <f t="shared" ca="1" si="41"/>
        <v>1559450.2236355799</v>
      </c>
      <c r="I87" s="113">
        <f t="shared" ca="1" si="41"/>
        <v>1442307.0374892554</v>
      </c>
      <c r="J87" s="113">
        <f t="shared" ca="1" si="41"/>
        <v>1334311.0522762712</v>
      </c>
      <c r="K87" s="113">
        <f t="shared" ca="1" si="41"/>
        <v>1316606.7924052898</v>
      </c>
      <c r="L87" s="113">
        <f t="shared" ca="1" si="41"/>
        <v>1316311.7214074403</v>
      </c>
      <c r="M87" s="113">
        <f t="shared" ca="1" si="41"/>
        <v>1316606.7924052898</v>
      </c>
      <c r="N87" s="113">
        <f t="shared" ca="1" si="41"/>
        <v>1316311.7214074403</v>
      </c>
      <c r="O87" s="113">
        <f t="shared" ca="1" si="41"/>
        <v>1316606.7924052898</v>
      </c>
      <c r="P87" s="113">
        <f t="shared" ca="1" si="41"/>
        <v>1316311.7214074403</v>
      </c>
      <c r="Q87" s="113">
        <f t="shared" ca="1" si="41"/>
        <v>1316606.7924052898</v>
      </c>
      <c r="R87" s="113">
        <f t="shared" ca="1" si="41"/>
        <v>1316311.7214074403</v>
      </c>
      <c r="S87" s="113">
        <f t="shared" ca="1" si="41"/>
        <v>1316606.7924052898</v>
      </c>
      <c r="T87" s="113">
        <f t="shared" ca="1" si="41"/>
        <v>1316311.7214074403</v>
      </c>
      <c r="U87" s="113">
        <f t="shared" ca="1" si="41"/>
        <v>1316606.7924052898</v>
      </c>
      <c r="V87" s="113">
        <f t="shared" ca="1" si="41"/>
        <v>1316311.7214074403</v>
      </c>
      <c r="W87" s="114">
        <f t="shared" ca="1" si="41"/>
        <v>658303.39620264492</v>
      </c>
      <c r="X87" s="111">
        <f t="shared" ca="1" si="3"/>
        <v>29507099.784968391</v>
      </c>
    </row>
    <row r="88" spans="1:24" ht="15" customHeight="1" x14ac:dyDescent="0.25">
      <c r="A88" s="79">
        <f>IF('Cash Flow Analysis'!C104="","",'Cash Flow Analysis'!C104)</f>
        <v>37</v>
      </c>
      <c r="B88" s="1090">
        <f ca="1">IF(A88="","",IF(A88&lt;1,0,IF(A88=1,$B$44-'Cash Flow Analysis'!I104,-'Cash Flow Analysis'!I104)))</f>
        <v>30067734.680882797</v>
      </c>
      <c r="C88" s="112">
        <f t="shared" ref="C88:W88" ca="1" si="42">IF($B$88="","",IF(AND($B$42="Straight Line",C48&lt;=depr_length),$B$88/depr_length,IF(AND($B$42="MACRS",C48&lt;=depr_length+1),$B$88*INDEX(MACRS_Table,MATCH(C48,recovery_year,0),MATCH($B$43,recovery_period,0)),"")))</f>
        <v>1127540.0505331049</v>
      </c>
      <c r="D88" s="113">
        <f t="shared" ca="1" si="42"/>
        <v>2170589.7666129293</v>
      </c>
      <c r="E88" s="113">
        <f t="shared" ca="1" si="42"/>
        <v>2007622.6446425442</v>
      </c>
      <c r="F88" s="113">
        <f t="shared" ca="1" si="42"/>
        <v>1857283.9712381302</v>
      </c>
      <c r="G88" s="113">
        <f t="shared" ca="1" si="42"/>
        <v>1717769.6823188341</v>
      </c>
      <c r="H88" s="113">
        <f t="shared" ca="1" si="42"/>
        <v>1589079.7778846559</v>
      </c>
      <c r="I88" s="113">
        <f t="shared" ca="1" si="42"/>
        <v>1469710.8712015511</v>
      </c>
      <c r="J88" s="113">
        <f t="shared" ca="1" si="42"/>
        <v>1359662.9622695202</v>
      </c>
      <c r="K88" s="113">
        <f t="shared" ca="1" si="42"/>
        <v>1341622.3214609905</v>
      </c>
      <c r="L88" s="113">
        <f t="shared" ca="1" si="42"/>
        <v>1341321.6441141814</v>
      </c>
      <c r="M88" s="113">
        <f t="shared" ca="1" si="42"/>
        <v>1341622.3214609905</v>
      </c>
      <c r="N88" s="113">
        <f t="shared" ca="1" si="42"/>
        <v>1341321.6441141814</v>
      </c>
      <c r="O88" s="113">
        <f t="shared" ca="1" si="42"/>
        <v>1341622.3214609905</v>
      </c>
      <c r="P88" s="113">
        <f t="shared" ca="1" si="42"/>
        <v>1341321.6441141814</v>
      </c>
      <c r="Q88" s="113">
        <f t="shared" ca="1" si="42"/>
        <v>1341622.3214609905</v>
      </c>
      <c r="R88" s="113">
        <f t="shared" ca="1" si="42"/>
        <v>1341321.6441141814</v>
      </c>
      <c r="S88" s="113">
        <f t="shared" ca="1" si="42"/>
        <v>1341622.3214609905</v>
      </c>
      <c r="T88" s="113">
        <f t="shared" ca="1" si="42"/>
        <v>1341321.6441141814</v>
      </c>
      <c r="U88" s="113">
        <f t="shared" ca="1" si="42"/>
        <v>1341622.3214609905</v>
      </c>
      <c r="V88" s="113">
        <f t="shared" ca="1" si="42"/>
        <v>1341321.6441141814</v>
      </c>
      <c r="W88" s="114">
        <f t="shared" ca="1" si="42"/>
        <v>670811.16073049523</v>
      </c>
      <c r="X88" s="111">
        <f t="shared" ca="1" si="3"/>
        <v>30067734.680882804</v>
      </c>
    </row>
    <row r="89" spans="1:24" ht="15" customHeight="1" x14ac:dyDescent="0.25">
      <c r="A89" s="79">
        <f>IF('Cash Flow Analysis'!C105="","",'Cash Flow Analysis'!C105)</f>
        <v>38</v>
      </c>
      <c r="B89" s="1090">
        <f ca="1">IF(A89="","",IF(A89&lt;1,0,IF(A89=1,$B$44-'Cash Flow Analysis'!I105,-'Cash Flow Analysis'!I105)))</f>
        <v>30639021.639819559</v>
      </c>
      <c r="C89" s="112">
        <f t="shared" ref="C89:W89" ca="1" si="43">IF($B$89="","",IF(AND($B$42="Straight Line",C48&lt;=depr_length),$B$89/depr_length,IF(AND($B$42="MACRS",C48&lt;=depr_length+1),$B$89*INDEX(MACRS_Table,MATCH(C48,recovery_year,0),MATCH($B$43,recovery_period,0)),"")))</f>
        <v>1148963.3114932333</v>
      </c>
      <c r="D89" s="113">
        <f t="shared" ca="1" si="43"/>
        <v>2211830.9721785742</v>
      </c>
      <c r="E89" s="113">
        <f t="shared" ca="1" si="43"/>
        <v>2045767.4748907518</v>
      </c>
      <c r="F89" s="113">
        <f t="shared" ca="1" si="43"/>
        <v>1892572.3666916541</v>
      </c>
      <c r="G89" s="113">
        <f t="shared" ca="1" si="43"/>
        <v>1750407.3062828914</v>
      </c>
      <c r="H89" s="113">
        <f t="shared" ca="1" si="43"/>
        <v>1619272.2936644638</v>
      </c>
      <c r="I89" s="113">
        <f t="shared" ca="1" si="43"/>
        <v>1497635.37775438</v>
      </c>
      <c r="J89" s="113">
        <f t="shared" ca="1" si="43"/>
        <v>1385496.5585526405</v>
      </c>
      <c r="K89" s="113">
        <f t="shared" ca="1" si="43"/>
        <v>1367113.1455687487</v>
      </c>
      <c r="L89" s="113">
        <f t="shared" ca="1" si="43"/>
        <v>1366806.7553523504</v>
      </c>
      <c r="M89" s="113">
        <f t="shared" ca="1" si="43"/>
        <v>1367113.1455687487</v>
      </c>
      <c r="N89" s="113">
        <f t="shared" ca="1" si="43"/>
        <v>1366806.7553523504</v>
      </c>
      <c r="O89" s="113">
        <f t="shared" ca="1" si="43"/>
        <v>1367113.1455687487</v>
      </c>
      <c r="P89" s="113">
        <f t="shared" ca="1" si="43"/>
        <v>1366806.7553523504</v>
      </c>
      <c r="Q89" s="113">
        <f t="shared" ca="1" si="43"/>
        <v>1367113.1455687487</v>
      </c>
      <c r="R89" s="113">
        <f t="shared" ca="1" si="43"/>
        <v>1366806.7553523504</v>
      </c>
      <c r="S89" s="113">
        <f t="shared" ca="1" si="43"/>
        <v>1367113.1455687487</v>
      </c>
      <c r="T89" s="113">
        <f t="shared" ca="1" si="43"/>
        <v>1366806.7553523504</v>
      </c>
      <c r="U89" s="113">
        <f t="shared" ca="1" si="43"/>
        <v>1367113.1455687487</v>
      </c>
      <c r="V89" s="113">
        <f t="shared" ca="1" si="43"/>
        <v>1366806.7553523504</v>
      </c>
      <c r="W89" s="114">
        <f t="shared" ca="1" si="43"/>
        <v>683556.57278437435</v>
      </c>
      <c r="X89" s="111">
        <f t="shared" ca="1" si="3"/>
        <v>30639021.639819559</v>
      </c>
    </row>
    <row r="90" spans="1:24" ht="15" customHeight="1" x14ac:dyDescent="0.25">
      <c r="A90" s="79">
        <f>IF('Cash Flow Analysis'!C106="","",'Cash Flow Analysis'!C106)</f>
        <v>39</v>
      </c>
      <c r="B90" s="1090">
        <f ca="1">IF(A90="","",IF(A90&lt;1,0,IF(A90=1,$B$44-'Cash Flow Analysis'!I106,-'Cash Flow Analysis'!I106)))</f>
        <v>31221163.050976139</v>
      </c>
      <c r="C90" s="112">
        <f t="shared" ref="C90:W90" ca="1" si="44">IF($B$90="","",IF(AND($B$42="Straight Line",C48&lt;=depr_length),$B$90/depr_length,IF(AND($B$42="MACRS",C48&lt;=depr_length+1),$B$90*INDEX(MACRS_Table,MATCH(C48,recovery_year,0),MATCH($B$43,recovery_period,0)),"")))</f>
        <v>1170793.6144116051</v>
      </c>
      <c r="D90" s="113">
        <f t="shared" ca="1" si="44"/>
        <v>2253855.7606499675</v>
      </c>
      <c r="E90" s="113">
        <f t="shared" ca="1" si="44"/>
        <v>2084637.0569136767</v>
      </c>
      <c r="F90" s="113">
        <f t="shared" ca="1" si="44"/>
        <v>1928531.2416587961</v>
      </c>
      <c r="G90" s="113">
        <f t="shared" ca="1" si="44"/>
        <v>1783665.0451022668</v>
      </c>
      <c r="H90" s="113">
        <f t="shared" ca="1" si="44"/>
        <v>1650038.4672440889</v>
      </c>
      <c r="I90" s="113">
        <f t="shared" ca="1" si="44"/>
        <v>1526090.4499317138</v>
      </c>
      <c r="J90" s="113">
        <f t="shared" ca="1" si="44"/>
        <v>1411820.993165141</v>
      </c>
      <c r="K90" s="113">
        <f t="shared" ca="1" si="44"/>
        <v>1393088.2953345552</v>
      </c>
      <c r="L90" s="113">
        <f t="shared" ca="1" si="44"/>
        <v>1392776.0837040455</v>
      </c>
      <c r="M90" s="113">
        <f t="shared" ca="1" si="44"/>
        <v>1393088.2953345552</v>
      </c>
      <c r="N90" s="113">
        <f t="shared" ca="1" si="44"/>
        <v>1392776.0837040455</v>
      </c>
      <c r="O90" s="113">
        <f t="shared" ca="1" si="44"/>
        <v>1393088.2953345552</v>
      </c>
      <c r="P90" s="113">
        <f t="shared" ca="1" si="44"/>
        <v>1392776.0837040455</v>
      </c>
      <c r="Q90" s="113">
        <f t="shared" ca="1" si="44"/>
        <v>1393088.2953345552</v>
      </c>
      <c r="R90" s="113">
        <f t="shared" ca="1" si="44"/>
        <v>1392776.0837040455</v>
      </c>
      <c r="S90" s="113">
        <f t="shared" ca="1" si="44"/>
        <v>1393088.2953345552</v>
      </c>
      <c r="T90" s="113">
        <f t="shared" ca="1" si="44"/>
        <v>1392776.0837040455</v>
      </c>
      <c r="U90" s="113">
        <f t="shared" ca="1" si="44"/>
        <v>1393088.2953345552</v>
      </c>
      <c r="V90" s="113">
        <f t="shared" ca="1" si="44"/>
        <v>1392776.0837040455</v>
      </c>
      <c r="W90" s="114">
        <f t="shared" ca="1" si="44"/>
        <v>696544.1476672776</v>
      </c>
      <c r="X90" s="111">
        <f t="shared" ca="1" si="3"/>
        <v>31221163.050976142</v>
      </c>
    </row>
    <row r="91" spans="1:24" ht="15" customHeight="1" x14ac:dyDescent="0.25">
      <c r="A91" s="79">
        <f>IF('Cash Flow Analysis'!C107="","",'Cash Flow Analysis'!C107)</f>
        <v>40</v>
      </c>
      <c r="B91" s="1090">
        <f ca="1">IF(A91="","",IF(A91&lt;1,0,IF(A91=1,$B$44-'Cash Flow Analysis'!I107,-'Cash Flow Analysis'!I107)))</f>
        <v>31814365.148944687</v>
      </c>
      <c r="C91" s="112">
        <f t="shared" ref="C91:W91" ca="1" si="45">IF($B$91="","",IF(AND($B$42="Straight Line",C48&lt;=depr_length),$B$91/depr_length,IF(AND($B$42="MACRS",C48&lt;=depr_length+1),$B$91*INDEX(MACRS_Table,MATCH(C48,recovery_year,0),MATCH($B$43,recovery_period,0)),"")))</f>
        <v>1193038.6930854258</v>
      </c>
      <c r="D91" s="113">
        <f t="shared" ca="1" si="45"/>
        <v>2296679.020102317</v>
      </c>
      <c r="E91" s="113">
        <f t="shared" ca="1" si="45"/>
        <v>2124245.1609950368</v>
      </c>
      <c r="F91" s="113">
        <f t="shared" ca="1" si="45"/>
        <v>1965173.3352503132</v>
      </c>
      <c r="G91" s="113">
        <f t="shared" ca="1" si="45"/>
        <v>1817554.68095921</v>
      </c>
      <c r="H91" s="113">
        <f t="shared" ca="1" si="45"/>
        <v>1681389.1981217267</v>
      </c>
      <c r="I91" s="113">
        <f t="shared" ca="1" si="45"/>
        <v>1555086.1684804163</v>
      </c>
      <c r="J91" s="113">
        <f t="shared" ca="1" si="45"/>
        <v>1438645.5920352789</v>
      </c>
      <c r="K91" s="113">
        <f t="shared" ca="1" si="45"/>
        <v>1419556.972945912</v>
      </c>
      <c r="L91" s="113">
        <f t="shared" ca="1" si="45"/>
        <v>1419238.8292944224</v>
      </c>
      <c r="M91" s="113">
        <f t="shared" ca="1" si="45"/>
        <v>1419556.972945912</v>
      </c>
      <c r="N91" s="113">
        <f t="shared" ca="1" si="45"/>
        <v>1419238.8292944224</v>
      </c>
      <c r="O91" s="113">
        <f t="shared" ca="1" si="45"/>
        <v>1419556.972945912</v>
      </c>
      <c r="P91" s="113">
        <f t="shared" ca="1" si="45"/>
        <v>1419238.8292944224</v>
      </c>
      <c r="Q91" s="113">
        <f t="shared" ca="1" si="45"/>
        <v>1419556.972945912</v>
      </c>
      <c r="R91" s="113">
        <f t="shared" ca="1" si="45"/>
        <v>1419238.8292944224</v>
      </c>
      <c r="S91" s="113">
        <f t="shared" ca="1" si="45"/>
        <v>1419556.972945912</v>
      </c>
      <c r="T91" s="113">
        <f t="shared" ca="1" si="45"/>
        <v>1419238.8292944224</v>
      </c>
      <c r="U91" s="113">
        <f t="shared" ca="1" si="45"/>
        <v>1419556.972945912</v>
      </c>
      <c r="V91" s="113">
        <f t="shared" ca="1" si="45"/>
        <v>1419238.8292944224</v>
      </c>
      <c r="W91" s="114">
        <f t="shared" ca="1" si="45"/>
        <v>709778.48647295602</v>
      </c>
      <c r="X91" s="111">
        <f t="shared" ca="1" si="3"/>
        <v>31814365.148944687</v>
      </c>
    </row>
    <row r="92" spans="1:24" ht="15" customHeight="1" thickBot="1" x14ac:dyDescent="0.3">
      <c r="A92" s="83" t="str">
        <f>IF('Cash Flow Analysis'!C108="","",'Cash Flow Analysis'!C108)</f>
        <v/>
      </c>
      <c r="B92" s="1090" t="str">
        <f>IF(A92="","",IF(A92&lt;1,0,IF(A92=1,$B$44-'Cash Flow Analysis'!I108,-'Cash Flow Analysis'!I108)))</f>
        <v/>
      </c>
      <c r="C92" s="115" t="str">
        <f t="shared" ref="C92:W92" si="46">IF($B$92="","",IF(AND($B$42="Straight Line",C48&lt;=depr_length),$B$92/depr_length,IF(AND($B$42="MACRS",C48&lt;=depr_length+1),$B$92*INDEX(MACRS_Table,MATCH(C48,recovery_year,0),MATCH($B$43,recovery_period,0)),"")))</f>
        <v/>
      </c>
      <c r="D92" s="116" t="str">
        <f t="shared" si="46"/>
        <v/>
      </c>
      <c r="E92" s="116" t="str">
        <f t="shared" si="46"/>
        <v/>
      </c>
      <c r="F92" s="116" t="str">
        <f t="shared" si="46"/>
        <v/>
      </c>
      <c r="G92" s="116" t="str">
        <f t="shared" si="46"/>
        <v/>
      </c>
      <c r="H92" s="116" t="str">
        <f t="shared" si="46"/>
        <v/>
      </c>
      <c r="I92" s="116" t="str">
        <f t="shared" si="46"/>
        <v/>
      </c>
      <c r="J92" s="116" t="str">
        <f t="shared" si="46"/>
        <v/>
      </c>
      <c r="K92" s="116" t="str">
        <f t="shared" si="46"/>
        <v/>
      </c>
      <c r="L92" s="116" t="str">
        <f t="shared" si="46"/>
        <v/>
      </c>
      <c r="M92" s="116" t="str">
        <f t="shared" si="46"/>
        <v/>
      </c>
      <c r="N92" s="116" t="str">
        <f t="shared" si="46"/>
        <v/>
      </c>
      <c r="O92" s="116" t="str">
        <f t="shared" si="46"/>
        <v/>
      </c>
      <c r="P92" s="116" t="str">
        <f t="shared" si="46"/>
        <v/>
      </c>
      <c r="Q92" s="116" t="str">
        <f t="shared" si="46"/>
        <v/>
      </c>
      <c r="R92" s="116" t="str">
        <f t="shared" si="46"/>
        <v/>
      </c>
      <c r="S92" s="116" t="str">
        <f t="shared" si="46"/>
        <v/>
      </c>
      <c r="T92" s="116" t="str">
        <f t="shared" si="46"/>
        <v/>
      </c>
      <c r="U92" s="116" t="str">
        <f t="shared" si="46"/>
        <v/>
      </c>
      <c r="V92" s="116" t="str">
        <f t="shared" si="46"/>
        <v/>
      </c>
      <c r="W92" s="101" t="str">
        <f t="shared" si="46"/>
        <v/>
      </c>
      <c r="X92" s="117">
        <f t="shared" si="3"/>
        <v>0</v>
      </c>
    </row>
    <row r="93" spans="1:24" s="39" customFormat="1" ht="15" customHeight="1" thickTop="1" x14ac:dyDescent="0.25">
      <c r="A93" s="45"/>
      <c r="B93" s="118"/>
      <c r="C93" s="118"/>
      <c r="D93" s="118"/>
      <c r="E93" s="118"/>
      <c r="F93" s="118"/>
      <c r="G93" s="118"/>
      <c r="H93" s="118"/>
      <c r="I93" s="118"/>
      <c r="J93" s="118"/>
      <c r="K93" s="118"/>
      <c r="L93" s="118"/>
      <c r="M93" s="118"/>
      <c r="N93" s="118"/>
      <c r="O93" s="118"/>
      <c r="P93" s="118"/>
      <c r="Q93" s="118"/>
      <c r="R93" s="118"/>
      <c r="S93" s="118"/>
      <c r="T93" s="118"/>
      <c r="U93" s="118"/>
      <c r="V93" s="118"/>
      <c r="W93" s="118"/>
      <c r="X93" s="118"/>
    </row>
    <row r="94" spans="1:24" ht="15" customHeight="1" thickBot="1" x14ac:dyDescent="0.3">
      <c r="B94" s="119"/>
      <c r="C94" s="119"/>
      <c r="D94" s="119"/>
      <c r="E94" s="119"/>
      <c r="F94" s="119"/>
      <c r="G94" s="119"/>
      <c r="H94" s="119"/>
      <c r="I94" s="119"/>
      <c r="J94" s="119"/>
      <c r="K94" s="119"/>
      <c r="L94" s="119"/>
      <c r="M94" s="119"/>
      <c r="N94" s="119"/>
      <c r="O94" s="119"/>
      <c r="P94" s="119"/>
      <c r="Q94" s="119"/>
      <c r="R94" s="119"/>
      <c r="S94" s="119"/>
      <c r="T94" s="119"/>
      <c r="U94" s="119"/>
      <c r="V94" s="119"/>
      <c r="W94" s="119"/>
      <c r="X94" s="119"/>
    </row>
    <row r="95" spans="1:24" ht="30.75" customHeight="1" thickTop="1" thickBot="1" x14ac:dyDescent="0.4">
      <c r="A95" s="102" t="s">
        <v>59</v>
      </c>
      <c r="B95" s="68"/>
      <c r="C95" s="69"/>
    </row>
    <row r="96" spans="1:24" ht="31.15" customHeight="1" thickTop="1" x14ac:dyDescent="0.3">
      <c r="A96" s="120" t="s">
        <v>56</v>
      </c>
      <c r="B96" s="121" t="s">
        <v>60</v>
      </c>
      <c r="C96" s="122" t="s">
        <v>61</v>
      </c>
    </row>
    <row r="97" spans="1:3" ht="15" customHeight="1" x14ac:dyDescent="0.25">
      <c r="A97" s="98">
        <f>IF('Cash Flow Analysis'!C65="","",'Cash Flow Analysis'!C65)</f>
        <v>-3</v>
      </c>
      <c r="B97" s="113">
        <f>C49</f>
        <v>0</v>
      </c>
      <c r="C97" s="123">
        <f t="shared" ref="C97:C140" si="47">IF(A97="",B97,0)</f>
        <v>0</v>
      </c>
    </row>
    <row r="98" spans="1:3" ht="15" customHeight="1" x14ac:dyDescent="0.25">
      <c r="A98" s="98">
        <f>IF('Cash Flow Analysis'!C66="","",'Cash Flow Analysis'!C66)</f>
        <v>-2</v>
      </c>
      <c r="B98" s="113">
        <f>SUM(D49,C50)</f>
        <v>0</v>
      </c>
      <c r="C98" s="123">
        <f t="shared" si="47"/>
        <v>0</v>
      </c>
    </row>
    <row r="99" spans="1:3" ht="15" customHeight="1" x14ac:dyDescent="0.25">
      <c r="A99" s="98">
        <f>IF('Cash Flow Analysis'!C67="","",'Cash Flow Analysis'!C67)</f>
        <v>-1</v>
      </c>
      <c r="B99" s="113">
        <f>SUM(E49,D50,C51)</f>
        <v>0</v>
      </c>
      <c r="C99" s="123">
        <f t="shared" si="47"/>
        <v>0</v>
      </c>
    </row>
    <row r="100" spans="1:3" ht="15" customHeight="1" x14ac:dyDescent="0.25">
      <c r="A100" s="98">
        <f>IF('Cash Flow Analysis'!C68="","",'Cash Flow Analysis'!C68)</f>
        <v>1</v>
      </c>
      <c r="B100" s="113">
        <f ca="1">SUM(F49,E50,D51,C52)</f>
        <v>17050759.477808807</v>
      </c>
      <c r="C100" s="123">
        <f t="shared" si="47"/>
        <v>0</v>
      </c>
    </row>
    <row r="101" spans="1:3" ht="15" customHeight="1" x14ac:dyDescent="0.25">
      <c r="A101" s="98">
        <f>IF('Cash Flow Analysis'!C69="","",'Cash Flow Analysis'!C69)</f>
        <v>2</v>
      </c>
      <c r="B101" s="113">
        <f ca="1">SUM(G49,F50,E51,D52,C53)</f>
        <v>33407341.559660614</v>
      </c>
      <c r="C101" s="123">
        <f t="shared" si="47"/>
        <v>0</v>
      </c>
    </row>
    <row r="102" spans="1:3" ht="15" customHeight="1" x14ac:dyDescent="0.25">
      <c r="A102" s="98">
        <f>IF('Cash Flow Analysis'!C70="","",'Cash Flow Analysis'!C70)</f>
        <v>3</v>
      </c>
      <c r="B102" s="113">
        <f ca="1">SUM(H49,G50,F51,E52,D53,C54)</f>
        <v>32077287.45168693</v>
      </c>
      <c r="C102" s="123">
        <f t="shared" si="47"/>
        <v>0</v>
      </c>
    </row>
    <row r="103" spans="1:3" ht="15" customHeight="1" x14ac:dyDescent="0.25">
      <c r="A103" s="98">
        <f>IF('Cash Flow Analysis'!C71="","",'Cash Flow Analysis'!C71)</f>
        <v>4</v>
      </c>
      <c r="B103" s="113">
        <f ca="1">SUM(I49,H50,G51,F52,E53,D54,C55)</f>
        <v>30875420.314536955</v>
      </c>
      <c r="C103" s="123">
        <f t="shared" si="47"/>
        <v>0</v>
      </c>
    </row>
    <row r="104" spans="1:3" ht="15" customHeight="1" x14ac:dyDescent="0.25">
      <c r="A104" s="98">
        <f>IF('Cash Flow Analysis'!C72="","",'Cash Flow Analysis'!C72)</f>
        <v>5</v>
      </c>
      <c r="B104" s="113">
        <f ca="1">SUM(J49,I50,H51,G52,F53,E54,D55,C56)</f>
        <v>29779801.203767855</v>
      </c>
      <c r="C104" s="123">
        <f t="shared" si="47"/>
        <v>0</v>
      </c>
    </row>
    <row r="105" spans="1:3" ht="15" customHeight="1" x14ac:dyDescent="0.25">
      <c r="A105" s="98">
        <f>IF('Cash Flow Analysis'!C73="","",'Cash Flow Analysis'!C73)</f>
        <v>6</v>
      </c>
      <c r="B105" s="113">
        <f ca="1">SUM(K49,J50,I51,H52,G53,F54,E55,D56,C57)</f>
        <v>28794940.304688893</v>
      </c>
      <c r="C105" s="123">
        <f t="shared" si="47"/>
        <v>0</v>
      </c>
    </row>
    <row r="106" spans="1:3" ht="15" customHeight="1" x14ac:dyDescent="0.25">
      <c r="A106" s="98">
        <f>IF('Cash Flow Analysis'!C74="","",'Cash Flow Analysis'!C74)</f>
        <v>7</v>
      </c>
      <c r="B106" s="113">
        <f ca="1">SUM(L49,K50,J51,I52,H53,G54,F55,E56,D57,C58)</f>
        <v>27902699.150159776</v>
      </c>
      <c r="C106" s="123">
        <f t="shared" si="47"/>
        <v>0</v>
      </c>
    </row>
    <row r="107" spans="1:3" ht="15" customHeight="1" x14ac:dyDescent="0.25">
      <c r="A107" s="98">
        <f>IF('Cash Flow Analysis'!C75="","",'Cash Flow Analysis'!C75)</f>
        <v>8</v>
      </c>
      <c r="B107" s="113">
        <f ca="1">SUM(M49,L50,K51,J52,I53,H54,G55,F56,E57,D58,C59)</f>
        <v>27106982.950244978</v>
      </c>
      <c r="C107" s="123">
        <f t="shared" si="47"/>
        <v>0</v>
      </c>
    </row>
    <row r="108" spans="1:3" ht="15" customHeight="1" x14ac:dyDescent="0.25">
      <c r="A108" s="98">
        <f>IF('Cash Flow Analysis'!C76="","",'Cash Flow Analysis'!C76)</f>
        <v>9</v>
      </c>
      <c r="B108" s="113">
        <f ca="1">SUM(N49,M50,L51,K52,J53,I54,H55,G56,F57,E58,D59,C60)</f>
        <v>27662160.142372821</v>
      </c>
      <c r="C108" s="123">
        <f t="shared" si="47"/>
        <v>0</v>
      </c>
    </row>
    <row r="109" spans="1:3" ht="15" customHeight="1" x14ac:dyDescent="0.25">
      <c r="A109" s="98">
        <f>IF('Cash Flow Analysis'!C77="","",'Cash Flow Analysis'!C77)</f>
        <v>10</v>
      </c>
      <c r="B109" s="113">
        <f ca="1">SUM(O49,N50,M51,L52,K53,J54,I55,H56,G57,F58,E59,D60,C61)</f>
        <v>28491998.528921925</v>
      </c>
      <c r="C109" s="123">
        <f t="shared" si="47"/>
        <v>0</v>
      </c>
    </row>
    <row r="110" spans="1:3" ht="15" customHeight="1" x14ac:dyDescent="0.25">
      <c r="A110" s="98">
        <f>IF('Cash Flow Analysis'!C78="","",'Cash Flow Analysis'!C78)</f>
        <v>11</v>
      </c>
      <c r="B110" s="113">
        <f ca="1">SUM(P49,O50,N51,M52,L53,K54,J55,I56,H57,G58,F59,E60,D61,C62)</f>
        <v>29346628.375625618</v>
      </c>
      <c r="C110" s="123">
        <f t="shared" si="47"/>
        <v>0</v>
      </c>
    </row>
    <row r="111" spans="1:3" ht="15" customHeight="1" x14ac:dyDescent="0.25">
      <c r="A111" s="98">
        <f>IF('Cash Flow Analysis'!C79="","",'Cash Flow Analysis'!C79)</f>
        <v>12</v>
      </c>
      <c r="B111" s="113">
        <f ca="1">SUM(Q49,P50,O51,N52,M53,L54,K55,J56,I57,H58,G59,F60,E61,D62,C63)</f>
        <v>30208471.658606526</v>
      </c>
      <c r="C111" s="123">
        <f t="shared" si="47"/>
        <v>0</v>
      </c>
    </row>
    <row r="112" spans="1:3" ht="15" customHeight="1" x14ac:dyDescent="0.25">
      <c r="A112" s="98">
        <f>IF('Cash Flow Analysis'!C80="","",'Cash Flow Analysis'!C80)</f>
        <v>13</v>
      </c>
      <c r="B112" s="113">
        <f ca="1">SUM(R49,Q50,P51,O52,N53,M54,L55,K56,J57,I58,H59,G60,F61,E62,D63,C64)</f>
        <v>31095714.494774237</v>
      </c>
      <c r="C112" s="123">
        <f t="shared" si="47"/>
        <v>0</v>
      </c>
    </row>
    <row r="113" spans="1:3" ht="15" customHeight="1" x14ac:dyDescent="0.25">
      <c r="A113" s="98">
        <f>IF('Cash Flow Analysis'!C81="","",'Cash Flow Analysis'!C81)</f>
        <v>14</v>
      </c>
      <c r="B113" s="113">
        <f ca="1">SUM(S49,R50,Q51,P52,O53,N54,M55,L56,K57,J58,I59,H60,G61,F62,E63,D64,C65)</f>
        <v>31990790.414018963</v>
      </c>
      <c r="C113" s="123">
        <f t="shared" si="47"/>
        <v>0</v>
      </c>
    </row>
    <row r="114" spans="1:3" ht="15" customHeight="1" x14ac:dyDescent="0.25">
      <c r="A114" s="98">
        <f>IF('Cash Flow Analysis'!C82="","",'Cash Flow Analysis'!C82)</f>
        <v>15</v>
      </c>
      <c r="B114" s="113">
        <f ca="1">SUM(T49,S50,R51,Q52,P53,O54,N55,M56,L57,K58,J59,I60,H61,G62,F63,E64,D65,C66)</f>
        <v>32911897.306539517</v>
      </c>
      <c r="C114" s="123">
        <f t="shared" si="47"/>
        <v>0</v>
      </c>
    </row>
    <row r="115" spans="1:3" ht="15" customHeight="1" x14ac:dyDescent="0.25">
      <c r="A115" s="98">
        <f>IF('Cash Flow Analysis'!C83="","",'Cash Flow Analysis'!C83)</f>
        <v>16</v>
      </c>
      <c r="B115" s="113">
        <f ca="1">SUM(U49,T50,S51,R52,Q53,P54,O55,N56,M57,L58,K59,J60,I61,H62,G63,F64,E65,D66,C67)</f>
        <v>33841480.699207775</v>
      </c>
      <c r="C115" s="123">
        <f t="shared" si="47"/>
        <v>0</v>
      </c>
    </row>
    <row r="116" spans="1:3" ht="15" customHeight="1" x14ac:dyDescent="0.25">
      <c r="A116" s="98">
        <f>IF('Cash Flow Analysis'!C84="","",'Cash Flow Analysis'!C84)</f>
        <v>17</v>
      </c>
      <c r="B116" s="113">
        <f ca="1">SUM(V49,U50,T51,S52,R53,Q54,P55,O56,N57,M58,L59,K60,J61,I62,H63,G64,F65,E66,D67,C68)</f>
        <v>34797750.707146913</v>
      </c>
      <c r="C116" s="123">
        <f t="shared" si="47"/>
        <v>0</v>
      </c>
    </row>
    <row r="117" spans="1:3" ht="15" customHeight="1" x14ac:dyDescent="0.25">
      <c r="A117" s="98">
        <f>IF('Cash Flow Analysis'!C85="","",'Cash Flow Analysis'!C85)</f>
        <v>18</v>
      </c>
      <c r="B117" s="113">
        <f t="shared" ref="B117:B140" ca="1" si="48">SUM(W49,V50,U51,T52,S53,R54,Q55,P56,O57,N58,M59,L60,K61,J62,I63,H64,G65,F66,E67,D68,C69)</f>
        <v>35763165.31442672</v>
      </c>
      <c r="C117" s="123">
        <f t="shared" si="47"/>
        <v>0</v>
      </c>
    </row>
    <row r="118" spans="1:3" ht="15" customHeight="1" x14ac:dyDescent="0.25">
      <c r="A118" s="98">
        <f>IF('Cash Flow Analysis'!C86="","",'Cash Flow Analysis'!C86)</f>
        <v>19</v>
      </c>
      <c r="B118" s="113">
        <f t="shared" ca="1" si="48"/>
        <v>36755947.330055013</v>
      </c>
      <c r="C118" s="123">
        <f t="shared" si="47"/>
        <v>0</v>
      </c>
    </row>
    <row r="119" spans="1:3" ht="15" customHeight="1" x14ac:dyDescent="0.25">
      <c r="A119" s="98">
        <f>IF('Cash Flow Analysis'!C87="","",'Cash Flow Analysis'!C87)</f>
        <v>20</v>
      </c>
      <c r="B119" s="113">
        <f t="shared" ca="1" si="48"/>
        <v>37758567.673170075</v>
      </c>
      <c r="C119" s="123">
        <f t="shared" si="47"/>
        <v>0</v>
      </c>
    </row>
    <row r="120" spans="1:3" ht="15" customHeight="1" x14ac:dyDescent="0.25">
      <c r="A120" s="98">
        <f>IF('Cash Flow Analysis'!C88="","",'Cash Flow Analysis'!C88)</f>
        <v>21</v>
      </c>
      <c r="B120" s="113">
        <f t="shared" ca="1" si="48"/>
        <v>28645197.161616769</v>
      </c>
      <c r="C120" s="123">
        <f t="shared" si="47"/>
        <v>0</v>
      </c>
    </row>
    <row r="121" spans="1:3" ht="15" customHeight="1" x14ac:dyDescent="0.25">
      <c r="A121" s="98">
        <f>IF('Cash Flow Analysis'!C89="","",'Cash Flow Analysis'!C89)</f>
        <v>22</v>
      </c>
      <c r="B121" s="113">
        <f t="shared" ca="1" si="48"/>
        <v>19199792.842208821</v>
      </c>
      <c r="C121" s="123">
        <f t="shared" si="47"/>
        <v>0</v>
      </c>
    </row>
    <row r="122" spans="1:3" ht="15" customHeight="1" x14ac:dyDescent="0.25">
      <c r="A122" s="98">
        <f>IF('Cash Flow Analysis'!C90="","",'Cash Flow Analysis'!C90)</f>
        <v>23</v>
      </c>
      <c r="B122" s="113">
        <f t="shared" ca="1" si="48"/>
        <v>19564588.906210788</v>
      </c>
      <c r="C122" s="123">
        <f t="shared" si="47"/>
        <v>0</v>
      </c>
    </row>
    <row r="123" spans="1:3" ht="15" customHeight="1" x14ac:dyDescent="0.25">
      <c r="A123" s="98">
        <f>IF('Cash Flow Analysis'!C91="","",'Cash Flow Analysis'!C91)</f>
        <v>24</v>
      </c>
      <c r="B123" s="113">
        <f t="shared" ca="1" si="48"/>
        <v>19936316.095428791</v>
      </c>
      <c r="C123" s="123">
        <f t="shared" si="47"/>
        <v>0</v>
      </c>
    </row>
    <row r="124" spans="1:3" ht="15" customHeight="1" x14ac:dyDescent="0.25">
      <c r="A124" s="98">
        <f>IF('Cash Flow Analysis'!C92="","",'Cash Flow Analysis'!C92)</f>
        <v>25</v>
      </c>
      <c r="B124" s="113">
        <f t="shared" ca="1" si="48"/>
        <v>20315106.101241939</v>
      </c>
      <c r="C124" s="123">
        <f t="shared" si="47"/>
        <v>0</v>
      </c>
    </row>
    <row r="125" spans="1:3" ht="15" customHeight="1" x14ac:dyDescent="0.25">
      <c r="A125" s="98">
        <f>IF('Cash Flow Analysis'!C93="","",'Cash Flow Analysis'!C93)</f>
        <v>26</v>
      </c>
      <c r="B125" s="113">
        <f t="shared" ca="1" si="48"/>
        <v>20701093.117165532</v>
      </c>
      <c r="C125" s="123">
        <f t="shared" si="47"/>
        <v>0</v>
      </c>
    </row>
    <row r="126" spans="1:3" ht="15" customHeight="1" x14ac:dyDescent="0.25">
      <c r="A126" s="98">
        <f>IF('Cash Flow Analysis'!C94="","",'Cash Flow Analysis'!C94)</f>
        <v>27</v>
      </c>
      <c r="B126" s="113">
        <f t="shared" ca="1" si="48"/>
        <v>21094413.886391681</v>
      </c>
      <c r="C126" s="123">
        <f t="shared" si="47"/>
        <v>0</v>
      </c>
    </row>
    <row r="127" spans="1:3" ht="15" customHeight="1" x14ac:dyDescent="0.25">
      <c r="A127" s="98">
        <f>IF('Cash Flow Analysis'!C95="","",'Cash Flow Analysis'!C95)</f>
        <v>28</v>
      </c>
      <c r="B127" s="113">
        <f t="shared" ca="1" si="48"/>
        <v>21495207.750233117</v>
      </c>
      <c r="C127" s="123">
        <f t="shared" si="47"/>
        <v>0</v>
      </c>
    </row>
    <row r="128" spans="1:3" ht="15" customHeight="1" x14ac:dyDescent="0.25">
      <c r="A128" s="98">
        <f>IF('Cash Flow Analysis'!C96="","",'Cash Flow Analysis'!C96)</f>
        <v>29</v>
      </c>
      <c r="B128" s="113">
        <f t="shared" ca="1" si="48"/>
        <v>21903616.697487548</v>
      </c>
      <c r="C128" s="123">
        <f t="shared" si="47"/>
        <v>0</v>
      </c>
    </row>
    <row r="129" spans="1:3" ht="15" customHeight="1" x14ac:dyDescent="0.25">
      <c r="A129" s="98">
        <f>IF('Cash Flow Analysis'!C97="","",'Cash Flow Analysis'!C97)</f>
        <v>30</v>
      </c>
      <c r="B129" s="113">
        <f t="shared" ca="1" si="48"/>
        <v>22319785.41473981</v>
      </c>
      <c r="C129" s="123">
        <f t="shared" si="47"/>
        <v>0</v>
      </c>
    </row>
    <row r="130" spans="1:3" ht="15" customHeight="1" x14ac:dyDescent="0.25">
      <c r="A130" s="98">
        <f>IF('Cash Flow Analysis'!C98="","",'Cash Flow Analysis'!C98)</f>
        <v>31</v>
      </c>
      <c r="B130" s="113">
        <f t="shared" ca="1" si="48"/>
        <v>22743861.337619867</v>
      </c>
      <c r="C130" s="123">
        <f t="shared" si="47"/>
        <v>0</v>
      </c>
    </row>
    <row r="131" spans="1:3" ht="15" customHeight="1" x14ac:dyDescent="0.25">
      <c r="A131" s="98">
        <f>IF('Cash Flow Analysis'!C99="","",'Cash Flow Analysis'!C99)</f>
        <v>32</v>
      </c>
      <c r="B131" s="113">
        <f t="shared" ca="1" si="48"/>
        <v>23175994.703034639</v>
      </c>
      <c r="C131" s="123">
        <f t="shared" si="47"/>
        <v>0</v>
      </c>
    </row>
    <row r="132" spans="1:3" ht="15" customHeight="1" x14ac:dyDescent="0.25">
      <c r="A132" s="98">
        <f>IF('Cash Flow Analysis'!C100="","",'Cash Flow Analysis'!C100)</f>
        <v>33</v>
      </c>
      <c r="B132" s="113">
        <f t="shared" ca="1" si="48"/>
        <v>23616338.602392301</v>
      </c>
      <c r="C132" s="123">
        <f t="shared" si="47"/>
        <v>0</v>
      </c>
    </row>
    <row r="133" spans="1:3" ht="15" customHeight="1" x14ac:dyDescent="0.25">
      <c r="A133" s="98">
        <f>IF('Cash Flow Analysis'!C101="","",'Cash Flow Analysis'!C101)</f>
        <v>34</v>
      </c>
      <c r="B133" s="113">
        <f t="shared" ca="1" si="48"/>
        <v>24065049.035837751</v>
      </c>
      <c r="C133" s="123">
        <f t="shared" si="47"/>
        <v>0</v>
      </c>
    </row>
    <row r="134" spans="1:3" ht="15" customHeight="1" x14ac:dyDescent="0.25">
      <c r="A134" s="98">
        <f>IF('Cash Flow Analysis'!C102="","",'Cash Flow Analysis'!C102)</f>
        <v>35</v>
      </c>
      <c r="B134" s="113">
        <f t="shared" ca="1" si="48"/>
        <v>24522284.967518672</v>
      </c>
      <c r="C134" s="123">
        <f t="shared" si="47"/>
        <v>0</v>
      </c>
    </row>
    <row r="135" spans="1:3" ht="15" customHeight="1" x14ac:dyDescent="0.25">
      <c r="A135" s="98">
        <f>IF('Cash Flow Analysis'!C103="","",'Cash Flow Analysis'!C103)</f>
        <v>36</v>
      </c>
      <c r="B135" s="113">
        <f t="shared" ca="1" si="48"/>
        <v>24988208.381901521</v>
      </c>
      <c r="C135" s="123">
        <f t="shared" si="47"/>
        <v>0</v>
      </c>
    </row>
    <row r="136" spans="1:3" ht="15" customHeight="1" x14ac:dyDescent="0.25">
      <c r="A136" s="98">
        <f>IF('Cash Flow Analysis'!C104="","",'Cash Flow Analysis'!C104)</f>
        <v>37</v>
      </c>
      <c r="B136" s="113">
        <f t="shared" ca="1" si="48"/>
        <v>25462984.341157656</v>
      </c>
      <c r="C136" s="123">
        <f t="shared" si="47"/>
        <v>0</v>
      </c>
    </row>
    <row r="137" spans="1:3" ht="15" customHeight="1" x14ac:dyDescent="0.25">
      <c r="A137" s="98">
        <f>IF('Cash Flow Analysis'!C105="","",'Cash Flow Analysis'!C105)</f>
        <v>38</v>
      </c>
      <c r="B137" s="113">
        <f t="shared" ca="1" si="48"/>
        <v>25946781.043639641</v>
      </c>
      <c r="C137" s="123">
        <f t="shared" si="47"/>
        <v>0</v>
      </c>
    </row>
    <row r="138" spans="1:3" ht="15" customHeight="1" x14ac:dyDescent="0.25">
      <c r="A138" s="98">
        <f>IF('Cash Flow Analysis'!C106="","",'Cash Flow Analysis'!C106)</f>
        <v>39</v>
      </c>
      <c r="B138" s="113">
        <f t="shared" ca="1" si="48"/>
        <v>26439769.883468796</v>
      </c>
      <c r="C138" s="123">
        <f t="shared" si="47"/>
        <v>0</v>
      </c>
    </row>
    <row r="139" spans="1:3" ht="15" customHeight="1" x14ac:dyDescent="0.25">
      <c r="A139" s="98">
        <f>IF('Cash Flow Analysis'!C107="","",'Cash Flow Analysis'!C107)</f>
        <v>40</v>
      </c>
      <c r="B139" s="113">
        <f t="shared" ca="1" si="48"/>
        <v>26942125.511254702</v>
      </c>
      <c r="C139" s="123">
        <f t="shared" si="47"/>
        <v>0</v>
      </c>
    </row>
    <row r="140" spans="1:3" ht="15" customHeight="1" thickBot="1" x14ac:dyDescent="0.3">
      <c r="A140" s="124" t="str">
        <f>IF('Cash Flow Analysis'!C108="","",'Cash Flow Analysis'!C108)</f>
        <v/>
      </c>
      <c r="B140" s="125">
        <f t="shared" ca="1" si="48"/>
        <v>26238319.467714492</v>
      </c>
      <c r="C140" s="126">
        <f t="shared" ca="1" si="47"/>
        <v>26238319.467714492</v>
      </c>
    </row>
    <row r="141" spans="1:3" ht="15" customHeight="1" thickTop="1" thickBot="1" x14ac:dyDescent="0.35">
      <c r="A141" s="127" t="s">
        <v>62</v>
      </c>
      <c r="B141" s="128">
        <f ca="1">SUM(B97:B140)</f>
        <v>1106936640.3056862</v>
      </c>
      <c r="C141" s="129">
        <f ca="1">SUM(C97:C140)</f>
        <v>26238319.467714492</v>
      </c>
    </row>
    <row r="142" spans="1:3" ht="15" customHeight="1" thickTop="1" x14ac:dyDescent="0.3">
      <c r="A142" s="130"/>
      <c r="B142" s="131"/>
      <c r="C142" s="132"/>
    </row>
    <row r="143" spans="1:3" ht="15" customHeight="1" thickBot="1" x14ac:dyDescent="0.3">
      <c r="A143" s="38" t="str">
        <f>IF('Cash Flow Analysis'!C109="","",'Cash Flow Analysis'!C109)</f>
        <v/>
      </c>
      <c r="B143" s="119"/>
    </row>
    <row r="144" spans="1:3" ht="31.5" customHeight="1" thickTop="1" x14ac:dyDescent="0.35">
      <c r="A144" s="1713" t="s">
        <v>63</v>
      </c>
      <c r="B144" s="1714"/>
    </row>
    <row r="145" spans="1:2" ht="16.5" customHeight="1" thickBot="1" x14ac:dyDescent="0.35">
      <c r="A145" s="133" t="s">
        <v>64</v>
      </c>
      <c r="B145" s="134" t="s">
        <v>60</v>
      </c>
    </row>
    <row r="146" spans="1:2" ht="15" customHeight="1" thickTop="1" x14ac:dyDescent="0.25">
      <c r="A146" s="135">
        <v>1</v>
      </c>
      <c r="B146" s="109">
        <f ca="1">SUM(D92,E91,F90,G89,H88,I87,J86,K85,L84,M83,N82,O81,P80,Q79,R78,S77,T76,U75,V74,W73)</f>
        <v>24396531.616116807</v>
      </c>
    </row>
    <row r="147" spans="1:2" ht="15" customHeight="1" x14ac:dyDescent="0.25">
      <c r="A147" s="98">
        <v>2</v>
      </c>
      <c r="B147" s="114">
        <f ca="1">SUM(E92,F91,G90,H89,I88,J87,K86,L85,M84,N83,O82,P81,Q80,R79,S78,T77,U76,V75,W74)</f>
        <v>22695459.897769086</v>
      </c>
    </row>
    <row r="148" spans="1:2" ht="15" customHeight="1" x14ac:dyDescent="0.25">
      <c r="A148" s="98">
        <v>3</v>
      </c>
      <c r="B148" s="114">
        <f ca="1">SUM(F92,G91,H90,I89,J88,K87,L86,M85,N84,O83,P82,Q81,R80,S79,T78,U77,V76,W75)</f>
        <v>21124162.007206626</v>
      </c>
    </row>
    <row r="149" spans="1:2" ht="15" customHeight="1" x14ac:dyDescent="0.25">
      <c r="A149" s="98">
        <v>4</v>
      </c>
      <c r="B149" s="114">
        <f ca="1">SUM(G92,H91,I90,J89,K88,L87,M86,N85,O84,P83,Q82,R81,S80,T79,U78,V77,W76)</f>
        <v>19673432.865446117</v>
      </c>
    </row>
    <row r="150" spans="1:2" ht="15" customHeight="1" x14ac:dyDescent="0.25">
      <c r="A150" s="98">
        <v>5</v>
      </c>
      <c r="B150" s="114">
        <f ca="1">SUM(H92,I91,J90,K89,L88,M87,N86,O85,P84,Q83,R82,S81,T80,U79,V78,W77)</f>
        <v>18333892.497003548</v>
      </c>
    </row>
    <row r="151" spans="1:2" ht="15" customHeight="1" x14ac:dyDescent="0.25">
      <c r="A151" s="98">
        <v>6</v>
      </c>
      <c r="B151" s="114">
        <f ca="1">SUM(I92,J91,K90,L89,M88,N87,O86,P85,Q84,R83,S82,T81,U80,V79,W78)</f>
        <v>17097603.648765076</v>
      </c>
    </row>
    <row r="152" spans="1:2" ht="15" customHeight="1" x14ac:dyDescent="0.25">
      <c r="A152" s="98">
        <v>7</v>
      </c>
      <c r="B152" s="114">
        <f ca="1">SUM(J92,K91,L90,M89,N88,O87,P86,Q85,R84,S83,T82,U81,V80,W79)</f>
        <v>15956478.259807661</v>
      </c>
    </row>
    <row r="153" spans="1:2" ht="15" customHeight="1" x14ac:dyDescent="0.25">
      <c r="A153" s="98">
        <v>8</v>
      </c>
      <c r="B153" s="114">
        <f ca="1">SUM(K92,L91,M90,N89,O88,P87,Q86,R85,S84,T83,U82,V81,W80)</f>
        <v>14813122.791312125</v>
      </c>
    </row>
    <row r="154" spans="1:2" ht="15" customHeight="1" x14ac:dyDescent="0.25">
      <c r="A154" s="98">
        <v>9</v>
      </c>
      <c r="B154" s="114">
        <f ca="1">SUM(L92,M91,N90,O89,P88,Q87,R86,S85,T84,U83,V82,W81)</f>
        <v>13648367.757296037</v>
      </c>
    </row>
    <row r="155" spans="1:2" ht="15" customHeight="1" x14ac:dyDescent="0.25">
      <c r="A155" s="98">
        <v>10</v>
      </c>
      <c r="B155" s="114">
        <f ca="1">SUM(M92,N91,O90,P89,Q88,R87,S86,T85,U84,V83,W82)</f>
        <v>12461158.189252777</v>
      </c>
    </row>
    <row r="156" spans="1:2" ht="15" customHeight="1" x14ac:dyDescent="0.25">
      <c r="A156" s="98">
        <v>11</v>
      </c>
      <c r="B156" s="114">
        <f ca="1">SUM(N92,O91,P90,Q89,R88,S87,T86,U85,V84,W83)</f>
        <v>11251715.827797562</v>
      </c>
    </row>
    <row r="157" spans="1:2" ht="15" customHeight="1" x14ac:dyDescent="0.25">
      <c r="A157" s="98">
        <v>12</v>
      </c>
      <c r="B157" s="114">
        <f ca="1">SUM(O92,P91,Q90,R89,S88,T87,U86,V85,W84)</f>
        <v>10018969.87309383</v>
      </c>
    </row>
    <row r="158" spans="1:2" ht="15" customHeight="1" x14ac:dyDescent="0.25">
      <c r="A158" s="98">
        <v>13</v>
      </c>
      <c r="B158" s="114">
        <f ca="1">SUM(P92,Q91,R90,S89,T88,U87,V86,W85)</f>
        <v>8763125.9336315971</v>
      </c>
    </row>
    <row r="159" spans="1:2" ht="15" customHeight="1" x14ac:dyDescent="0.25">
      <c r="A159" s="98">
        <v>14</v>
      </c>
      <c r="B159" s="114">
        <f ca="1">SUM(Q92,R91,S90,T89,U88,V87,W86)</f>
        <v>7483096.770938714</v>
      </c>
    </row>
    <row r="160" spans="1:2" ht="15" customHeight="1" x14ac:dyDescent="0.25">
      <c r="A160" s="98">
        <v>15</v>
      </c>
      <c r="B160" s="114">
        <f ca="1">SUM(R92,S91,T90,U89,V88,W87)</f>
        <v>6179071.2425355334</v>
      </c>
    </row>
    <row r="161" spans="1:2" ht="15" customHeight="1" x14ac:dyDescent="0.25">
      <c r="A161" s="98">
        <v>16</v>
      </c>
      <c r="B161" s="114">
        <f ca="1">SUM(S92,T91,U90,V89,W88)</f>
        <v>4849945.0407118239</v>
      </c>
    </row>
    <row r="162" spans="1:2" ht="15" customHeight="1" x14ac:dyDescent="0.25">
      <c r="A162" s="98">
        <v>17</v>
      </c>
      <c r="B162" s="114">
        <f ca="1">SUM(T92,U91,V90,W89)</f>
        <v>3495889.6294343323</v>
      </c>
    </row>
    <row r="163" spans="1:2" ht="15" customHeight="1" x14ac:dyDescent="0.25">
      <c r="A163" s="98">
        <v>18</v>
      </c>
      <c r="B163" s="114">
        <f ca="1">SUM(U92,V91,W90)</f>
        <v>2115782.9769617002</v>
      </c>
    </row>
    <row r="164" spans="1:2" ht="15" customHeight="1" x14ac:dyDescent="0.25">
      <c r="A164" s="98">
        <v>19</v>
      </c>
      <c r="B164" s="114">
        <f ca="1">SUM(V92,W91)</f>
        <v>709778.48647295602</v>
      </c>
    </row>
    <row r="165" spans="1:2" ht="15" customHeight="1" thickBot="1" x14ac:dyDescent="0.3">
      <c r="A165" s="100">
        <v>20</v>
      </c>
      <c r="B165" s="101">
        <f>SUM(W92)</f>
        <v>0</v>
      </c>
    </row>
    <row r="166" spans="1:2" ht="14" thickTop="1" thickBot="1" x14ac:dyDescent="0.35">
      <c r="A166" s="127" t="s">
        <v>62</v>
      </c>
      <c r="B166" s="136">
        <f ca="1">SUM(B146:B165)</f>
        <v>235067585.31155393</v>
      </c>
    </row>
    <row r="167" spans="1:2" ht="13" thickTop="1" x14ac:dyDescent="0.25"/>
  </sheetData>
  <mergeCells count="2">
    <mergeCell ref="C13:H13"/>
    <mergeCell ref="A144:B144"/>
  </mergeCells>
  <phoneticPr fontId="0" type="noConversion"/>
  <pageMargins left="0.75" right="0.75" top="1" bottom="1" header="0.5" footer="0.5"/>
  <pageSetup scale="46" fitToHeight="0" orientation="landscape" r:id="rId1"/>
  <headerFooter alignWithMargins="0"/>
  <rowBreaks count="1" manualBreakCount="1">
    <brk id="60" max="16383" man="1"/>
  </rowBreaks>
  <colBreaks count="1" manualBreakCount="1">
    <brk id="11" max="1048575" man="1"/>
  </col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
    <tabColor indexed="18"/>
  </sheetPr>
  <dimension ref="A1:E31"/>
  <sheetViews>
    <sheetView workbookViewId="0"/>
  </sheetViews>
  <sheetFormatPr defaultRowHeight="12.5" x14ac:dyDescent="0.25"/>
  <cols>
    <col min="1" max="1" width="33" customWidth="1"/>
    <col min="2" max="2" width="10" customWidth="1"/>
    <col min="3" max="3" width="14" customWidth="1"/>
    <col min="4" max="4" width="11.1796875" customWidth="1"/>
    <col min="5" max="5" width="60.81640625" customWidth="1"/>
    <col min="7" max="8" width="14" customWidth="1"/>
    <col min="11" max="11" width="14.1796875" customWidth="1"/>
    <col min="12" max="12" width="18.26953125" customWidth="1"/>
    <col min="15" max="15" width="12.453125" bestFit="1" customWidth="1"/>
    <col min="16" max="16" width="14.26953125" customWidth="1"/>
  </cols>
  <sheetData>
    <row r="1" spans="1:5" s="2" customFormat="1" ht="14" x14ac:dyDescent="0.3">
      <c r="A1" s="2" t="s">
        <v>284</v>
      </c>
      <c r="B1" s="2" t="s">
        <v>285</v>
      </c>
      <c r="C1" s="2" t="s">
        <v>286</v>
      </c>
    </row>
    <row r="2" spans="1:5" ht="14" x14ac:dyDescent="0.3">
      <c r="A2" s="2" t="s">
        <v>287</v>
      </c>
    </row>
    <row r="3" spans="1:5" x14ac:dyDescent="0.25">
      <c r="A3" t="s">
        <v>288</v>
      </c>
      <c r="B3" t="s">
        <v>289</v>
      </c>
      <c r="C3">
        <v>1.6093</v>
      </c>
      <c r="D3" t="s">
        <v>642</v>
      </c>
    </row>
    <row r="4" spans="1:5" x14ac:dyDescent="0.25">
      <c r="A4" t="s">
        <v>290</v>
      </c>
      <c r="B4" t="s">
        <v>291</v>
      </c>
      <c r="C4">
        <v>3.7850000000000001</v>
      </c>
      <c r="D4" t="s">
        <v>643</v>
      </c>
    </row>
    <row r="5" spans="1:5" x14ac:dyDescent="0.25">
      <c r="A5" t="s">
        <v>292</v>
      </c>
      <c r="B5" t="s">
        <v>293</v>
      </c>
      <c r="C5">
        <v>1.8263969224024776E-2</v>
      </c>
      <c r="D5" t="s">
        <v>644</v>
      </c>
    </row>
    <row r="6" spans="1:5" x14ac:dyDescent="0.25">
      <c r="A6" t="s">
        <v>850</v>
      </c>
      <c r="B6" t="s">
        <v>1008</v>
      </c>
      <c r="C6">
        <v>2.6852999999999998E-2</v>
      </c>
      <c r="D6" t="s">
        <v>645</v>
      </c>
      <c r="E6" t="s">
        <v>709</v>
      </c>
    </row>
    <row r="7" spans="1:5" x14ac:dyDescent="0.25">
      <c r="A7" t="s">
        <v>858</v>
      </c>
      <c r="B7" t="s">
        <v>268</v>
      </c>
      <c r="C7">
        <f>1/2.205</f>
        <v>0.45351473922902491</v>
      </c>
      <c r="D7" t="s">
        <v>646</v>
      </c>
    </row>
    <row r="8" spans="1:5" x14ac:dyDescent="0.25">
      <c r="A8" t="s">
        <v>915</v>
      </c>
      <c r="B8" t="s">
        <v>1008</v>
      </c>
      <c r="C8">
        <v>2.8316999999999998E-2</v>
      </c>
      <c r="D8" t="s">
        <v>647</v>
      </c>
      <c r="E8" t="s">
        <v>710</v>
      </c>
    </row>
    <row r="9" spans="1:5" x14ac:dyDescent="0.25">
      <c r="A9" t="s">
        <v>377</v>
      </c>
      <c r="B9" t="s">
        <v>415</v>
      </c>
      <c r="C9">
        <v>145.03800000000001</v>
      </c>
      <c r="D9" t="s">
        <v>551</v>
      </c>
    </row>
    <row r="11" spans="1:5" ht="14" x14ac:dyDescent="0.3">
      <c r="A11" s="2" t="s">
        <v>294</v>
      </c>
    </row>
    <row r="12" spans="1:5" x14ac:dyDescent="0.25">
      <c r="A12" t="s">
        <v>295</v>
      </c>
      <c r="B12" t="s">
        <v>296</v>
      </c>
      <c r="C12">
        <v>0.27777777777777779</v>
      </c>
    </row>
    <row r="13" spans="1:5" x14ac:dyDescent="0.25">
      <c r="A13" t="s">
        <v>297</v>
      </c>
      <c r="B13" t="s">
        <v>296</v>
      </c>
      <c r="C13">
        <v>34.022625288888882</v>
      </c>
    </row>
    <row r="14" spans="1:5" x14ac:dyDescent="0.25">
      <c r="A14" t="s">
        <v>298</v>
      </c>
      <c r="B14" t="s">
        <v>299</v>
      </c>
      <c r="C14">
        <v>0.97933196399532141</v>
      </c>
    </row>
    <row r="15" spans="1:5" x14ac:dyDescent="0.25">
      <c r="A15" t="s">
        <v>298</v>
      </c>
      <c r="B15" t="s">
        <v>296</v>
      </c>
      <c r="C15">
        <f>kgH2_to_GJ*MJ_to_kWh*1000</f>
        <v>33.392121748655818</v>
      </c>
    </row>
    <row r="16" spans="1:5" x14ac:dyDescent="0.25">
      <c r="A16" t="s">
        <v>298</v>
      </c>
      <c r="B16" t="s">
        <v>1074</v>
      </c>
      <c r="C16">
        <f>H2_LHV_MJ_p_kg/1000</f>
        <v>0.12021163829516093</v>
      </c>
    </row>
    <row r="17" spans="1:3" x14ac:dyDescent="0.25">
      <c r="A17" t="s">
        <v>300</v>
      </c>
      <c r="B17" t="s">
        <v>296</v>
      </c>
      <c r="C17">
        <v>2.9308323563892143E-4</v>
      </c>
    </row>
    <row r="18" spans="1:3" x14ac:dyDescent="0.25">
      <c r="A18" t="s">
        <v>1073</v>
      </c>
      <c r="B18" t="s">
        <v>1074</v>
      </c>
      <c r="C18">
        <v>1.0549999999999999</v>
      </c>
    </row>
    <row r="21" spans="1:3" ht="14" x14ac:dyDescent="0.3">
      <c r="A21" s="2" t="s">
        <v>537</v>
      </c>
      <c r="C21" s="467" t="s">
        <v>840</v>
      </c>
    </row>
    <row r="22" spans="1:3" x14ac:dyDescent="0.25">
      <c r="A22" t="s">
        <v>403</v>
      </c>
      <c r="B22">
        <v>1</v>
      </c>
    </row>
    <row r="23" spans="1:3" x14ac:dyDescent="0.25">
      <c r="A23" t="s">
        <v>404</v>
      </c>
      <c r="B23">
        <v>25</v>
      </c>
    </row>
    <row r="24" spans="1:3" x14ac:dyDescent="0.25">
      <c r="A24" t="s">
        <v>405</v>
      </c>
      <c r="B24">
        <v>298</v>
      </c>
    </row>
    <row r="27" spans="1:3" ht="14" x14ac:dyDescent="0.3">
      <c r="A27" s="2" t="s">
        <v>704</v>
      </c>
    </row>
    <row r="28" spans="1:3" x14ac:dyDescent="0.25">
      <c r="A28" t="s">
        <v>705</v>
      </c>
      <c r="B28" t="s">
        <v>706</v>
      </c>
    </row>
    <row r="29" spans="1:3" x14ac:dyDescent="0.25">
      <c r="A29" t="s">
        <v>864</v>
      </c>
      <c r="B29">
        <f>mmBTU_to_GJ</f>
        <v>1.0549999999999999</v>
      </c>
    </row>
    <row r="30" spans="1:3" x14ac:dyDescent="0.25">
      <c r="A30" t="s">
        <v>296</v>
      </c>
      <c r="B30">
        <f>1/MJ_to_kWh/1000</f>
        <v>3.5999999999999995E-3</v>
      </c>
    </row>
    <row r="31" spans="1:3" x14ac:dyDescent="0.25">
      <c r="A31" t="s">
        <v>1074</v>
      </c>
      <c r="B31">
        <v>1</v>
      </c>
    </row>
  </sheetData>
  <phoneticPr fontId="2" type="noConversion"/>
  <pageMargins left="0.75" right="0.75" top="1" bottom="1" header="0.5" footer="0.5"/>
  <pageSetup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tabColor indexed="18"/>
  </sheetPr>
  <dimension ref="A1:AC80"/>
  <sheetViews>
    <sheetView zoomScale="70" zoomScaleNormal="70" workbookViewId="0">
      <selection activeCell="G32" sqref="G32:H32"/>
    </sheetView>
  </sheetViews>
  <sheetFormatPr defaultRowHeight="12.5" x14ac:dyDescent="0.25"/>
  <cols>
    <col min="1" max="1" width="17" customWidth="1"/>
    <col min="3" max="3" width="13.7265625" customWidth="1"/>
    <col min="5" max="5" width="16" customWidth="1"/>
    <col min="7" max="7" width="56.453125" customWidth="1"/>
    <col min="8" max="8" width="18.81640625" customWidth="1"/>
    <col min="10" max="10" width="22.26953125" customWidth="1"/>
    <col min="11" max="11" width="33.81640625" customWidth="1"/>
    <col min="13" max="13" width="21" customWidth="1"/>
    <col min="15" max="15" width="20.7265625" customWidth="1"/>
    <col min="16" max="16" width="17.1796875" customWidth="1"/>
    <col min="18" max="18" width="21" customWidth="1"/>
    <col min="20" max="20" width="14.54296875" customWidth="1"/>
    <col min="22" max="22" width="18.54296875" customWidth="1"/>
    <col min="25" max="25" width="22.54296875" customWidth="1"/>
    <col min="26" max="26" width="15.1796875" customWidth="1"/>
    <col min="28" max="28" width="18.7265625" customWidth="1"/>
    <col min="29" max="29" width="18.54296875" customWidth="1"/>
  </cols>
  <sheetData>
    <row r="1" spans="1:29" ht="13" x14ac:dyDescent="0.3">
      <c r="A1" s="1" t="s">
        <v>1091</v>
      </c>
    </row>
    <row r="2" spans="1:29" ht="13" x14ac:dyDescent="0.3">
      <c r="J2" s="1" t="s">
        <v>814</v>
      </c>
    </row>
    <row r="3" spans="1:29" ht="13" x14ac:dyDescent="0.3">
      <c r="A3" s="1" t="s">
        <v>1005</v>
      </c>
      <c r="C3" s="1" t="s">
        <v>22</v>
      </c>
      <c r="E3" s="1" t="s">
        <v>166</v>
      </c>
      <c r="G3" s="1" t="s">
        <v>11</v>
      </c>
      <c r="J3" s="980" t="s">
        <v>1117</v>
      </c>
      <c r="M3" s="1" t="s">
        <v>75</v>
      </c>
      <c r="O3" s="1" t="s">
        <v>439</v>
      </c>
      <c r="R3" s="1" t="s">
        <v>666</v>
      </c>
      <c r="T3" s="1" t="s">
        <v>434</v>
      </c>
      <c r="V3" s="1" t="s">
        <v>436</v>
      </c>
      <c r="Y3" s="1" t="s">
        <v>346</v>
      </c>
      <c r="AB3" s="1" t="s">
        <v>1066</v>
      </c>
    </row>
    <row r="4" spans="1:29" ht="13" x14ac:dyDescent="0.3">
      <c r="A4" t="s">
        <v>1006</v>
      </c>
      <c r="C4" t="s">
        <v>23</v>
      </c>
      <c r="E4" s="1">
        <v>100000</v>
      </c>
      <c r="G4" t="s">
        <v>324</v>
      </c>
      <c r="H4" t="s">
        <v>8</v>
      </c>
      <c r="J4" s="980" t="s">
        <v>1105</v>
      </c>
      <c r="M4" t="s">
        <v>1042</v>
      </c>
      <c r="O4" t="str">
        <f>M7</f>
        <v>ref_year</v>
      </c>
      <c r="P4">
        <v>2016</v>
      </c>
      <c r="R4" s="467" t="s">
        <v>1042</v>
      </c>
      <c r="T4">
        <v>1</v>
      </c>
      <c r="U4" t="s">
        <v>435</v>
      </c>
      <c r="V4" t="s">
        <v>417</v>
      </c>
      <c r="W4">
        <v>1.1000000000000001</v>
      </c>
      <c r="Y4" t="s">
        <v>339</v>
      </c>
      <c r="Z4">
        <v>0.9</v>
      </c>
      <c r="AB4" t="s">
        <v>27</v>
      </c>
      <c r="AC4" s="467" t="s">
        <v>825</v>
      </c>
    </row>
    <row r="5" spans="1:29" x14ac:dyDescent="0.25">
      <c r="A5" t="s">
        <v>1007</v>
      </c>
      <c r="C5" t="s">
        <v>282</v>
      </c>
      <c r="G5" t="s">
        <v>335</v>
      </c>
      <c r="H5" t="s">
        <v>26</v>
      </c>
      <c r="J5" s="980" t="s">
        <v>1106</v>
      </c>
      <c r="M5" t="s">
        <v>8</v>
      </c>
      <c r="O5" t="str">
        <f>M18</f>
        <v>depr_type</v>
      </c>
      <c r="P5" t="s">
        <v>438</v>
      </c>
      <c r="R5" s="467" t="s">
        <v>936</v>
      </c>
      <c r="T5">
        <v>1.2</v>
      </c>
      <c r="U5" t="s">
        <v>424</v>
      </c>
      <c r="V5" t="s">
        <v>418</v>
      </c>
      <c r="W5">
        <v>1</v>
      </c>
      <c r="Y5" t="s">
        <v>340</v>
      </c>
      <c r="Z5">
        <v>0.04</v>
      </c>
      <c r="AB5" t="s">
        <v>179</v>
      </c>
      <c r="AC5" s="467" t="s">
        <v>825</v>
      </c>
    </row>
    <row r="6" spans="1:29" x14ac:dyDescent="0.25">
      <c r="G6" t="s">
        <v>373</v>
      </c>
      <c r="H6" t="s">
        <v>182</v>
      </c>
      <c r="J6" s="980" t="s">
        <v>1107</v>
      </c>
      <c r="M6" t="s">
        <v>26</v>
      </c>
      <c r="O6" t="str">
        <f>M19</f>
        <v>equity</v>
      </c>
      <c r="P6" s="1519">
        <v>0.4</v>
      </c>
      <c r="R6" s="467" t="s">
        <v>937</v>
      </c>
      <c r="V6" t="s">
        <v>419</v>
      </c>
      <c r="W6">
        <v>1.05</v>
      </c>
      <c r="Y6" t="s">
        <v>550</v>
      </c>
      <c r="Z6">
        <v>14.7</v>
      </c>
      <c r="AB6" t="s">
        <v>171</v>
      </c>
      <c r="AC6" s="467" t="s">
        <v>825</v>
      </c>
    </row>
    <row r="7" spans="1:29" ht="13" x14ac:dyDescent="0.3">
      <c r="A7" s="1" t="s">
        <v>270</v>
      </c>
      <c r="C7" s="1" t="s">
        <v>1057</v>
      </c>
      <c r="G7" t="s">
        <v>374</v>
      </c>
      <c r="H7" t="s">
        <v>10</v>
      </c>
      <c r="J7" s="1399" t="s">
        <v>1290</v>
      </c>
      <c r="M7" t="s">
        <v>1025</v>
      </c>
      <c r="O7" t="str">
        <f t="shared" ref="O7:O13" si="0">M25</f>
        <v>decom_percent</v>
      </c>
      <c r="P7">
        <v>0.1</v>
      </c>
      <c r="R7" s="467" t="s">
        <v>938</v>
      </c>
      <c r="V7" t="s">
        <v>420</v>
      </c>
      <c r="W7">
        <v>1.1000000000000001</v>
      </c>
      <c r="Y7" t="s">
        <v>962</v>
      </c>
      <c r="Z7">
        <v>0</v>
      </c>
      <c r="AB7" t="s">
        <v>173</v>
      </c>
      <c r="AC7" s="467" t="s">
        <v>825</v>
      </c>
    </row>
    <row r="8" spans="1:29" x14ac:dyDescent="0.25">
      <c r="A8" t="s">
        <v>248</v>
      </c>
      <c r="C8" t="s">
        <v>1052</v>
      </c>
      <c r="G8" t="s">
        <v>378</v>
      </c>
      <c r="H8" t="s">
        <v>181</v>
      </c>
      <c r="M8" t="s">
        <v>182</v>
      </c>
      <c r="O8" t="str">
        <f t="shared" si="0"/>
        <v>salvage_perct</v>
      </c>
      <c r="P8">
        <v>0.1</v>
      </c>
      <c r="R8" s="467" t="s">
        <v>939</v>
      </c>
      <c r="V8" t="s">
        <v>422</v>
      </c>
      <c r="W8">
        <v>1.1000000000000001</v>
      </c>
      <c r="Y8" s="309" t="s">
        <v>1270</v>
      </c>
      <c r="Z8" s="309">
        <v>1</v>
      </c>
      <c r="AB8" t="s">
        <v>29</v>
      </c>
      <c r="AC8" s="467" t="s">
        <v>825</v>
      </c>
    </row>
    <row r="9" spans="1:29" x14ac:dyDescent="0.25">
      <c r="A9" t="s">
        <v>271</v>
      </c>
      <c r="C9" t="s">
        <v>271</v>
      </c>
      <c r="G9" t="s">
        <v>379</v>
      </c>
      <c r="H9" t="s">
        <v>170</v>
      </c>
      <c r="M9" t="s">
        <v>10</v>
      </c>
      <c r="O9" t="str">
        <f t="shared" si="0"/>
        <v>inflation_rate</v>
      </c>
      <c r="P9">
        <v>1.9E-2</v>
      </c>
      <c r="R9" s="467" t="s">
        <v>940</v>
      </c>
      <c r="V9" t="s">
        <v>421</v>
      </c>
      <c r="W9">
        <v>1.3</v>
      </c>
      <c r="Y9" s="309" t="s">
        <v>345</v>
      </c>
      <c r="Z9" s="309">
        <v>100</v>
      </c>
      <c r="AB9" t="s">
        <v>159</v>
      </c>
      <c r="AC9" s="467" t="s">
        <v>825</v>
      </c>
    </row>
    <row r="10" spans="1:29" x14ac:dyDescent="0.25">
      <c r="A10" t="s">
        <v>272</v>
      </c>
      <c r="C10" t="s">
        <v>1058</v>
      </c>
      <c r="G10" t="s">
        <v>325</v>
      </c>
      <c r="H10" t="s">
        <v>18</v>
      </c>
      <c r="M10" t="s">
        <v>161</v>
      </c>
      <c r="O10" t="str">
        <f t="shared" si="0"/>
        <v>real_irr</v>
      </c>
      <c r="P10" s="1519">
        <v>0.08</v>
      </c>
      <c r="R10" s="467" t="s">
        <v>941</v>
      </c>
      <c r="V10" t="s">
        <v>423</v>
      </c>
      <c r="W10">
        <v>1.5</v>
      </c>
      <c r="Y10" s="309" t="s">
        <v>1252</v>
      </c>
      <c r="Z10" s="309">
        <v>0.75</v>
      </c>
      <c r="AB10" t="s">
        <v>169</v>
      </c>
      <c r="AC10" s="467" t="s">
        <v>825</v>
      </c>
    </row>
    <row r="11" spans="1:29" ht="13" x14ac:dyDescent="0.3">
      <c r="C11" t="s">
        <v>1071</v>
      </c>
      <c r="G11" t="s">
        <v>326</v>
      </c>
      <c r="H11" t="s">
        <v>178</v>
      </c>
      <c r="J11" s="1" t="s">
        <v>693</v>
      </c>
      <c r="K11" s="1" t="s">
        <v>694</v>
      </c>
      <c r="M11" t="s">
        <v>162</v>
      </c>
      <c r="O11" t="str">
        <f t="shared" si="0"/>
        <v>state_tax_rate</v>
      </c>
      <c r="P11">
        <v>0.06</v>
      </c>
      <c r="R11" s="467" t="s">
        <v>942</v>
      </c>
      <c r="Y11" s="309" t="s">
        <v>1253</v>
      </c>
      <c r="Z11" s="1339" t="s">
        <v>23</v>
      </c>
      <c r="AB11" t="s">
        <v>1093</v>
      </c>
      <c r="AC11" t="s">
        <v>839</v>
      </c>
    </row>
    <row r="12" spans="1:29" x14ac:dyDescent="0.25">
      <c r="C12" t="s">
        <v>272</v>
      </c>
      <c r="G12" t="s">
        <v>327</v>
      </c>
      <c r="H12" t="s">
        <v>30</v>
      </c>
      <c r="J12" s="894" t="str">
        <f>TMP_PriceTable</f>
        <v>AEO_2017_Reference_Case</v>
      </c>
      <c r="K12" t="str">
        <f>J12&amp;"_Feeds"</f>
        <v>AEO_2017_Reference_Case_Feeds</v>
      </c>
      <c r="M12" t="s">
        <v>163</v>
      </c>
      <c r="O12" t="str">
        <f t="shared" si="0"/>
        <v>fed_tax_rate</v>
      </c>
      <c r="P12" s="1519">
        <v>0.21</v>
      </c>
      <c r="R12" s="467" t="s">
        <v>943</v>
      </c>
      <c r="Y12" s="309" t="s">
        <v>1254</v>
      </c>
      <c r="Z12" s="1339" t="s">
        <v>23</v>
      </c>
      <c r="AB12" t="s">
        <v>1094</v>
      </c>
      <c r="AC12" t="s">
        <v>1062</v>
      </c>
    </row>
    <row r="13" spans="1:29" ht="13" x14ac:dyDescent="0.3">
      <c r="G13" t="s">
        <v>328</v>
      </c>
      <c r="H13" t="s">
        <v>174</v>
      </c>
      <c r="K13" s="1" t="s">
        <v>695</v>
      </c>
      <c r="M13" t="s">
        <v>164</v>
      </c>
      <c r="O13" t="str">
        <f t="shared" si="0"/>
        <v>WorkingCap</v>
      </c>
      <c r="P13">
        <v>0.15</v>
      </c>
      <c r="R13" s="467" t="s">
        <v>944</v>
      </c>
      <c r="Y13" s="309" t="s">
        <v>1255</v>
      </c>
      <c r="Z13" s="309">
        <v>0</v>
      </c>
      <c r="AB13" t="s">
        <v>1022</v>
      </c>
      <c r="AC13">
        <v>0.25</v>
      </c>
    </row>
    <row r="14" spans="1:29" ht="13" x14ac:dyDescent="0.3">
      <c r="A14" s="1" t="s">
        <v>16</v>
      </c>
      <c r="C14" s="1" t="s">
        <v>199</v>
      </c>
      <c r="G14" t="s">
        <v>329</v>
      </c>
      <c r="H14" t="s">
        <v>184</v>
      </c>
      <c r="K14" t="str">
        <f>J12&amp;"_Years"</f>
        <v>AEO_2017_Reference_Case_Years</v>
      </c>
      <c r="M14" t="s">
        <v>181</v>
      </c>
      <c r="O14" t="s">
        <v>160</v>
      </c>
      <c r="P14">
        <v>0.2</v>
      </c>
      <c r="R14" t="s">
        <v>8</v>
      </c>
      <c r="Y14" s="309" t="s">
        <v>1256</v>
      </c>
      <c r="Z14" s="309">
        <v>53</v>
      </c>
      <c r="AB14" t="s">
        <v>1023</v>
      </c>
      <c r="AC14" t="s">
        <v>839</v>
      </c>
    </row>
    <row r="15" spans="1:29" x14ac:dyDescent="0.25">
      <c r="A15" t="s">
        <v>191</v>
      </c>
      <c r="C15" s="783" t="s">
        <v>200</v>
      </c>
      <c r="G15" t="s">
        <v>330</v>
      </c>
      <c r="H15" t="s">
        <v>28</v>
      </c>
      <c r="M15" t="s">
        <v>170</v>
      </c>
      <c r="O15" t="s">
        <v>186</v>
      </c>
      <c r="P15">
        <v>0.02</v>
      </c>
      <c r="R15" t="s">
        <v>26</v>
      </c>
      <c r="Y15" s="1335"/>
      <c r="Z15" s="1335"/>
      <c r="AB15" t="s">
        <v>31</v>
      </c>
      <c r="AC15" t="s">
        <v>1062</v>
      </c>
    </row>
    <row r="16" spans="1:29" ht="14" x14ac:dyDescent="0.25">
      <c r="A16" t="s">
        <v>192</v>
      </c>
      <c r="C16" s="784" t="s">
        <v>201</v>
      </c>
      <c r="G16" t="s">
        <v>331</v>
      </c>
      <c r="H16" t="s">
        <v>189</v>
      </c>
      <c r="M16" t="s">
        <v>7</v>
      </c>
      <c r="O16" t="s">
        <v>177</v>
      </c>
      <c r="P16">
        <v>0</v>
      </c>
      <c r="R16" t="s">
        <v>1025</v>
      </c>
      <c r="Y16" s="1335"/>
      <c r="Z16" s="1336"/>
      <c r="AB16" t="s">
        <v>175</v>
      </c>
      <c r="AC16" t="s">
        <v>1062</v>
      </c>
    </row>
    <row r="17" spans="1:29" x14ac:dyDescent="0.25">
      <c r="A17" t="s">
        <v>243</v>
      </c>
      <c r="C17" s="840" t="s">
        <v>501</v>
      </c>
      <c r="G17" t="s">
        <v>12</v>
      </c>
      <c r="H17" t="s">
        <v>246</v>
      </c>
      <c r="M17" t="s">
        <v>24</v>
      </c>
      <c r="O17" t="s">
        <v>156</v>
      </c>
      <c r="P17">
        <v>0</v>
      </c>
      <c r="R17" t="s">
        <v>182</v>
      </c>
      <c r="AB17" t="s">
        <v>1024</v>
      </c>
      <c r="AC17" t="s">
        <v>1062</v>
      </c>
    </row>
    <row r="18" spans="1:29" x14ac:dyDescent="0.25">
      <c r="A18" t="s">
        <v>244</v>
      </c>
      <c r="C18" s="785" t="s">
        <v>1032</v>
      </c>
      <c r="G18" t="s">
        <v>117</v>
      </c>
      <c r="H18" t="s">
        <v>974</v>
      </c>
      <c r="M18" t="s">
        <v>25</v>
      </c>
      <c r="O18" t="s">
        <v>185</v>
      </c>
      <c r="P18">
        <v>0</v>
      </c>
      <c r="R18" t="s">
        <v>10</v>
      </c>
      <c r="Y18" s="1335"/>
      <c r="Z18" s="1335"/>
      <c r="AB18" t="s">
        <v>172</v>
      </c>
      <c r="AC18" t="s">
        <v>1062</v>
      </c>
    </row>
    <row r="19" spans="1:29" x14ac:dyDescent="0.25">
      <c r="A19" t="s">
        <v>245</v>
      </c>
      <c r="C19" s="484" t="s">
        <v>202</v>
      </c>
      <c r="G19" t="s">
        <v>634</v>
      </c>
      <c r="H19" t="s">
        <v>635</v>
      </c>
      <c r="M19" t="s">
        <v>247</v>
      </c>
      <c r="O19" t="s">
        <v>964</v>
      </c>
      <c r="P19">
        <v>0</v>
      </c>
      <c r="R19" t="s">
        <v>161</v>
      </c>
      <c r="Y19" s="1335"/>
      <c r="Z19" s="1335"/>
      <c r="AB19" t="s">
        <v>157</v>
      </c>
      <c r="AC19" t="s">
        <v>1061</v>
      </c>
    </row>
    <row r="20" spans="1:29" x14ac:dyDescent="0.25">
      <c r="A20" t="s">
        <v>17</v>
      </c>
      <c r="G20" t="s">
        <v>352</v>
      </c>
      <c r="H20" t="s">
        <v>1093</v>
      </c>
      <c r="M20" t="s">
        <v>13</v>
      </c>
      <c r="O20" t="s">
        <v>965</v>
      </c>
      <c r="P20">
        <v>0</v>
      </c>
      <c r="R20" t="s">
        <v>162</v>
      </c>
      <c r="Y20" s="1335"/>
      <c r="Z20" s="1335"/>
      <c r="AB20" t="s">
        <v>158</v>
      </c>
      <c r="AC20" t="s">
        <v>1062</v>
      </c>
    </row>
    <row r="21" spans="1:29" x14ac:dyDescent="0.25">
      <c r="G21" t="s">
        <v>662</v>
      </c>
      <c r="H21" t="s">
        <v>1022</v>
      </c>
      <c r="M21" t="s">
        <v>14</v>
      </c>
      <c r="R21" t="s">
        <v>163</v>
      </c>
      <c r="AB21" t="s">
        <v>187</v>
      </c>
      <c r="AC21" t="s">
        <v>1061</v>
      </c>
    </row>
    <row r="22" spans="1:29" x14ac:dyDescent="0.25">
      <c r="G22" t="s">
        <v>332</v>
      </c>
      <c r="H22" t="s">
        <v>160</v>
      </c>
      <c r="M22" t="s">
        <v>165</v>
      </c>
      <c r="R22" t="s">
        <v>164</v>
      </c>
      <c r="AB22" t="s">
        <v>280</v>
      </c>
      <c r="AC22" t="s">
        <v>1061</v>
      </c>
    </row>
    <row r="23" spans="1:29" ht="13" x14ac:dyDescent="0.3">
      <c r="A23" s="1" t="s">
        <v>838</v>
      </c>
      <c r="G23" t="s">
        <v>333</v>
      </c>
      <c r="H23" t="s">
        <v>186</v>
      </c>
      <c r="M23" t="s">
        <v>167</v>
      </c>
      <c r="R23" t="s">
        <v>181</v>
      </c>
      <c r="AB23" t="s">
        <v>188</v>
      </c>
      <c r="AC23" t="s">
        <v>1061</v>
      </c>
    </row>
    <row r="24" spans="1:29" x14ac:dyDescent="0.25">
      <c r="A24" s="467" t="s">
        <v>1061</v>
      </c>
      <c r="G24" t="s">
        <v>359</v>
      </c>
      <c r="H24" t="s">
        <v>175</v>
      </c>
      <c r="M24" t="s">
        <v>168</v>
      </c>
      <c r="R24" t="s">
        <v>170</v>
      </c>
      <c r="AB24" t="s">
        <v>180</v>
      </c>
      <c r="AC24" t="s">
        <v>1061</v>
      </c>
    </row>
    <row r="25" spans="1:29" x14ac:dyDescent="0.25">
      <c r="A25" s="467" t="s">
        <v>1062</v>
      </c>
      <c r="G25" t="s">
        <v>360</v>
      </c>
      <c r="H25" t="s">
        <v>1024</v>
      </c>
      <c r="M25" t="s">
        <v>18</v>
      </c>
      <c r="R25" t="s">
        <v>7</v>
      </c>
      <c r="AB25" t="s">
        <v>177</v>
      </c>
      <c r="AC25" t="s">
        <v>1061</v>
      </c>
    </row>
    <row r="26" spans="1:29" x14ac:dyDescent="0.25">
      <c r="A26" s="467" t="s">
        <v>839</v>
      </c>
      <c r="G26" t="s">
        <v>361</v>
      </c>
      <c r="H26" t="s">
        <v>172</v>
      </c>
      <c r="M26" t="s">
        <v>178</v>
      </c>
      <c r="R26" t="s">
        <v>24</v>
      </c>
      <c r="AB26" t="s">
        <v>156</v>
      </c>
      <c r="AC26" t="s">
        <v>1061</v>
      </c>
    </row>
    <row r="27" spans="1:29" x14ac:dyDescent="0.25">
      <c r="A27" s="467" t="s">
        <v>825</v>
      </c>
      <c r="G27" t="s">
        <v>365</v>
      </c>
      <c r="H27" t="s">
        <v>188</v>
      </c>
      <c r="M27" t="s">
        <v>30</v>
      </c>
      <c r="R27" t="s">
        <v>25</v>
      </c>
      <c r="AB27" t="s">
        <v>185</v>
      </c>
      <c r="AC27" t="s">
        <v>1061</v>
      </c>
    </row>
    <row r="28" spans="1:29" x14ac:dyDescent="0.25">
      <c r="A28">
        <v>0.1</v>
      </c>
      <c r="G28" t="s">
        <v>366</v>
      </c>
      <c r="H28" t="s">
        <v>180</v>
      </c>
      <c r="M28" t="s">
        <v>174</v>
      </c>
      <c r="R28" t="s">
        <v>247</v>
      </c>
      <c r="AB28" t="s">
        <v>1065</v>
      </c>
      <c r="AC28" t="s">
        <v>825</v>
      </c>
    </row>
    <row r="29" spans="1:29" x14ac:dyDescent="0.25">
      <c r="A29">
        <v>0.2</v>
      </c>
      <c r="G29" t="s">
        <v>1000</v>
      </c>
      <c r="H29" t="s">
        <v>9</v>
      </c>
      <c r="M29" t="s">
        <v>184</v>
      </c>
      <c r="R29" t="s">
        <v>13</v>
      </c>
    </row>
    <row r="30" spans="1:29" x14ac:dyDescent="0.25">
      <c r="A30">
        <v>0.25</v>
      </c>
      <c r="G30" t="s">
        <v>835</v>
      </c>
      <c r="H30" t="s">
        <v>836</v>
      </c>
      <c r="M30" t="s">
        <v>28</v>
      </c>
      <c r="R30" t="s">
        <v>14</v>
      </c>
    </row>
    <row r="31" spans="1:29" x14ac:dyDescent="0.25">
      <c r="A31">
        <v>0.3</v>
      </c>
      <c r="G31" t="s">
        <v>1359</v>
      </c>
      <c r="H31" t="s">
        <v>1360</v>
      </c>
      <c r="M31" t="s">
        <v>189</v>
      </c>
      <c r="R31" t="s">
        <v>165</v>
      </c>
    </row>
    <row r="32" spans="1:29" x14ac:dyDescent="0.25">
      <c r="A32">
        <v>0.4</v>
      </c>
      <c r="G32" t="s">
        <v>835</v>
      </c>
      <c r="H32" t="s">
        <v>836</v>
      </c>
      <c r="M32" t="s">
        <v>1093</v>
      </c>
      <c r="R32" t="s">
        <v>167</v>
      </c>
    </row>
    <row r="33" spans="1:18" x14ac:dyDescent="0.25">
      <c r="A33">
        <v>0.5</v>
      </c>
      <c r="M33" t="s">
        <v>1094</v>
      </c>
      <c r="R33" t="s">
        <v>168</v>
      </c>
    </row>
    <row r="34" spans="1:18" x14ac:dyDescent="0.25">
      <c r="A34">
        <v>0.6</v>
      </c>
      <c r="M34" t="s">
        <v>1022</v>
      </c>
      <c r="R34" t="s">
        <v>18</v>
      </c>
    </row>
    <row r="35" spans="1:18" x14ac:dyDescent="0.25">
      <c r="A35">
        <v>0.7</v>
      </c>
      <c r="M35" t="s">
        <v>1023</v>
      </c>
      <c r="R35" t="s">
        <v>178</v>
      </c>
    </row>
    <row r="36" spans="1:18" x14ac:dyDescent="0.25">
      <c r="A36">
        <v>0.8</v>
      </c>
      <c r="M36" t="s">
        <v>160</v>
      </c>
      <c r="R36" t="s">
        <v>30</v>
      </c>
    </row>
    <row r="37" spans="1:18" x14ac:dyDescent="0.25">
      <c r="A37">
        <v>0.9</v>
      </c>
      <c r="M37" t="s">
        <v>186</v>
      </c>
      <c r="R37" t="s">
        <v>174</v>
      </c>
    </row>
    <row r="38" spans="1:18" x14ac:dyDescent="0.25">
      <c r="M38" t="s">
        <v>175</v>
      </c>
      <c r="R38" t="s">
        <v>184</v>
      </c>
    </row>
    <row r="39" spans="1:18" x14ac:dyDescent="0.25">
      <c r="M39" t="s">
        <v>1024</v>
      </c>
      <c r="R39" t="s">
        <v>28</v>
      </c>
    </row>
    <row r="40" spans="1:18" x14ac:dyDescent="0.25">
      <c r="M40" t="s">
        <v>172</v>
      </c>
      <c r="R40" t="s">
        <v>189</v>
      </c>
    </row>
    <row r="41" spans="1:18" x14ac:dyDescent="0.25">
      <c r="M41" t="s">
        <v>157</v>
      </c>
      <c r="R41" t="s">
        <v>246</v>
      </c>
    </row>
    <row r="42" spans="1:18" x14ac:dyDescent="0.25">
      <c r="M42" t="s">
        <v>158</v>
      </c>
      <c r="R42" t="s">
        <v>27</v>
      </c>
    </row>
    <row r="43" spans="1:18" x14ac:dyDescent="0.25">
      <c r="M43" t="s">
        <v>280</v>
      </c>
      <c r="R43" t="s">
        <v>179</v>
      </c>
    </row>
    <row r="44" spans="1:18" x14ac:dyDescent="0.25">
      <c r="M44" t="s">
        <v>187</v>
      </c>
      <c r="R44" t="s">
        <v>171</v>
      </c>
    </row>
    <row r="45" spans="1:18" x14ac:dyDescent="0.25">
      <c r="M45" t="s">
        <v>188</v>
      </c>
      <c r="R45" t="s">
        <v>173</v>
      </c>
    </row>
    <row r="46" spans="1:18" x14ac:dyDescent="0.25">
      <c r="M46" t="s">
        <v>180</v>
      </c>
      <c r="R46" t="s">
        <v>29</v>
      </c>
    </row>
    <row r="47" spans="1:18" x14ac:dyDescent="0.25">
      <c r="M47" t="s">
        <v>176</v>
      </c>
      <c r="R47" t="s">
        <v>159</v>
      </c>
    </row>
    <row r="48" spans="1:18" x14ac:dyDescent="0.25">
      <c r="M48" t="s">
        <v>177</v>
      </c>
      <c r="R48" t="s">
        <v>169</v>
      </c>
    </row>
    <row r="49" spans="13:18" x14ac:dyDescent="0.25">
      <c r="M49" t="s">
        <v>156</v>
      </c>
      <c r="R49" t="s">
        <v>1093</v>
      </c>
    </row>
    <row r="50" spans="13:18" x14ac:dyDescent="0.25">
      <c r="M50" t="s">
        <v>185</v>
      </c>
      <c r="R50" t="s">
        <v>1094</v>
      </c>
    </row>
    <row r="51" spans="13:18" x14ac:dyDescent="0.25">
      <c r="M51" t="s">
        <v>9</v>
      </c>
      <c r="R51" t="s">
        <v>1022</v>
      </c>
    </row>
    <row r="52" spans="13:18" x14ac:dyDescent="0.25">
      <c r="M52" t="s">
        <v>1065</v>
      </c>
      <c r="R52" t="s">
        <v>1023</v>
      </c>
    </row>
    <row r="53" spans="13:18" x14ac:dyDescent="0.25">
      <c r="M53" t="s">
        <v>587</v>
      </c>
      <c r="R53" t="s">
        <v>160</v>
      </c>
    </row>
    <row r="54" spans="13:18" x14ac:dyDescent="0.25">
      <c r="M54" t="s">
        <v>340</v>
      </c>
      <c r="R54" t="s">
        <v>186</v>
      </c>
    </row>
    <row r="55" spans="13:18" x14ac:dyDescent="0.25">
      <c r="M55" t="s">
        <v>341</v>
      </c>
      <c r="R55" t="s">
        <v>175</v>
      </c>
    </row>
    <row r="56" spans="13:18" x14ac:dyDescent="0.25">
      <c r="M56" t="s">
        <v>342</v>
      </c>
      <c r="R56" t="s">
        <v>1024</v>
      </c>
    </row>
    <row r="57" spans="13:18" x14ac:dyDescent="0.25">
      <c r="M57" t="s">
        <v>588</v>
      </c>
      <c r="R57" t="s">
        <v>172</v>
      </c>
    </row>
    <row r="58" spans="13:18" x14ac:dyDescent="0.25">
      <c r="M58" t="s">
        <v>343</v>
      </c>
      <c r="R58" t="s">
        <v>157</v>
      </c>
    </row>
    <row r="59" spans="13:18" x14ac:dyDescent="0.25">
      <c r="M59" t="s">
        <v>589</v>
      </c>
      <c r="R59" t="s">
        <v>158</v>
      </c>
    </row>
    <row r="60" spans="13:18" x14ac:dyDescent="0.25">
      <c r="M60" t="s">
        <v>344</v>
      </c>
      <c r="R60" t="s">
        <v>280</v>
      </c>
    </row>
    <row r="61" spans="13:18" x14ac:dyDescent="0.25">
      <c r="M61" t="s">
        <v>345</v>
      </c>
      <c r="R61" t="s">
        <v>281</v>
      </c>
    </row>
    <row r="62" spans="13:18" x14ac:dyDescent="0.25">
      <c r="R62" t="s">
        <v>259</v>
      </c>
    </row>
    <row r="63" spans="13:18" x14ac:dyDescent="0.25">
      <c r="R63" t="s">
        <v>187</v>
      </c>
    </row>
    <row r="64" spans="13:18" x14ac:dyDescent="0.25">
      <c r="R64" t="s">
        <v>188</v>
      </c>
    </row>
    <row r="65" spans="18:18" x14ac:dyDescent="0.25">
      <c r="R65" t="s">
        <v>180</v>
      </c>
    </row>
    <row r="66" spans="18:18" x14ac:dyDescent="0.25">
      <c r="R66" t="s">
        <v>176</v>
      </c>
    </row>
    <row r="67" spans="18:18" x14ac:dyDescent="0.25">
      <c r="R67" t="s">
        <v>177</v>
      </c>
    </row>
    <row r="68" spans="18:18" x14ac:dyDescent="0.25">
      <c r="R68" t="s">
        <v>156</v>
      </c>
    </row>
    <row r="69" spans="18:18" x14ac:dyDescent="0.25">
      <c r="R69" t="s">
        <v>185</v>
      </c>
    </row>
    <row r="70" spans="18:18" x14ac:dyDescent="0.25">
      <c r="R70" t="s">
        <v>9</v>
      </c>
    </row>
    <row r="71" spans="18:18" x14ac:dyDescent="0.25">
      <c r="R71" t="s">
        <v>1065</v>
      </c>
    </row>
    <row r="72" spans="18:18" x14ac:dyDescent="0.25">
      <c r="R72" t="s">
        <v>587</v>
      </c>
    </row>
    <row r="73" spans="18:18" x14ac:dyDescent="0.25">
      <c r="R73" t="s">
        <v>340</v>
      </c>
    </row>
    <row r="74" spans="18:18" x14ac:dyDescent="0.25">
      <c r="R74" t="s">
        <v>341</v>
      </c>
    </row>
    <row r="75" spans="18:18" x14ac:dyDescent="0.25">
      <c r="R75" t="s">
        <v>342</v>
      </c>
    </row>
    <row r="76" spans="18:18" x14ac:dyDescent="0.25">
      <c r="R76" t="s">
        <v>588</v>
      </c>
    </row>
    <row r="77" spans="18:18" x14ac:dyDescent="0.25">
      <c r="R77" t="s">
        <v>343</v>
      </c>
    </row>
    <row r="78" spans="18:18" x14ac:dyDescent="0.25">
      <c r="R78" t="s">
        <v>589</v>
      </c>
    </row>
    <row r="79" spans="18:18" x14ac:dyDescent="0.25">
      <c r="R79" t="s">
        <v>344</v>
      </c>
    </row>
    <row r="80" spans="18:18" x14ac:dyDescent="0.25">
      <c r="R80" t="s">
        <v>345</v>
      </c>
    </row>
  </sheetData>
  <phoneticPr fontId="2"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2">
    <tabColor indexed="42"/>
  </sheetPr>
  <dimension ref="B2:B90"/>
  <sheetViews>
    <sheetView workbookViewId="0"/>
  </sheetViews>
  <sheetFormatPr defaultRowHeight="12.5" x14ac:dyDescent="0.25"/>
  <cols>
    <col min="2" max="2" width="122" customWidth="1"/>
    <col min="3" max="3" width="12" customWidth="1"/>
    <col min="4" max="4" width="47.453125" customWidth="1"/>
    <col min="5" max="5" width="17.26953125" customWidth="1"/>
  </cols>
  <sheetData>
    <row r="2" spans="2:2" ht="22" x14ac:dyDescent="0.65">
      <c r="B2" s="786" t="s">
        <v>409</v>
      </c>
    </row>
    <row r="6" spans="2:2" ht="13" x14ac:dyDescent="0.3">
      <c r="B6" s="787" t="s">
        <v>204</v>
      </c>
    </row>
    <row r="7" spans="2:2" x14ac:dyDescent="0.25">
      <c r="B7" s="751"/>
    </row>
    <row r="8" spans="2:2" x14ac:dyDescent="0.25">
      <c r="B8" s="788"/>
    </row>
    <row r="9" spans="2:2" x14ac:dyDescent="0.25">
      <c r="B9" s="788"/>
    </row>
    <row r="10" spans="2:2" x14ac:dyDescent="0.25">
      <c r="B10" s="788"/>
    </row>
    <row r="11" spans="2:2" x14ac:dyDescent="0.25">
      <c r="B11" s="788"/>
    </row>
    <row r="12" spans="2:2" x14ac:dyDescent="0.25">
      <c r="B12" s="788"/>
    </row>
    <row r="13" spans="2:2" x14ac:dyDescent="0.25">
      <c r="B13" s="788"/>
    </row>
    <row r="14" spans="2:2" x14ac:dyDescent="0.25">
      <c r="B14" s="788"/>
    </row>
    <row r="15" spans="2:2" x14ac:dyDescent="0.25">
      <c r="B15" s="788"/>
    </row>
    <row r="16" spans="2:2" x14ac:dyDescent="0.25">
      <c r="B16" s="788"/>
    </row>
    <row r="17" spans="2:2" x14ac:dyDescent="0.25">
      <c r="B17" s="788"/>
    </row>
    <row r="18" spans="2:2" x14ac:dyDescent="0.25">
      <c r="B18" s="788"/>
    </row>
    <row r="19" spans="2:2" x14ac:dyDescent="0.25">
      <c r="B19" s="788"/>
    </row>
    <row r="20" spans="2:2" x14ac:dyDescent="0.25">
      <c r="B20" s="788"/>
    </row>
    <row r="21" spans="2:2" x14ac:dyDescent="0.25">
      <c r="B21" s="788"/>
    </row>
    <row r="22" spans="2:2" x14ac:dyDescent="0.25">
      <c r="B22" s="788"/>
    </row>
    <row r="23" spans="2:2" x14ac:dyDescent="0.25">
      <c r="B23" s="788"/>
    </row>
    <row r="24" spans="2:2" x14ac:dyDescent="0.25">
      <c r="B24" s="788"/>
    </row>
    <row r="25" spans="2:2" x14ac:dyDescent="0.25">
      <c r="B25" s="788"/>
    </row>
    <row r="26" spans="2:2" x14ac:dyDescent="0.25">
      <c r="B26" s="788"/>
    </row>
    <row r="27" spans="2:2" x14ac:dyDescent="0.25">
      <c r="B27" s="788"/>
    </row>
    <row r="28" spans="2:2" x14ac:dyDescent="0.25">
      <c r="B28" s="788"/>
    </row>
    <row r="29" spans="2:2" ht="13" x14ac:dyDescent="0.3">
      <c r="B29" s="789" t="s">
        <v>205</v>
      </c>
    </row>
    <row r="30" spans="2:2" x14ac:dyDescent="0.25">
      <c r="B30" s="751"/>
    </row>
    <row r="31" spans="2:2" x14ac:dyDescent="0.25">
      <c r="B31" s="213"/>
    </row>
    <row r="32" spans="2:2" x14ac:dyDescent="0.25">
      <c r="B32" s="788"/>
    </row>
    <row r="80" ht="81" customHeight="1" x14ac:dyDescent="0.25"/>
    <row r="82" ht="97.5" customHeight="1" x14ac:dyDescent="0.25"/>
    <row r="84" ht="68.25" customHeight="1" x14ac:dyDescent="0.25"/>
    <row r="86" ht="63" customHeight="1" x14ac:dyDescent="0.25"/>
    <row r="88" ht="63.75" customHeight="1" x14ac:dyDescent="0.25"/>
    <row r="90" ht="37.5" customHeight="1" x14ac:dyDescent="0.25"/>
  </sheetData>
  <phoneticPr fontId="2" type="noConversion"/>
  <pageMargins left="0.75" right="0.75" top="1" bottom="1" header="0.5" footer="0.5"/>
  <headerFooter alignWithMargins="0"/>
  <drawing r:id="rId1"/>
  <legacyDrawing r:id="rId2"/>
  <controls>
    <mc:AlternateContent xmlns:mc="http://schemas.openxmlformats.org/markup-compatibility/2006">
      <mc:Choice Requires="x14">
        <control shapeId="30721" r:id="rId3" name="cmdInputSheet5">
          <controlPr defaultSize="0" autoLine="0" r:id="rId4">
            <anchor moveWithCells="1">
              <from>
                <xdr:col>1</xdr:col>
                <xdr:colOff>7042150</xdr:colOff>
                <xdr:row>0</xdr:row>
                <xdr:rowOff>95250</xdr:rowOff>
              </from>
              <to>
                <xdr:col>1</xdr:col>
                <xdr:colOff>8191500</xdr:colOff>
                <xdr:row>2</xdr:row>
                <xdr:rowOff>107950</xdr:rowOff>
              </to>
            </anchor>
          </controlPr>
        </control>
      </mc:Choice>
      <mc:Fallback>
        <control shapeId="30721" r:id="rId3" name="cmdInputSheet5"/>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indexed="42"/>
  </sheetPr>
  <dimension ref="B2:B85"/>
  <sheetViews>
    <sheetView workbookViewId="0"/>
  </sheetViews>
  <sheetFormatPr defaultRowHeight="12.5" x14ac:dyDescent="0.25"/>
  <cols>
    <col min="2" max="2" width="122" customWidth="1"/>
    <col min="3" max="3" width="12" customWidth="1"/>
    <col min="4" max="4" width="47.453125" customWidth="1"/>
    <col min="5" max="5" width="17.26953125" customWidth="1"/>
  </cols>
  <sheetData>
    <row r="2" spans="2:2" ht="22" x14ac:dyDescent="0.65">
      <c r="B2" s="786" t="s">
        <v>408</v>
      </c>
    </row>
    <row r="6" spans="2:2" ht="13" x14ac:dyDescent="0.3">
      <c r="B6" s="787" t="s">
        <v>206</v>
      </c>
    </row>
    <row r="7" spans="2:2" x14ac:dyDescent="0.25">
      <c r="B7" s="751"/>
    </row>
    <row r="8" spans="2:2" x14ac:dyDescent="0.25">
      <c r="B8" s="788"/>
    </row>
    <row r="9" spans="2:2" x14ac:dyDescent="0.25">
      <c r="B9" s="788"/>
    </row>
    <row r="10" spans="2:2" ht="13" x14ac:dyDescent="0.3">
      <c r="B10" s="789" t="s">
        <v>207</v>
      </c>
    </row>
    <row r="11" spans="2:2" x14ac:dyDescent="0.25">
      <c r="B11" s="751"/>
    </row>
    <row r="12" spans="2:2" x14ac:dyDescent="0.25">
      <c r="B12" s="213"/>
    </row>
    <row r="13" spans="2:2" x14ac:dyDescent="0.25">
      <c r="B13" s="788"/>
    </row>
    <row r="14" spans="2:2" ht="13" x14ac:dyDescent="0.3">
      <c r="B14" s="789" t="s">
        <v>208</v>
      </c>
    </row>
    <row r="15" spans="2:2" x14ac:dyDescent="0.25">
      <c r="B15" s="751"/>
    </row>
    <row r="16" spans="2:2" x14ac:dyDescent="0.25">
      <c r="B16" s="788"/>
    </row>
    <row r="17" spans="2:2" x14ac:dyDescent="0.25">
      <c r="B17" s="788"/>
    </row>
    <row r="18" spans="2:2" ht="13" x14ac:dyDescent="0.3">
      <c r="B18" s="789" t="s">
        <v>209</v>
      </c>
    </row>
    <row r="19" spans="2:2" x14ac:dyDescent="0.25">
      <c r="B19" s="751"/>
    </row>
    <row r="20" spans="2:2" x14ac:dyDescent="0.25">
      <c r="B20" s="788"/>
    </row>
    <row r="21" spans="2:2" ht="13" x14ac:dyDescent="0.25">
      <c r="B21" s="790" t="s">
        <v>210</v>
      </c>
    </row>
    <row r="22" spans="2:2" x14ac:dyDescent="0.25">
      <c r="B22" s="791"/>
    </row>
    <row r="23" spans="2:2" x14ac:dyDescent="0.25">
      <c r="B23" s="751"/>
    </row>
    <row r="24" spans="2:2" x14ac:dyDescent="0.25">
      <c r="B24" s="751"/>
    </row>
    <row r="25" spans="2:2" x14ac:dyDescent="0.25">
      <c r="B25" s="751"/>
    </row>
    <row r="26" spans="2:2" x14ac:dyDescent="0.25">
      <c r="B26" s="791"/>
    </row>
    <row r="75" ht="81" customHeight="1" x14ac:dyDescent="0.25"/>
    <row r="77" ht="97.5" customHeight="1" x14ac:dyDescent="0.25"/>
    <row r="79" ht="68.25" customHeight="1" x14ac:dyDescent="0.25"/>
    <row r="81" ht="63" customHeight="1" x14ac:dyDescent="0.25"/>
    <row r="83" ht="63.75" customHeight="1" x14ac:dyDescent="0.25"/>
    <row r="85" ht="37.5" customHeight="1" x14ac:dyDescent="0.25"/>
  </sheetData>
  <phoneticPr fontId="2" type="noConversion"/>
  <pageMargins left="0.75" right="0.75" top="1" bottom="1" header="0.5" footer="0.5"/>
  <headerFooter alignWithMargins="0"/>
  <drawing r:id="rId1"/>
  <legacyDrawing r:id="rId2"/>
  <controls>
    <mc:AlternateContent xmlns:mc="http://schemas.openxmlformats.org/markup-compatibility/2006">
      <mc:Choice Requires="x14">
        <control shapeId="31745" r:id="rId3" name="cmdInputSheet4">
          <controlPr defaultSize="0" autoLine="0" r:id="rId4">
            <anchor moveWithCells="1">
              <from>
                <xdr:col>1</xdr:col>
                <xdr:colOff>5765800</xdr:colOff>
                <xdr:row>0</xdr:row>
                <xdr:rowOff>95250</xdr:rowOff>
              </from>
              <to>
                <xdr:col>1</xdr:col>
                <xdr:colOff>6915150</xdr:colOff>
                <xdr:row>2</xdr:row>
                <xdr:rowOff>107950</xdr:rowOff>
              </to>
            </anchor>
          </controlPr>
        </control>
      </mc:Choice>
      <mc:Fallback>
        <control shapeId="31745" r:id="rId3" name="cmdInputSheet4"/>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0">
    <tabColor indexed="42"/>
  </sheetPr>
  <dimension ref="B2:D33"/>
  <sheetViews>
    <sheetView workbookViewId="0"/>
  </sheetViews>
  <sheetFormatPr defaultRowHeight="12.5" x14ac:dyDescent="0.25"/>
  <cols>
    <col min="2" max="2" width="36.81640625" customWidth="1"/>
    <col min="3" max="3" width="44.7265625" customWidth="1"/>
    <col min="4" max="4" width="53.81640625" customWidth="1"/>
    <col min="5" max="5" width="126.453125" customWidth="1"/>
  </cols>
  <sheetData>
    <row r="2" spans="2:4" ht="39" customHeight="1" x14ac:dyDescent="0.65">
      <c r="B2" s="786" t="s">
        <v>407</v>
      </c>
    </row>
    <row r="4" spans="2:4" ht="13" thickBot="1" x14ac:dyDescent="0.3"/>
    <row r="5" spans="2:4" ht="13.5" thickTop="1" x14ac:dyDescent="0.3">
      <c r="B5" s="792" t="s">
        <v>211</v>
      </c>
      <c r="C5" s="793"/>
      <c r="D5" s="794"/>
    </row>
    <row r="6" spans="2:4" ht="13" x14ac:dyDescent="0.3">
      <c r="B6" s="795" t="s">
        <v>212</v>
      </c>
      <c r="C6" s="527"/>
      <c r="D6" s="794"/>
    </row>
    <row r="7" spans="2:4" ht="13" x14ac:dyDescent="0.3">
      <c r="B7" s="795" t="s">
        <v>213</v>
      </c>
      <c r="C7" s="527"/>
      <c r="D7" s="794"/>
    </row>
    <row r="8" spans="2:4" ht="13" x14ac:dyDescent="0.3">
      <c r="B8" s="795" t="s">
        <v>214</v>
      </c>
      <c r="C8" s="527"/>
      <c r="D8" s="794"/>
    </row>
    <row r="9" spans="2:4" ht="13" x14ac:dyDescent="0.3">
      <c r="B9" s="795" t="s">
        <v>215</v>
      </c>
      <c r="C9" s="796"/>
      <c r="D9" s="797"/>
    </row>
    <row r="10" spans="2:4" ht="13" x14ac:dyDescent="0.3">
      <c r="B10" s="795" t="s">
        <v>216</v>
      </c>
      <c r="C10" s="527"/>
      <c r="D10" s="794"/>
    </row>
    <row r="11" spans="2:4" ht="13" x14ac:dyDescent="0.3">
      <c r="B11" s="795" t="s">
        <v>217</v>
      </c>
      <c r="C11" s="798"/>
      <c r="D11" s="799"/>
    </row>
    <row r="12" spans="2:4" ht="13.5" thickBot="1" x14ac:dyDescent="0.35">
      <c r="B12" s="800" t="s">
        <v>218</v>
      </c>
      <c r="C12" s="528"/>
      <c r="D12" s="794"/>
    </row>
    <row r="13" spans="2:4" ht="14" thickTop="1" thickBot="1" x14ac:dyDescent="0.35">
      <c r="B13" s="801"/>
      <c r="C13" s="794"/>
      <c r="D13" s="802"/>
    </row>
    <row r="14" spans="2:4" ht="13.5" thickTop="1" x14ac:dyDescent="0.3">
      <c r="B14" s="792" t="s">
        <v>219</v>
      </c>
      <c r="C14" s="803"/>
      <c r="D14" s="804"/>
    </row>
    <row r="15" spans="2:4" ht="13" x14ac:dyDescent="0.3">
      <c r="B15" s="795" t="s">
        <v>220</v>
      </c>
      <c r="C15" s="805"/>
      <c r="D15" s="806"/>
    </row>
    <row r="16" spans="2:4" ht="13" x14ac:dyDescent="0.3">
      <c r="B16" s="795" t="s">
        <v>221</v>
      </c>
      <c r="C16" s="741"/>
      <c r="D16" s="804"/>
    </row>
    <row r="17" spans="2:4" ht="13" x14ac:dyDescent="0.3">
      <c r="B17" s="795" t="s">
        <v>222</v>
      </c>
      <c r="C17" s="741"/>
      <c r="D17" s="804"/>
    </row>
    <row r="18" spans="2:4" ht="13" x14ac:dyDescent="0.3">
      <c r="B18" s="795" t="s">
        <v>223</v>
      </c>
      <c r="C18" s="741"/>
      <c r="D18" s="807"/>
    </row>
    <row r="19" spans="2:4" ht="13" x14ac:dyDescent="0.3">
      <c r="B19" s="795" t="s">
        <v>224</v>
      </c>
      <c r="C19" s="741"/>
      <c r="D19" s="804"/>
    </row>
    <row r="20" spans="2:4" ht="13" x14ac:dyDescent="0.3">
      <c r="B20" s="795" t="s">
        <v>225</v>
      </c>
      <c r="C20" s="741"/>
      <c r="D20" s="804"/>
    </row>
    <row r="21" spans="2:4" ht="13" x14ac:dyDescent="0.3">
      <c r="B21" s="795" t="s">
        <v>226</v>
      </c>
      <c r="C21" s="741"/>
      <c r="D21" s="804"/>
    </row>
    <row r="22" spans="2:4" ht="26" x14ac:dyDescent="0.3">
      <c r="B22" s="808" t="s">
        <v>227</v>
      </c>
      <c r="C22" s="805"/>
      <c r="D22" s="804"/>
    </row>
    <row r="23" spans="2:4" ht="13" x14ac:dyDescent="0.3">
      <c r="B23" s="808" t="s">
        <v>228</v>
      </c>
      <c r="C23" s="741"/>
      <c r="D23" s="804"/>
    </row>
    <row r="24" spans="2:4" ht="13.5" thickBot="1" x14ac:dyDescent="0.35">
      <c r="B24" s="800" t="s">
        <v>229</v>
      </c>
      <c r="C24" s="809"/>
      <c r="D24" s="804"/>
    </row>
    <row r="25" spans="2:4" ht="14" thickTop="1" thickBot="1" x14ac:dyDescent="0.35">
      <c r="B25" s="810"/>
      <c r="C25" s="804"/>
      <c r="D25" s="804"/>
    </row>
    <row r="26" spans="2:4" ht="13.5" thickTop="1" x14ac:dyDescent="0.3">
      <c r="B26" s="1715" t="s">
        <v>230</v>
      </c>
      <c r="C26" s="1716"/>
      <c r="D26" s="1717"/>
    </row>
    <row r="27" spans="2:4" ht="13" x14ac:dyDescent="0.3">
      <c r="B27" s="811" t="s">
        <v>231</v>
      </c>
      <c r="C27" s="812" t="s">
        <v>232</v>
      </c>
      <c r="D27" s="813" t="s">
        <v>1030</v>
      </c>
    </row>
    <row r="28" spans="2:4" x14ac:dyDescent="0.25">
      <c r="B28" s="814"/>
      <c r="C28" s="815"/>
      <c r="D28" s="741"/>
    </row>
    <row r="29" spans="2:4" x14ac:dyDescent="0.25">
      <c r="B29" s="816"/>
      <c r="C29" s="815"/>
      <c r="D29" s="741"/>
    </row>
    <row r="30" spans="2:4" x14ac:dyDescent="0.25">
      <c r="B30" s="816"/>
      <c r="C30" s="815"/>
      <c r="D30" s="741"/>
    </row>
    <row r="31" spans="2:4" x14ac:dyDescent="0.25">
      <c r="B31" s="816"/>
      <c r="C31" s="815"/>
      <c r="D31" s="741"/>
    </row>
    <row r="32" spans="2:4" x14ac:dyDescent="0.25">
      <c r="B32" s="816"/>
      <c r="C32" s="815"/>
      <c r="D32" s="741"/>
    </row>
    <row r="33" spans="2:4" ht="13" thickBot="1" x14ac:dyDescent="0.3">
      <c r="B33" s="817"/>
      <c r="C33" s="818"/>
      <c r="D33" s="809"/>
    </row>
  </sheetData>
  <mergeCells count="1">
    <mergeCell ref="B26:D26"/>
  </mergeCells>
  <phoneticPr fontId="2" type="noConversion"/>
  <pageMargins left="0.75" right="0.75" top="1" bottom="1" header="0.5" footer="0.5"/>
  <headerFooter alignWithMargins="0"/>
  <drawing r:id="rId1"/>
  <legacyDrawing r:id="rId2"/>
  <controls>
    <mc:AlternateContent xmlns:mc="http://schemas.openxmlformats.org/markup-compatibility/2006">
      <mc:Choice Requires="x14">
        <control shapeId="32769" r:id="rId3" name="cmdInputSheet3">
          <controlPr defaultSize="0" autoLine="0" r:id="rId4">
            <anchor moveWithCells="1">
              <from>
                <xdr:col>3</xdr:col>
                <xdr:colOff>647700</xdr:colOff>
                <xdr:row>1</xdr:row>
                <xdr:rowOff>12700</xdr:rowOff>
              </from>
              <to>
                <xdr:col>3</xdr:col>
                <xdr:colOff>1803400</xdr:colOff>
                <xdr:row>1</xdr:row>
                <xdr:rowOff>457200</xdr:rowOff>
              </to>
            </anchor>
          </controlPr>
        </control>
      </mc:Choice>
      <mc:Fallback>
        <control shapeId="32769" r:id="rId3" name="cmdInputSheet3"/>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ct:contentTypeSchema xmlns:ct="http://schemas.microsoft.com/office/2006/metadata/contentType" xmlns:ma="http://schemas.microsoft.com/office/2006/metadata/properties/metaAttributes" ct:_="" ma:_="" ma:contentTypeName="Document" ma:contentTypeID="0x01010026FE44E97B14A94AB65A0BB740F65A9E" ma:contentTypeVersion="11" ma:contentTypeDescription="Create a new document." ma:contentTypeScope="" ma:versionID="bda02f5095bc975456b544bb0cae081a">
  <xsd:schema xmlns:xsd="http://www.w3.org/2001/XMLSchema" xmlns:p="http://schemas.microsoft.com/office/2006/metadata/properties" xmlns:ns2="d82b9494-d8c4-46c3-8d38-25b9e100fe6d" targetNamespace="http://schemas.microsoft.com/office/2006/metadata/properties" ma:root="true" ma:fieldsID="734938b0f007d2aca19eb134f9733a2c" ns2:_="">
    <xsd:import namespace="d82b9494-d8c4-46c3-8d38-25b9e100fe6d"/>
    <xsd:element name="properties">
      <xsd:complexType>
        <xsd:sequence>
          <xsd:element name="documentManagement">
            <xsd:complexType>
              <xsd:all>
                <xsd:element ref="ns2:Document_x0020_Status" minOccurs="0"/>
                <xsd:element ref="ns2:Document_x0020_Type" minOccurs="0"/>
                <xsd:element ref="ns2:Case_x0020_type" minOccurs="0"/>
                <xsd:element ref="ns2:Analysis_x0020_approach" minOccurs="0"/>
                <xsd:element ref="ns2:H2A_x0020_Goals" minOccurs="0"/>
                <xsd:element ref="ns2:Case_x0020_Study" minOccurs="0"/>
              </xsd:all>
            </xsd:complexType>
          </xsd:element>
        </xsd:sequence>
      </xsd:complexType>
    </xsd:element>
  </xsd:schema>
  <xsd:schema xmlns:xsd="http://www.w3.org/2001/XMLSchema" xmlns:dms="http://schemas.microsoft.com/office/2006/documentManagement/types" targetNamespace="d82b9494-d8c4-46c3-8d38-25b9e100fe6d" elementFormDefault="qualified">
    <xsd:import namespace="http://schemas.microsoft.com/office/2006/documentManagement/types"/>
    <xsd:element name="Document_x0020_Status" ma:index="8" nillable="true" ma:displayName="Document Status" ma:default="Edit in progress" ma:description="Choose the status of the document" ma:format="Dropdown" ma:internalName="Document_x0020_Status">
      <xsd:simpleType>
        <xsd:restriction base="dms:Choice">
          <xsd:enumeration value="Edit in progress"/>
          <xsd:enumeration value="Edits complete"/>
          <xsd:enumeration value="Sent to DOE for review"/>
          <xsd:enumeration value="Archived"/>
          <xsd:enumeration value="Other"/>
        </xsd:restriction>
      </xsd:simpleType>
    </xsd:element>
    <xsd:element name="Document_x0020_Type" ma:index="9" nillable="true" ma:displayName="Document Type" ma:default="Task list" ma:description="Choose document type" ma:format="Dropdown" ma:internalName="Document_x0020_Type">
      <xsd:simpleType>
        <xsd:restriction base="dms:Choice">
          <xsd:enumeration value="Task list"/>
          <xsd:enumeration value="Punch list"/>
          <xsd:enumeration value="DOE records"/>
          <xsd:enumeration value="Case study report"/>
          <xsd:enumeration value="User guide"/>
          <xsd:enumeration value="Webinar"/>
          <xsd:enumeration value="Target table presentations"/>
          <xsd:enumeration value="Presentations"/>
        </xsd:restriction>
      </xsd:simpleType>
    </xsd:element>
    <xsd:element name="Case_x0020_type" ma:index="10" nillable="true" ma:displayName="Case type" ma:default="Central" ma:format="RadioButtons" ma:internalName="Case_x0020_type">
      <xsd:simpleType>
        <xsd:restriction base="dms:Choice">
          <xsd:enumeration value="Central"/>
          <xsd:enumeration value="Distributed"/>
          <xsd:enumeration value="None"/>
        </xsd:restriction>
      </xsd:simpleType>
    </xsd:element>
    <xsd:element name="Analysis_x0020_approach" ma:index="11" nillable="true" ma:displayName="Analysis approach" ma:default="Bottom-up" ma:format="RadioButtons" ma:internalName="Analysis_x0020_approach">
      <xsd:simpleType>
        <xsd:restriction base="dms:Choice">
          <xsd:enumeration value="Bottom-up"/>
          <xsd:enumeration value="Top-down"/>
          <xsd:enumeration value="None"/>
        </xsd:restriction>
      </xsd:simpleType>
    </xsd:element>
    <xsd:element name="H2A_x0020_Goals" ma:index="12" nillable="true" ma:displayName="H2A Goals" ma:default="#1 Publish Central NG, Biomass Gasification, and Electrolysis Cases" ma:format="Dropdown" ma:internalName="H2A_x0020_Goals">
      <xsd:simpleType>
        <xsd:restriction base="dms:Choice">
          <xsd:enumeration value="#1 Publish Central NG, Biomass Gasification, and Electrolysis Cases"/>
          <xsd:enumeration value="#2 Publish Central Early development Technologies"/>
          <xsd:enumeration value="#3 Complete H2A updates with CSD for distributed NG, electrolysis, and ethanol"/>
          <xsd:enumeration value="#4 Update MYRD&amp;D Plan Tables"/>
          <xsd:enumeration value="#5 Webinar to show PIs how to use H2A v3 with their parameters"/>
          <xsd:enumeration value="#6 Create records for each technology"/>
          <xsd:enumeration value="None"/>
          <xsd:enumeration value="All"/>
        </xsd:restriction>
      </xsd:simpleType>
    </xsd:element>
    <xsd:element name="Case_x0020_Study" ma:index="13" nillable="true" ma:displayName="Case Study" ma:default="Biomass gasification" ma:description="Choose the case study" ma:format="Dropdown" ma:internalName="Case_x0020_Study">
      <xsd:simpleType>
        <xsd:restriction base="dms:Choice">
          <xsd:enumeration value="Biomass gasification"/>
          <xsd:enumeration value="Biological"/>
          <xsd:enumeration value="Electrolysis"/>
          <xsd:enumeration value="Natural gas"/>
          <xsd:enumeration value="PEC"/>
          <xsd:enumeration value="SMR"/>
          <xsd:enumeration value="STCH"/>
          <xsd:enumeration value="Ethanol"/>
          <xsd:enumeration value="Pyrolysis oil"/>
          <xsd:enumeration value="Coal"/>
          <xsd:enumeration value="Nuclear"/>
          <xsd:enumeration value="Other"/>
          <xsd:enumeration value="None"/>
          <xsd:enumeration value="All"/>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Document_x0020_Type xmlns="d82b9494-d8c4-46c3-8d38-25b9e100fe6d">Case study report</Document_x0020_Type>
    <Analysis_x0020_approach xmlns="d82b9494-d8c4-46c3-8d38-25b9e100fe6d">Bottom-up</Analysis_x0020_approach>
    <Case_x0020_Study xmlns="d82b9494-d8c4-46c3-8d38-25b9e100fe6d">SMR</Case_x0020_Study>
    <Document_x0020_Status xmlns="d82b9494-d8c4-46c3-8d38-25b9e100fe6d">Edits complete</Document_x0020_Status>
    <H2A_x0020_Goals xmlns="d82b9494-d8c4-46c3-8d38-25b9e100fe6d">#1 Publish Central NG, Biomass Gasification, and Electrolysis Cases</H2A_x0020_Goals>
    <Case_x0020_type xmlns="d82b9494-d8c4-46c3-8d38-25b9e100fe6d">Central</Case_x0020_typ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F59CC31-1F39-4F49-8195-FDC0A9322C02}">
  <ds:schemaRefs>
    <ds:schemaRef ds:uri="http://schemas.microsoft.com/office/2006/metadata/longProperties"/>
  </ds:schemaRefs>
</ds:datastoreItem>
</file>

<file path=customXml/itemProps2.xml><?xml version="1.0" encoding="utf-8"?>
<ds:datastoreItem xmlns:ds="http://schemas.openxmlformats.org/officeDocument/2006/customXml" ds:itemID="{4E93857C-CB31-45F4-895E-96F0D114797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82b9494-d8c4-46c3-8d38-25b9e100fe6d"/>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8EF8E5CF-3FBC-4639-B789-46FCAB06DA57}">
  <ds:schemaRefs>
    <ds:schemaRef ds:uri="http://purl.org/dc/terms/"/>
    <ds:schemaRef ds:uri="http://schemas.microsoft.com/office/2006/documentManagement/types"/>
    <ds:schemaRef ds:uri="http://purl.org/dc/elements/1.1/"/>
    <ds:schemaRef ds:uri="http://schemas.openxmlformats.org/package/2006/metadata/core-properties"/>
    <ds:schemaRef ds:uri="d82b9494-d8c4-46c3-8d38-25b9e100fe6d"/>
    <ds:schemaRef ds:uri="http://schemas.microsoft.com/office/2006/metadata/properties"/>
    <ds:schemaRef ds:uri="http://www.w3.org/XML/1998/namespace"/>
    <ds:schemaRef ds:uri="http://purl.org/dc/dcmitype/"/>
  </ds:schemaRefs>
</ds:datastoreItem>
</file>

<file path=customXml/itemProps4.xml><?xml version="1.0" encoding="utf-8"?>
<ds:datastoreItem xmlns:ds="http://schemas.openxmlformats.org/officeDocument/2006/customXml" ds:itemID="{5FD97086-85F3-44E1-B356-8D8C4A3E015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314</vt:i4>
      </vt:variant>
    </vt:vector>
  </HeadingPairs>
  <TitlesOfParts>
    <vt:vector size="336" baseType="lpstr">
      <vt:lpstr>Title</vt:lpstr>
      <vt:lpstr>Description</vt:lpstr>
      <vt:lpstr>ProcessFlow</vt:lpstr>
      <vt:lpstr>Input_Sheet_Template</vt:lpstr>
      <vt:lpstr>Replacement Costs</vt:lpstr>
      <vt:lpstr>Capital Costs</vt:lpstr>
      <vt:lpstr>Plant Scaling</vt:lpstr>
      <vt:lpstr>Carbon Sequestration</vt:lpstr>
      <vt:lpstr>Results</vt:lpstr>
      <vt:lpstr>Tornado Charts &amp; Risk Analysis</vt:lpstr>
      <vt:lpstr>Cash Flow Analysis</vt:lpstr>
      <vt:lpstr>Energy Feed &amp; Utility Prices</vt:lpstr>
      <vt:lpstr>Non-Energy Material Prices</vt:lpstr>
      <vt:lpstr>AEO Data</vt:lpstr>
      <vt:lpstr>HyARC Physical Property Data</vt:lpstr>
      <vt:lpstr>Debt Financing Calculations</vt:lpstr>
      <vt:lpstr>Depreciation</vt:lpstr>
      <vt:lpstr>Constants and Conversions</vt:lpstr>
      <vt:lpstr>Lists</vt:lpstr>
      <vt:lpstr>ProcessFlow - blank</vt:lpstr>
      <vt:lpstr>Description - blank</vt:lpstr>
      <vt:lpstr>Title - blank</vt:lpstr>
      <vt:lpstr>acre_cost</vt:lpstr>
      <vt:lpstr>acres</vt:lpstr>
      <vt:lpstr>Add_As_list</vt:lpstr>
      <vt:lpstr>AEO_2009_Reference_Case</vt:lpstr>
      <vt:lpstr>AEO_2009_Reference_Case_Feeds</vt:lpstr>
      <vt:lpstr>AEO_2009_Reference_Case_Years</vt:lpstr>
      <vt:lpstr>AEO_2013_High_Price_Case</vt:lpstr>
      <vt:lpstr>AEO_2013_High_Price_Case_Feeds</vt:lpstr>
      <vt:lpstr>AEO_2013_High_Price_Case_Years</vt:lpstr>
      <vt:lpstr>AEO_2013_Reference_Case</vt:lpstr>
      <vt:lpstr>AEO_2013_Reference_Case_Feeds</vt:lpstr>
      <vt:lpstr>AEO_2013_Reference_Case_Years</vt:lpstr>
      <vt:lpstr>AEO_2014_Reference_Case</vt:lpstr>
      <vt:lpstr>AEO_2014_Reference_Case_Feeds</vt:lpstr>
      <vt:lpstr>AEO_2014_Reference_Case_Years</vt:lpstr>
      <vt:lpstr>AEO_2017_Reference_Case</vt:lpstr>
      <vt:lpstr>AEO_2017_Reference_Case_Feeds</vt:lpstr>
      <vt:lpstr>AEO_2017_Reference_Case_Years</vt:lpstr>
      <vt:lpstr>after_tax_nominal_IRR</vt:lpstr>
      <vt:lpstr>after_tax_real_IRR</vt:lpstr>
      <vt:lpstr>anal_period</vt:lpstr>
      <vt:lpstr>Baseline_Design_Capacity</vt:lpstr>
      <vt:lpstr>BasisYear</vt:lpstr>
      <vt:lpstr>btu_to_kWh</vt:lpstr>
      <vt:lpstr>Cancelled</vt:lpstr>
      <vt:lpstr>cap_factor</vt:lpstr>
      <vt:lpstr>Case_eByprod_List</vt:lpstr>
      <vt:lpstr>Case_eFeed_List</vt:lpstr>
      <vt:lpstr>Case_eUtility_List</vt:lpstr>
      <vt:lpstr>Case_material_byprod_list</vt:lpstr>
      <vt:lpstr>Case_Material_Input_List</vt:lpstr>
      <vt:lpstr>CC_feedconversion</vt:lpstr>
      <vt:lpstr>CCS_tax_insurance</vt:lpstr>
      <vt:lpstr>CCSEqpCap</vt:lpstr>
      <vt:lpstr>CEPC_Factor_08to05</vt:lpstr>
      <vt:lpstr>CEPCIinflator</vt:lpstr>
      <vt:lpstr>Chemical_price_indexes</vt:lpstr>
      <vt:lpstr>CO2_aprx_indCap</vt:lpstr>
      <vt:lpstr>CO2_cap_charge_rate</vt:lpstr>
      <vt:lpstr>CO2_cap_rec</vt:lpstr>
      <vt:lpstr>CO2_capptonneCO2</vt:lpstr>
      <vt:lpstr>CO2_Capture_Efficiency</vt:lpstr>
      <vt:lpstr>CO2_CashFlow_eUse</vt:lpstr>
      <vt:lpstr>CO2_ControlSystem</vt:lpstr>
      <vt:lpstr>CO2_credit</vt:lpstr>
      <vt:lpstr>CO2_depr_factor</vt:lpstr>
      <vt:lpstr>CO2_eCost</vt:lpstr>
      <vt:lpstr>CO2_eCostpY</vt:lpstr>
      <vt:lpstr>CO2_energyptonneCO2</vt:lpstr>
      <vt:lpstr>CO2_eUse_kWhpkg</vt:lpstr>
      <vt:lpstr>CO2_flowrate</vt:lpstr>
      <vt:lpstr>CO2_flowrate_GTpY</vt:lpstr>
      <vt:lpstr>CO2_inUse</vt:lpstr>
      <vt:lpstr>CO2_Location</vt:lpstr>
      <vt:lpstr>CO2_MaintFactor</vt:lpstr>
      <vt:lpstr>CO2_OandMcost</vt:lpstr>
      <vt:lpstr>CO2_OandMptonneCO2</vt:lpstr>
      <vt:lpstr>CO2_Pin_psia</vt:lpstr>
      <vt:lpstr>CO2_PipeDia</vt:lpstr>
      <vt:lpstr>CO2_PipeElevation</vt:lpstr>
      <vt:lpstr>CO2_PipeFactor</vt:lpstr>
      <vt:lpstr>CO2_PipeLength</vt:lpstr>
      <vt:lpstr>CO2_Pipeline_Temp</vt:lpstr>
      <vt:lpstr>CO2_Pipeline_Temp_factor</vt:lpstr>
      <vt:lpstr>CO2_Pump_Eff</vt:lpstr>
      <vt:lpstr>CO2_seq</vt:lpstr>
      <vt:lpstr>CO2_SurgeTank</vt:lpstr>
      <vt:lpstr>CO2_Terrain</vt:lpstr>
      <vt:lpstr>CO2_Terrain_2</vt:lpstr>
      <vt:lpstr>CO2_Terrain_factor</vt:lpstr>
      <vt:lpstr>CO2_Value_Defaults</vt:lpstr>
      <vt:lpstr>ColorList</vt:lpstr>
      <vt:lpstr>construct</vt:lpstr>
      <vt:lpstr>CPIinflator</vt:lpstr>
      <vt:lpstr>CurrentYear</vt:lpstr>
      <vt:lpstr>debt_interest</vt:lpstr>
      <vt:lpstr>debt_period</vt:lpstr>
      <vt:lpstr>decom</vt:lpstr>
      <vt:lpstr>decom_percent</vt:lpstr>
      <vt:lpstr>DeflatorTable</vt:lpstr>
      <vt:lpstr>Delete_As_List</vt:lpstr>
      <vt:lpstr>depr_cap</vt:lpstr>
      <vt:lpstr>depr_cap_infl</vt:lpstr>
      <vt:lpstr>depr_cost</vt:lpstr>
      <vt:lpstr>depr_length</vt:lpstr>
      <vt:lpstr>depr_type</vt:lpstr>
      <vt:lpstr>depr_yr</vt:lpstr>
      <vt:lpstr>design_cap</vt:lpstr>
      <vt:lpstr>Det_CO2_OandMcost</vt:lpstr>
      <vt:lpstr>Det_CO2_seq</vt:lpstr>
      <vt:lpstr>Det_direct_cap</vt:lpstr>
      <vt:lpstr>Det_scaled_cap</vt:lpstr>
      <vt:lpstr>direct_cap</vt:lpstr>
      <vt:lpstr>DR_Carbon_Sequestration_1</vt:lpstr>
      <vt:lpstr>DR_Carbon_Sequestration_2</vt:lpstr>
      <vt:lpstr>DR_CostDetail_1</vt:lpstr>
      <vt:lpstr>DR_CostDetail_2</vt:lpstr>
      <vt:lpstr>DR_PlantScaling_1</vt:lpstr>
      <vt:lpstr>DR_PlantScaling_2</vt:lpstr>
      <vt:lpstr>DR_ReplacementCosts_01</vt:lpstr>
      <vt:lpstr>DR_ReplacementCosts_1</vt:lpstr>
      <vt:lpstr>Dynamic_Byproduct_Total</vt:lpstr>
      <vt:lpstr>Dynamic_Feed_Total</vt:lpstr>
      <vt:lpstr>Dynamic_NonE_Byprod_Total</vt:lpstr>
      <vt:lpstr>Dynamic_NonE_Feed_Total</vt:lpstr>
      <vt:lpstr>Dynamic_Utilities_Total</vt:lpstr>
      <vt:lpstr>Energy_Feed_List</vt:lpstr>
      <vt:lpstr>Energy_Feed_Years</vt:lpstr>
      <vt:lpstr>Engin</vt:lpstr>
      <vt:lpstr>equity</vt:lpstr>
      <vt:lpstr>Export_Variable_List</vt:lpstr>
      <vt:lpstr>fed_tax_rate</vt:lpstr>
      <vt:lpstr>Feed_CO2_kgpkgH2</vt:lpstr>
      <vt:lpstr>Feed_CO2_MTpY</vt:lpstr>
      <vt:lpstr>Feed_Type_List</vt:lpstr>
      <vt:lpstr>FeedPropertyTable</vt:lpstr>
      <vt:lpstr>Feedstock</vt:lpstr>
      <vt:lpstr>feedstockIndustrial_Natural_Gas_Price</vt:lpstr>
      <vt:lpstr>feedstockIndustrial_Natural_Gas_Usage</vt:lpstr>
      <vt:lpstr>Fees</vt:lpstr>
      <vt:lpstr>fixed</vt:lpstr>
      <vt:lpstr>FTE_cost</vt:lpstr>
      <vt:lpstr>FTEs</vt:lpstr>
      <vt:lpstr>gal_to_liters</vt:lpstr>
      <vt:lpstr>GGE_to_kWh</vt:lpstr>
      <vt:lpstr>GHG_CH4_factor</vt:lpstr>
      <vt:lpstr>GHG_CO2_factor</vt:lpstr>
      <vt:lpstr>GHG_N2O_factor</vt:lpstr>
      <vt:lpstr>H2_LHV_MJ_p_kg</vt:lpstr>
      <vt:lpstr>H2_price_nominal</vt:lpstr>
      <vt:lpstr>H2_price_real</vt:lpstr>
      <vt:lpstr>Import_Variable_List</vt:lpstr>
      <vt:lpstr>inflated_fixed</vt:lpstr>
      <vt:lpstr>inflated_otherraw</vt:lpstr>
      <vt:lpstr>inflated_othervar</vt:lpstr>
      <vt:lpstr>INFLATION_FACTOR</vt:lpstr>
      <vt:lpstr>inflation_rate</vt:lpstr>
      <vt:lpstr>Input_Value_Defaults</vt:lpstr>
      <vt:lpstr>key_MPTable</vt:lpstr>
      <vt:lpstr>kgH2_to_GGE</vt:lpstr>
      <vt:lpstr>kgH2_to_GJ</vt:lpstr>
      <vt:lpstr>kgH2_to_kWh</vt:lpstr>
      <vt:lpstr>labor_cost</vt:lpstr>
      <vt:lpstr>land_cost</vt:lpstr>
      <vt:lpstr>lb_to_kg</vt:lpstr>
      <vt:lpstr>licensing</vt:lpstr>
      <vt:lpstr>low_capacity_limit</vt:lpstr>
      <vt:lpstr>MACRS_Table</vt:lpstr>
      <vt:lpstr>material</vt:lpstr>
      <vt:lpstr>miles_to_km</vt:lpstr>
      <vt:lpstr>MJ_to_kWh</vt:lpstr>
      <vt:lpstr>mmBTU_to_GJ</vt:lpstr>
      <vt:lpstr>MPa_to_psi</vt:lpstr>
      <vt:lpstr>MPG_to_kWhPkm</vt:lpstr>
      <vt:lpstr>n_CO2_pumps</vt:lpstr>
      <vt:lpstr>n_pumps</vt:lpstr>
      <vt:lpstr>ncf_to_Nm3</vt:lpstr>
      <vt:lpstr>NG_to_CO2Pipeline</vt:lpstr>
      <vt:lpstr>nominal_irr</vt:lpstr>
      <vt:lpstr>non_dep_cap</vt:lpstr>
      <vt:lpstr>non_dep_infl</vt:lpstr>
      <vt:lpstr>NPV</vt:lpstr>
      <vt:lpstr>operator_profit</vt:lpstr>
      <vt:lpstr>other_fees</vt:lpstr>
      <vt:lpstr>other_fixed</vt:lpstr>
      <vt:lpstr>Other_indirect</vt:lpstr>
      <vt:lpstr>Other_Inputs_years</vt:lpstr>
      <vt:lpstr>output_kgpday</vt:lpstr>
      <vt:lpstr>output_kgyear</vt:lpstr>
      <vt:lpstr>overhead_GA</vt:lpstr>
      <vt:lpstr>overhead_rate</vt:lpstr>
      <vt:lpstr>percent_cap1</vt:lpstr>
      <vt:lpstr>percent_cap2</vt:lpstr>
      <vt:lpstr>percent_cap3</vt:lpstr>
      <vt:lpstr>percent_cap4</vt:lpstr>
      <vt:lpstr>percnt_fixed</vt:lpstr>
      <vt:lpstr>percnt_revs</vt:lpstr>
      <vt:lpstr>percnt_var</vt:lpstr>
      <vt:lpstr>Permitting</vt:lpstr>
      <vt:lpstr>plant_life</vt:lpstr>
      <vt:lpstr>pre_tax_nominal_IRR</vt:lpstr>
      <vt:lpstr>pre_tax_real_IRR</vt:lpstr>
      <vt:lpstr>Price_Table_in_Use</vt:lpstr>
      <vt:lpstr>Price_Table_List</vt:lpstr>
      <vt:lpstr>Price_Tables</vt:lpstr>
      <vt:lpstr>'AEO Data'!Print_Area</vt:lpstr>
      <vt:lpstr>'Capital Costs'!Print_Area</vt:lpstr>
      <vt:lpstr>'Cash Flow Analysis'!Print_Area</vt:lpstr>
      <vt:lpstr>'HyARC Physical Property Data'!Print_Area</vt:lpstr>
      <vt:lpstr>Input_Sheet_Template!Print_Area</vt:lpstr>
      <vt:lpstr>'Plant Scaling'!Print_Area</vt:lpstr>
      <vt:lpstr>'Replacement Costs'!Print_Area</vt:lpstr>
      <vt:lpstr>Results!Print_Area</vt:lpstr>
      <vt:lpstr>'Plant Scaling'!Print_Titles</vt:lpstr>
      <vt:lpstr>Proc_CO2_MTpY</vt:lpstr>
      <vt:lpstr>Proc_CO2_tax</vt:lpstr>
      <vt:lpstr>Proc_CO2_taxpYear</vt:lpstr>
      <vt:lpstr>ProcEqpCap</vt:lpstr>
      <vt:lpstr>Process_cont</vt:lpstr>
      <vt:lpstr>prod_maint</vt:lpstr>
      <vt:lpstr>Project_cont</vt:lpstr>
      <vt:lpstr>Pump_Eff</vt:lpstr>
      <vt:lpstr>pump_power</vt:lpstr>
      <vt:lpstr>R_CostDetail_6</vt:lpstr>
      <vt:lpstr>real_irr</vt:lpstr>
      <vt:lpstr>recovery_period</vt:lpstr>
      <vt:lpstr>recovery_year</vt:lpstr>
      <vt:lpstr>ref_year</vt:lpstr>
      <vt:lpstr>rent</vt:lpstr>
      <vt:lpstr>replace_factor</vt:lpstr>
      <vt:lpstr>result_byprod_contr</vt:lpstr>
      <vt:lpstr>result_cap_contr</vt:lpstr>
      <vt:lpstr>result_decom_contr</vt:lpstr>
      <vt:lpstr>result_feed_contr</vt:lpstr>
      <vt:lpstr>result_Fixed_O_M_contr</vt:lpstr>
      <vt:lpstr>result_Other_Mat_contr</vt:lpstr>
      <vt:lpstr>result_other_var_contr</vt:lpstr>
      <vt:lpstr>Result_price</vt:lpstr>
      <vt:lpstr>royalties</vt:lpstr>
      <vt:lpstr>RunRiskAnalysis</vt:lpstr>
      <vt:lpstr>salvage</vt:lpstr>
      <vt:lpstr>salvage_perct</vt:lpstr>
      <vt:lpstr>Scale_Factor</vt:lpstr>
      <vt:lpstr>Scale_Ratio</vt:lpstr>
      <vt:lpstr>scaled_cap</vt:lpstr>
      <vt:lpstr>Scaling_Factor_Exponent</vt:lpstr>
      <vt:lpstr>Scaling_Method_Defaults</vt:lpstr>
      <vt:lpstr>Scaling_validation</vt:lpstr>
      <vt:lpstr>scf_to_Nm3</vt:lpstr>
      <vt:lpstr>SELECTED_FEED</vt:lpstr>
      <vt:lpstr>sensitivity_01</vt:lpstr>
      <vt:lpstr>sensitivity_02</vt:lpstr>
      <vt:lpstr>sensitivity_03</vt:lpstr>
      <vt:lpstr>sensitivity_04</vt:lpstr>
      <vt:lpstr>sensitivity_05</vt:lpstr>
      <vt:lpstr>sensitivity_06</vt:lpstr>
      <vt:lpstr>sensitivity_07</vt:lpstr>
      <vt:lpstr>Sensitivity_case</vt:lpstr>
      <vt:lpstr>Sensitivity_output</vt:lpstr>
      <vt:lpstr>Sensitivity_results</vt:lpstr>
      <vt:lpstr>SensitivityInputs</vt:lpstr>
      <vt:lpstr>Site_prep</vt:lpstr>
      <vt:lpstr>solidwaste_treat</vt:lpstr>
      <vt:lpstr>START_BYPROD</vt:lpstr>
      <vt:lpstr>START_FEED</vt:lpstr>
      <vt:lpstr>START_NONE_BYPROD</vt:lpstr>
      <vt:lpstr>START_NONE_FEED</vt:lpstr>
      <vt:lpstr>START_NONE_TOP</vt:lpstr>
      <vt:lpstr>start_time</vt:lpstr>
      <vt:lpstr>START_TOP</vt:lpstr>
      <vt:lpstr>START_UTILITY</vt:lpstr>
      <vt:lpstr>startup_year</vt:lpstr>
      <vt:lpstr>StartYr_comm_Electricity</vt:lpstr>
      <vt:lpstr>StartYr_indust_Electricity</vt:lpstr>
      <vt:lpstr>state_tax_rate</vt:lpstr>
      <vt:lpstr>tax_credit</vt:lpstr>
      <vt:lpstr>tax_ins_rate</vt:lpstr>
      <vt:lpstr>tax_insurance</vt:lpstr>
      <vt:lpstr>Tbl_2005Emissions</vt:lpstr>
      <vt:lpstr>Tbl_eByprod_Transfer_Info</vt:lpstr>
      <vt:lpstr>Tbl_Emissions</vt:lpstr>
      <vt:lpstr>Tbl_eUtility_Transfer_Info</vt:lpstr>
      <vt:lpstr>Tbl_Feedstock_Transfer_Info</vt:lpstr>
      <vt:lpstr>Tbl_labor_indexes</vt:lpstr>
      <vt:lpstr>Tbl_material_byprod_transfer_info</vt:lpstr>
      <vt:lpstr>Tbl_Material_Input_transfer_info</vt:lpstr>
      <vt:lpstr>Tbl_PlantCostIndexes</vt:lpstr>
      <vt:lpstr>Tbl_Result_CCSCost</vt:lpstr>
      <vt:lpstr>TCI_infl</vt:lpstr>
      <vt:lpstr>Temp_Var_Location</vt:lpstr>
      <vt:lpstr>title</vt:lpstr>
      <vt:lpstr>TMP_Conversion</vt:lpstr>
      <vt:lpstr>TMP_conversion_effic</vt:lpstr>
      <vt:lpstr>TMP_Escalation</vt:lpstr>
      <vt:lpstr>TMP_FeedName</vt:lpstr>
      <vt:lpstr>TMP_FeedType</vt:lpstr>
      <vt:lpstr>TMP_nonE_Escalation</vt:lpstr>
      <vt:lpstr>TMP_NonE_Feed</vt:lpstr>
      <vt:lpstr>TMP_NonE_StartPrice</vt:lpstr>
      <vt:lpstr>TMP_NonE_StartYrCost</vt:lpstr>
      <vt:lpstr>TMP_NonE_Type</vt:lpstr>
      <vt:lpstr>TMP_NonE_Usage</vt:lpstr>
      <vt:lpstr>TMP_NonE_Usage_txt</vt:lpstr>
      <vt:lpstr>TMP_PriceTable</vt:lpstr>
      <vt:lpstr>TMP_StartPrice</vt:lpstr>
      <vt:lpstr>TMP_StartYrCost</vt:lpstr>
      <vt:lpstr>TMP_Units</vt:lpstr>
      <vt:lpstr>TMP_Usage</vt:lpstr>
      <vt:lpstr>total_byproducts</vt:lpstr>
      <vt:lpstr>total_cap</vt:lpstr>
      <vt:lpstr>Total_Energy_Byproduct_Cost</vt:lpstr>
      <vt:lpstr>Total_Energy_Byproduct_Credit</vt:lpstr>
      <vt:lpstr>Total_Energy_Feed_Cost</vt:lpstr>
      <vt:lpstr>Total_Energy_Utilities_Cost</vt:lpstr>
      <vt:lpstr>total_feedstock</vt:lpstr>
      <vt:lpstr>total_non_energy_byproduct_credit</vt:lpstr>
      <vt:lpstr>Total_Non_Energy_Feed_Cost</vt:lpstr>
      <vt:lpstr>total_other_raw</vt:lpstr>
      <vt:lpstr>total_tax_rate</vt:lpstr>
      <vt:lpstr>total_utilities</vt:lpstr>
      <vt:lpstr>total_var</vt:lpstr>
      <vt:lpstr>upper_capacity_limit</vt:lpstr>
      <vt:lpstr>Upstream_CO2_tax</vt:lpstr>
      <vt:lpstr>Upstream_CO2_taxpYear</vt:lpstr>
      <vt:lpstr>Upstream_GHG_total</vt:lpstr>
      <vt:lpstr>Use_Default</vt:lpstr>
      <vt:lpstr>utilityIndustrial_Electricity_Price</vt:lpstr>
      <vt:lpstr>utilityIndustrial_Electricity_Usage</vt:lpstr>
      <vt:lpstr>VAR_FEED_VALUES</vt:lpstr>
      <vt:lpstr>var_misc</vt:lpstr>
      <vt:lpstr>VAR_NonE_FEED_VALUES</vt:lpstr>
      <vt:lpstr>waste_treat</vt:lpstr>
      <vt:lpstr>WorkingCap</vt:lpstr>
      <vt:lpstr>Yes_No</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Current Central Hydrogen Production from Natural Gas with CO2 Sequestration version 3.2018</dc:title>
  <dc:subject>DOE H2A production case study for current central hydrogen production from natural gas with CO2 sequestration.</dc:subject>
  <dc:creator>dsteward</dc:creator>
  <cp:lastModifiedBy>JRICKARD</cp:lastModifiedBy>
  <cp:lastPrinted>2008-09-22T17:50:40Z</cp:lastPrinted>
  <dcterms:created xsi:type="dcterms:W3CDTF">2007-03-27T19:45:13Z</dcterms:created>
  <dcterms:modified xsi:type="dcterms:W3CDTF">2018-11-27T00:25:04Z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tatus/notes">
    <vt:lpwstr/>
  </property>
  <property fmtid="{D5CDD505-2E9C-101B-9397-08002B2CF9AE}" pid="3" name="ContentType">
    <vt:lpwstr>Document</vt:lpwstr>
  </property>
</Properties>
</file>